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codeName="DieseArbeitsmappe"/>
  <mc:AlternateContent xmlns:mc="http://schemas.openxmlformats.org/markup-compatibility/2006">
    <mc:Choice Requires="x15">
      <x15ac:absPath xmlns:x15ac="http://schemas.microsoft.com/office/spreadsheetml/2010/11/ac" url="C:\Users\perrenpa\Desktop\"/>
    </mc:Choice>
  </mc:AlternateContent>
  <xr:revisionPtr revIDLastSave="0" documentId="8_{8A3A82BB-2B4C-45C1-B1E5-FA99CB7CBAE4}" xr6:coauthVersionLast="47" xr6:coauthVersionMax="47" xr10:uidLastSave="{00000000-0000-0000-0000-000000000000}"/>
  <workbookProtection workbookAlgorithmName="SHA-512" workbookHashValue="kAnbQo+yXyyBo73MQuPpifk+Fu9dUqB7bOtoqozrFoN+poyp0C5uKXoEa1+v1Xm21QVuplU5Sho2q7/dNG97hg==" workbookSaltValue="mX0xJHVg+KhElFe8V0uEwA==" workbookSpinCount="100000" lockStructure="1"/>
  <bookViews>
    <workbookView xWindow="-120" yWindow="-120" windowWidth="29040" windowHeight="15840" tabRatio="754" xr2:uid="{00000000-000D-0000-FFFF-FFFF00000000}"/>
  </bookViews>
  <sheets>
    <sheet name="Inhaltsverzeichnis" sheetId="2" r:id="rId1"/>
    <sheet name="2" sheetId="13" r:id="rId2"/>
    <sheet name="201" sheetId="1" r:id="rId3"/>
    <sheet name="202" sheetId="3" r:id="rId4"/>
    <sheet name="203" sheetId="4" r:id="rId5"/>
    <sheet name="302" sheetId="10" r:id="rId6"/>
    <sheet name="305" sheetId="11" r:id="rId7"/>
    <sheet name="401" sheetId="12" r:id="rId8"/>
    <sheet name="403" sheetId="14" r:id="rId9"/>
    <sheet name="404" sheetId="16" r:id="rId10"/>
    <sheet name="405" sheetId="15" r:id="rId11"/>
    <sheet name="Textbausteine" sheetId="6" state="hidden" r:id="rId12"/>
    <sheet name="Hilfsgrössen" sheetId="5" state="hidden" r:id="rId13"/>
  </sheets>
  <definedNames>
    <definedName name="_xlnm._FilterDatabase" localSheetId="0" hidden="1">Inhaltsverzeichnis!$E$6:$F$40</definedName>
    <definedName name="GRI_102">'2'!$B$3</definedName>
    <definedName name="GRI_102_43a">'2'!$B$336</definedName>
    <definedName name="GRI_102_6a">'2'!$B$20</definedName>
    <definedName name="GRI_102_7a">'2'!$B$47</definedName>
    <definedName name="GRI_102_7b">'2'!$B$59</definedName>
    <definedName name="GRI_102_7c">'2'!$B$74</definedName>
    <definedName name="GRI_102_7d">'2'!$B$182</definedName>
    <definedName name="GRI_102_7e">'2'!$B$336</definedName>
    <definedName name="GRI_102_8a">'2'!$B$209</definedName>
    <definedName name="GRI_102_8b">'2'!$B$248</definedName>
    <definedName name="GRI_102_8c">'2'!$B$262</definedName>
    <definedName name="GRI_102_8d">'2'!$B$293</definedName>
    <definedName name="GRI_102_9a">'2'!$B$324</definedName>
    <definedName name="GRI_201">'201'!$B$3</definedName>
    <definedName name="GRI_201_1a">'201'!$B$12</definedName>
    <definedName name="GRI_201_1b">'201'!$B$75</definedName>
    <definedName name="GRI_201_3">'201'!$B$112</definedName>
    <definedName name="GRI_202">'202'!$B$3</definedName>
    <definedName name="GRI_202_1">'202'!$B$10</definedName>
    <definedName name="GRI_203">'203'!$B$3</definedName>
    <definedName name="GRI_203_2">'203'!$B$16</definedName>
    <definedName name="GRI_203_2b">'203'!$B$39</definedName>
    <definedName name="GRI_203_2c">'203'!$B$58</definedName>
    <definedName name="GRI_203_2d">'203'!$B$139</definedName>
    <definedName name="GRI_203_2e">'203'!$B$216</definedName>
    <definedName name="GRI_203_2f">'203'!$B$231</definedName>
    <definedName name="GRI_203_2g">'203'!$B$243</definedName>
    <definedName name="GRI_302">'302'!$B$3</definedName>
    <definedName name="GRI_302_1">'302'!$B$11</definedName>
    <definedName name="GRI_302_2">'302'!$B$64</definedName>
    <definedName name="GRI_305">'305'!$B$3</definedName>
    <definedName name="GRI_305_1">'305'!$B$14</definedName>
    <definedName name="GRI_305_2">'305'!$B$84</definedName>
    <definedName name="GRI_305_3">'305'!$B$97</definedName>
    <definedName name="GRI_305_4">'305'!$B$106</definedName>
    <definedName name="GRI_305_6_7">'305'!$B$121</definedName>
    <definedName name="GRI_401">'401'!$B$3</definedName>
    <definedName name="GRI_401_1">'401'!$B$12</definedName>
    <definedName name="GRI_401_3">'401'!$B$53</definedName>
    <definedName name="GRI_401_a">'401'!$B$63</definedName>
    <definedName name="GRI_401a">'401'!$B$63</definedName>
    <definedName name="GRI_403">'403'!$B$3</definedName>
    <definedName name="GRI_403_2a">'403'!$B$10</definedName>
    <definedName name="GRI_404">'404'!$B$3</definedName>
    <definedName name="GRI_404_2a">'404'!$B$12</definedName>
    <definedName name="GRI_404_2b">'404'!$B$45</definedName>
    <definedName name="GRI_404_2c">'404'!$B$57:$C$58</definedName>
    <definedName name="GRI_405">'405'!$B$3</definedName>
    <definedName name="GRI_405_1">'405'!$B$13</definedName>
    <definedName name="GRI_405_1a">'405'!$B$13</definedName>
    <definedName name="GRI_405_1b">'405'!$B$29</definedName>
    <definedName name="GRI_405_1c">'405'!$B$44</definedName>
    <definedName name="GRI_405_1d">'405'!$B$64</definedName>
    <definedName name="Home">Inhaltsverzeichnis!$B$2</definedName>
    <definedName name="Passwort" hidden="1">"KCR"</definedName>
    <definedName name="Sprache">Sprachen[Sprache]</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Q156" i="6" l="1"/>
  <c r="AQ155" i="6"/>
  <c r="AQ154" i="6"/>
  <c r="AQ153" i="6"/>
  <c r="AQ152" i="6"/>
  <c r="M348" i="6" l="1"/>
  <c r="M347" i="6"/>
  <c r="T52" i="10" l="1"/>
  <c r="S52" i="10"/>
  <c r="T46" i="10"/>
  <c r="S46" i="10"/>
  <c r="T31" i="10"/>
  <c r="S31" i="10"/>
  <c r="T16" i="10"/>
  <c r="S16" i="10"/>
  <c r="S60" i="11"/>
  <c r="S55" i="11"/>
  <c r="S53" i="11"/>
  <c r="S48" i="11"/>
  <c r="S44" i="11"/>
  <c r="T60" i="11"/>
  <c r="T56" i="11"/>
  <c r="T55" i="11" s="1"/>
  <c r="T53" i="11"/>
  <c r="T48" i="11"/>
  <c r="T44" i="11"/>
  <c r="S32" i="11"/>
  <c r="S28" i="11"/>
  <c r="S26" i="11" s="1"/>
  <c r="S23" i="11"/>
  <c r="S20" i="11" s="1"/>
  <c r="T32" i="11"/>
  <c r="T28" i="11"/>
  <c r="T26" i="11" s="1"/>
  <c r="T23" i="11"/>
  <c r="T20" i="11" s="1"/>
  <c r="S43" i="11" l="1"/>
  <c r="T24" i="11"/>
  <c r="T19" i="11" s="1"/>
  <c r="S42" i="11"/>
  <c r="T43" i="11"/>
  <c r="T42" i="11" s="1"/>
  <c r="S24" i="11"/>
  <c r="S19" i="11" s="1"/>
  <c r="M289" i="6"/>
  <c r="M349" i="6" l="1"/>
  <c r="M350" i="6"/>
  <c r="M351" i="6"/>
  <c r="M352" i="6"/>
  <c r="M353" i="6"/>
  <c r="M354" i="6"/>
  <c r="M355" i="6"/>
  <c r="R26" i="11"/>
  <c r="Q26" i="11"/>
  <c r="O26" i="11"/>
  <c r="Y20" i="4" l="1"/>
  <c r="AC91" i="1" l="1"/>
  <c r="AC97" i="1" l="1"/>
  <c r="AC98" i="1"/>
  <c r="AC99" i="1"/>
  <c r="AC96" i="1"/>
  <c r="AC95" i="1"/>
  <c r="AA96" i="1" l="1"/>
  <c r="AA97" i="1"/>
  <c r="AA98" i="1"/>
  <c r="AA99" i="1"/>
  <c r="AA95" i="1"/>
  <c r="AA94" i="1"/>
  <c r="AA93" i="1"/>
  <c r="AA92" i="1"/>
  <c r="AA91" i="1"/>
  <c r="AB18" i="1" l="1"/>
  <c r="AC18" i="1"/>
  <c r="AC94" i="1" l="1"/>
  <c r="AC93" i="1"/>
  <c r="AC92" i="1"/>
  <c r="AA20" i="1" l="1"/>
  <c r="R52" i="10" l="1"/>
  <c r="Q52" i="10"/>
  <c r="R46" i="10"/>
  <c r="Q46" i="10"/>
  <c r="R31" i="10"/>
  <c r="Q31" i="10"/>
  <c r="R16" i="10"/>
  <c r="Q16" i="10"/>
  <c r="R60" i="11" l="1"/>
  <c r="Q60" i="11"/>
  <c r="R55" i="11"/>
  <c r="Q55" i="11"/>
  <c r="R53" i="11"/>
  <c r="Q53" i="11"/>
  <c r="R48" i="11"/>
  <c r="Q48" i="11"/>
  <c r="R44" i="11"/>
  <c r="Q44" i="11"/>
  <c r="R24" i="11"/>
  <c r="Q24" i="11"/>
  <c r="R20" i="11"/>
  <c r="Q20" i="11"/>
  <c r="Q42" i="11" l="1"/>
  <c r="R42" i="11"/>
  <c r="R19" i="11"/>
  <c r="Q19" i="11"/>
  <c r="Y191" i="13"/>
  <c r="M345" i="6" l="1"/>
  <c r="M276" i="6" l="1"/>
  <c r="M277" i="6"/>
  <c r="M278" i="6"/>
  <c r="M279" i="6"/>
  <c r="M280" i="6"/>
  <c r="M281" i="6"/>
  <c r="M282" i="6"/>
  <c r="M283" i="6"/>
  <c r="M284" i="6"/>
  <c r="M285" i="6"/>
  <c r="M286" i="6"/>
  <c r="M287" i="6"/>
  <c r="M297" i="6" l="1"/>
  <c r="M298" i="6"/>
  <c r="M299" i="6"/>
  <c r="M300" i="6"/>
  <c r="M301" i="6"/>
  <c r="M302" i="6"/>
  <c r="M303" i="6"/>
  <c r="M304" i="6"/>
  <c r="M305" i="6"/>
  <c r="M306" i="6"/>
  <c r="M274" i="6" l="1"/>
  <c r="M275" i="6"/>
  <c r="M270" i="6" l="1"/>
  <c r="M268" i="6" l="1"/>
  <c r="M269" i="6"/>
  <c r="U127" i="4" l="1"/>
  <c r="U124" i="4"/>
  <c r="H60" i="11" l="1"/>
  <c r="X82" i="1" l="1"/>
  <c r="S160" i="6" l="1"/>
  <c r="X90" i="1" l="1"/>
  <c r="X91" i="1"/>
  <c r="M344" i="6" l="1"/>
  <c r="X99" i="1" l="1"/>
  <c r="X98" i="1"/>
  <c r="X97" i="1"/>
  <c r="X96" i="1"/>
  <c r="X95" i="1"/>
  <c r="X94" i="1"/>
  <c r="X93" i="1"/>
  <c r="X92" i="1"/>
  <c r="O60" i="11"/>
  <c r="O57" i="11"/>
  <c r="O56" i="11"/>
  <c r="O55" i="11" s="1"/>
  <c r="O53" i="11"/>
  <c r="O48" i="11"/>
  <c r="O44" i="11"/>
  <c r="O24" i="11"/>
  <c r="O20" i="11"/>
  <c r="O55" i="10"/>
  <c r="O46" i="10"/>
  <c r="O17" i="10"/>
  <c r="O53" i="10" s="1"/>
  <c r="O52" i="10" l="1"/>
  <c r="O16" i="10"/>
  <c r="O43" i="11"/>
  <c r="N17" i="10"/>
  <c r="M17" i="10"/>
  <c r="L17" i="10"/>
  <c r="K17" i="10"/>
  <c r="J17" i="10" l="1"/>
  <c r="J16" i="10" s="1"/>
  <c r="I17" i="10"/>
  <c r="U99" i="1" l="1"/>
  <c r="U98" i="1"/>
  <c r="U97" i="1"/>
  <c r="U96" i="1"/>
  <c r="U95" i="1"/>
  <c r="U94" i="1"/>
  <c r="U93" i="1"/>
  <c r="U92" i="1"/>
  <c r="U91" i="1"/>
  <c r="U90" i="1"/>
  <c r="N60" i="11" l="1"/>
  <c r="M60" i="11"/>
  <c r="L60" i="11"/>
  <c r="K60" i="11"/>
  <c r="J60" i="11"/>
  <c r="I60" i="11"/>
  <c r="N57" i="11"/>
  <c r="M57" i="11"/>
  <c r="L57" i="11"/>
  <c r="K57" i="11"/>
  <c r="J57" i="11"/>
  <c r="I57" i="11"/>
  <c r="H57" i="11"/>
  <c r="N56" i="11"/>
  <c r="N55" i="11" s="1"/>
  <c r="M56" i="11"/>
  <c r="M55" i="11" s="1"/>
  <c r="L56" i="11"/>
  <c r="L55" i="11" s="1"/>
  <c r="K56" i="11"/>
  <c r="K55" i="11" s="1"/>
  <c r="J56" i="11"/>
  <c r="J55" i="11" s="1"/>
  <c r="I56" i="11"/>
  <c r="I55" i="11" s="1"/>
  <c r="H56" i="11"/>
  <c r="H55" i="11" s="1"/>
  <c r="N53" i="11"/>
  <c r="M53" i="11"/>
  <c r="L53" i="11"/>
  <c r="K53" i="11"/>
  <c r="J53" i="11"/>
  <c r="I53" i="11"/>
  <c r="H53" i="11"/>
  <c r="N48" i="11"/>
  <c r="M48" i="11"/>
  <c r="L48" i="11"/>
  <c r="K48" i="11"/>
  <c r="J48" i="11"/>
  <c r="I48" i="11"/>
  <c r="H48" i="11"/>
  <c r="N44" i="11"/>
  <c r="M44" i="11"/>
  <c r="L44" i="11"/>
  <c r="K44" i="11"/>
  <c r="J44" i="11"/>
  <c r="I44" i="11"/>
  <c r="H44" i="11"/>
  <c r="N55" i="10"/>
  <c r="M55" i="10"/>
  <c r="L55" i="10"/>
  <c r="K55" i="10"/>
  <c r="J55" i="10"/>
  <c r="I55" i="10"/>
  <c r="H55" i="10"/>
  <c r="N53" i="10"/>
  <c r="M53" i="10"/>
  <c r="L53" i="10"/>
  <c r="K53" i="10"/>
  <c r="J53" i="10"/>
  <c r="I53" i="10"/>
  <c r="H17" i="10"/>
  <c r="H53" i="10" s="1"/>
  <c r="N16" i="10"/>
  <c r="M16" i="10"/>
  <c r="L16" i="10"/>
  <c r="K16" i="10"/>
  <c r="I16" i="10"/>
  <c r="H52" i="10" l="1"/>
  <c r="M52" i="10"/>
  <c r="I52" i="10"/>
  <c r="J52" i="10"/>
  <c r="N52" i="10"/>
  <c r="K43" i="11"/>
  <c r="K52" i="10"/>
  <c r="L52" i="10"/>
  <c r="H16" i="10"/>
  <c r="L43" i="11"/>
  <c r="M43" i="11"/>
  <c r="N43" i="11"/>
  <c r="H43" i="11"/>
  <c r="I43" i="11"/>
  <c r="J43" i="11"/>
  <c r="T28" i="4"/>
  <c r="T29" i="4"/>
  <c r="AE247" i="6" l="1"/>
  <c r="AE248" i="6"/>
  <c r="AE249" i="6"/>
  <c r="AE250" i="6"/>
  <c r="AE251" i="6"/>
  <c r="AE252" i="6"/>
  <c r="AE253" i="6"/>
  <c r="AE254" i="6"/>
  <c r="AE240" i="6"/>
  <c r="AE241" i="6"/>
  <c r="AE242" i="6"/>
  <c r="AE243" i="6"/>
  <c r="AE244" i="6"/>
  <c r="AE245" i="6"/>
  <c r="AE246" i="6"/>
  <c r="AE152" i="6" l="1"/>
  <c r="AE153" i="6"/>
  <c r="AE154" i="6"/>
  <c r="AE155" i="6"/>
  <c r="AE156" i="6"/>
  <c r="AE157" i="6"/>
  <c r="AE158" i="6"/>
  <c r="AE159" i="6"/>
  <c r="AE160" i="6"/>
  <c r="AE161" i="6"/>
  <c r="AE162" i="6"/>
  <c r="AE163" i="6"/>
  <c r="AE164" i="6"/>
  <c r="AE165" i="6"/>
  <c r="AE166" i="6"/>
  <c r="AE167" i="6"/>
  <c r="AE168" i="6"/>
  <c r="AE169" i="6"/>
  <c r="AE170" i="6"/>
  <c r="AE171" i="6"/>
  <c r="AE172" i="6"/>
  <c r="AE173" i="6"/>
  <c r="AE174" i="6"/>
  <c r="AE175" i="6"/>
  <c r="AE176" i="6"/>
  <c r="AE177" i="6"/>
  <c r="AE178" i="6"/>
  <c r="AE179" i="6"/>
  <c r="AE180" i="6"/>
  <c r="AE181" i="6"/>
  <c r="AE182" i="6"/>
  <c r="AE183" i="6"/>
  <c r="AE184" i="6"/>
  <c r="AE185" i="6"/>
  <c r="AE186" i="6"/>
  <c r="AE187" i="6"/>
  <c r="AE188" i="6"/>
  <c r="AE189" i="6"/>
  <c r="AE190" i="6"/>
  <c r="AE191" i="6"/>
  <c r="AE192" i="6"/>
  <c r="AE193" i="6"/>
  <c r="AE194" i="6"/>
  <c r="AE195" i="6"/>
  <c r="AE196" i="6"/>
  <c r="AE197" i="6"/>
  <c r="AE198" i="6"/>
  <c r="AE199" i="6"/>
  <c r="AE200" i="6"/>
  <c r="AE201" i="6"/>
  <c r="AE202" i="6"/>
  <c r="AE203" i="6"/>
  <c r="AE204" i="6"/>
  <c r="AE205" i="6"/>
  <c r="AE206" i="6"/>
  <c r="AE207" i="6"/>
  <c r="AE208" i="6"/>
  <c r="AE209" i="6"/>
  <c r="AE210" i="6"/>
  <c r="AE211" i="6"/>
  <c r="AE212" i="6"/>
  <c r="AE213" i="6"/>
  <c r="AE214" i="6"/>
  <c r="AE215" i="6"/>
  <c r="AE216" i="6"/>
  <c r="AE217" i="6"/>
  <c r="AE218" i="6"/>
  <c r="AE219" i="6"/>
  <c r="AE220" i="6"/>
  <c r="AE221" i="6"/>
  <c r="AE222" i="6"/>
  <c r="AE223" i="6"/>
  <c r="AE224" i="6"/>
  <c r="AE225" i="6"/>
  <c r="AE226" i="6"/>
  <c r="AE227" i="6"/>
  <c r="AE228" i="6"/>
  <c r="AE229" i="6"/>
  <c r="AE230" i="6"/>
  <c r="AE231" i="6"/>
  <c r="AE232" i="6"/>
  <c r="AE233" i="6"/>
  <c r="AE234" i="6"/>
  <c r="AE235" i="6"/>
  <c r="AE236" i="6"/>
  <c r="AE237" i="6"/>
  <c r="AE238" i="6"/>
  <c r="AE239" i="6"/>
  <c r="M342" i="6" l="1"/>
  <c r="M343" i="6"/>
  <c r="M346" i="6"/>
  <c r="M336" i="6"/>
  <c r="M337" i="6"/>
  <c r="M338" i="6"/>
  <c r="M339" i="6"/>
  <c r="M340" i="6"/>
  <c r="M341" i="6"/>
  <c r="M323" i="6"/>
  <c r="M324" i="6"/>
  <c r="M325" i="6"/>
  <c r="M326" i="6"/>
  <c r="M327" i="6"/>
  <c r="M328" i="6"/>
  <c r="M329" i="6"/>
  <c r="M330" i="6"/>
  <c r="M331" i="6"/>
  <c r="M332" i="6"/>
  <c r="M333" i="6"/>
  <c r="M334" i="6"/>
  <c r="M335" i="6"/>
  <c r="M309" i="6"/>
  <c r="M310" i="6"/>
  <c r="M311" i="6"/>
  <c r="M312" i="6"/>
  <c r="M313" i="6"/>
  <c r="M314" i="6"/>
  <c r="M315" i="6"/>
  <c r="M316" i="6"/>
  <c r="M317" i="6"/>
  <c r="M318" i="6"/>
  <c r="M319" i="6"/>
  <c r="M320" i="6"/>
  <c r="M321" i="6"/>
  <c r="M322" i="6"/>
  <c r="M259" i="6"/>
  <c r="M260" i="6"/>
  <c r="M261" i="6"/>
  <c r="M262" i="6"/>
  <c r="M263" i="6"/>
  <c r="M264" i="6"/>
  <c r="M265" i="6"/>
  <c r="M266" i="6"/>
  <c r="M267" i="6"/>
  <c r="M271" i="6"/>
  <c r="M272" i="6"/>
  <c r="M273" i="6"/>
  <c r="M288" i="6"/>
  <c r="M290" i="6"/>
  <c r="M291" i="6"/>
  <c r="M292" i="6"/>
  <c r="M293" i="6"/>
  <c r="M294" i="6"/>
  <c r="M295" i="6"/>
  <c r="M296" i="6"/>
  <c r="M307" i="6"/>
  <c r="M308" i="6"/>
  <c r="M227" i="6" l="1"/>
  <c r="M228" i="6"/>
  <c r="M229" i="6"/>
  <c r="M230" i="6"/>
  <c r="M231" i="6"/>
  <c r="M232" i="6"/>
  <c r="M233" i="6"/>
  <c r="M234" i="6"/>
  <c r="M235" i="6"/>
  <c r="M236" i="6"/>
  <c r="M237" i="6"/>
  <c r="M238" i="6"/>
  <c r="M239" i="6"/>
  <c r="M240" i="6"/>
  <c r="M241" i="6"/>
  <c r="M242" i="6"/>
  <c r="M243" i="6"/>
  <c r="M244" i="6"/>
  <c r="M245" i="6"/>
  <c r="M246" i="6"/>
  <c r="M247" i="6"/>
  <c r="M248" i="6"/>
  <c r="M249" i="6"/>
  <c r="M250" i="6"/>
  <c r="M251" i="6"/>
  <c r="M252" i="6"/>
  <c r="M253" i="6"/>
  <c r="M254" i="6"/>
  <c r="M255" i="6"/>
  <c r="M256" i="6"/>
  <c r="M257" i="6"/>
  <c r="M258" i="6"/>
  <c r="A54" i="6"/>
  <c r="A55" i="6"/>
  <c r="A56" i="6"/>
  <c r="A57" i="6"/>
  <c r="A58" i="6"/>
  <c r="A59" i="6"/>
  <c r="A60" i="6"/>
  <c r="A61" i="6"/>
  <c r="A62" i="6"/>
  <c r="A63" i="6"/>
  <c r="A64" i="6"/>
  <c r="A65" i="6"/>
  <c r="A66" i="6"/>
  <c r="A67" i="6"/>
  <c r="M152" i="6"/>
  <c r="M153" i="6"/>
  <c r="M154" i="6"/>
  <c r="M155" i="6"/>
  <c r="M156" i="6"/>
  <c r="M157" i="6"/>
  <c r="M158" i="6"/>
  <c r="M159" i="6"/>
  <c r="M160" i="6"/>
  <c r="M161" i="6"/>
  <c r="M162" i="6"/>
  <c r="M163" i="6"/>
  <c r="M164" i="6"/>
  <c r="M165" i="6"/>
  <c r="M166" i="6"/>
  <c r="M167" i="6"/>
  <c r="M168" i="6"/>
  <c r="M169" i="6"/>
  <c r="M170" i="6"/>
  <c r="M171" i="6"/>
  <c r="M172" i="6"/>
  <c r="M173" i="6"/>
  <c r="M174" i="6"/>
  <c r="M175" i="6"/>
  <c r="M176" i="6"/>
  <c r="M177" i="6"/>
  <c r="M178" i="6"/>
  <c r="M179" i="6"/>
  <c r="M180" i="6"/>
  <c r="M181" i="6"/>
  <c r="M182" i="6"/>
  <c r="M183" i="6"/>
  <c r="M184" i="6"/>
  <c r="M185" i="6"/>
  <c r="M186" i="6"/>
  <c r="M187" i="6"/>
  <c r="M188" i="6"/>
  <c r="M189" i="6"/>
  <c r="M190" i="6"/>
  <c r="M191" i="6"/>
  <c r="M192" i="6"/>
  <c r="M193" i="6"/>
  <c r="M194" i="6"/>
  <c r="M195" i="6"/>
  <c r="M196" i="6"/>
  <c r="M197" i="6"/>
  <c r="M198" i="6"/>
  <c r="M199" i="6"/>
  <c r="M200" i="6"/>
  <c r="M201" i="6"/>
  <c r="M202" i="6"/>
  <c r="M203" i="6"/>
  <c r="M204" i="6"/>
  <c r="M205" i="6"/>
  <c r="M206" i="6"/>
  <c r="M207" i="6"/>
  <c r="M208" i="6"/>
  <c r="M209" i="6"/>
  <c r="M210" i="6"/>
  <c r="M211" i="6"/>
  <c r="M212" i="6"/>
  <c r="M213" i="6"/>
  <c r="M214" i="6"/>
  <c r="M215" i="6"/>
  <c r="M216" i="6"/>
  <c r="M217" i="6"/>
  <c r="M218" i="6"/>
  <c r="M219" i="6"/>
  <c r="M220" i="6"/>
  <c r="M221" i="6"/>
  <c r="M222" i="6"/>
  <c r="M223" i="6"/>
  <c r="M224" i="6"/>
  <c r="M225" i="6"/>
  <c r="M226" i="6"/>
  <c r="BJ151" i="6" l="1"/>
  <c r="BJ150" i="6"/>
  <c r="BJ149" i="6"/>
  <c r="BJ148" i="6"/>
  <c r="BJ147" i="6"/>
  <c r="BJ146" i="6"/>
  <c r="BJ145" i="6"/>
  <c r="BJ144" i="6"/>
  <c r="BJ143" i="6"/>
  <c r="BJ142" i="6"/>
  <c r="BJ141" i="6"/>
  <c r="BJ140" i="6"/>
  <c r="BJ139" i="6"/>
  <c r="BJ138" i="6"/>
  <c r="BJ137" i="6"/>
  <c r="BJ136" i="6"/>
  <c r="BJ135" i="6"/>
  <c r="BJ134" i="6"/>
  <c r="BJ133" i="6"/>
  <c r="BJ132" i="6"/>
  <c r="BJ131" i="6"/>
  <c r="BJ130" i="6"/>
  <c r="BJ129" i="6"/>
  <c r="BJ128" i="6"/>
  <c r="BJ127" i="6"/>
  <c r="BJ126" i="6"/>
  <c r="BJ125" i="6"/>
  <c r="BJ124" i="6"/>
  <c r="BJ123" i="6"/>
  <c r="BJ122" i="6"/>
  <c r="BJ121" i="6"/>
  <c r="BJ120" i="6"/>
  <c r="BJ119" i="6"/>
  <c r="BJ118" i="6"/>
  <c r="BJ117" i="6"/>
  <c r="BJ116" i="6"/>
  <c r="BJ115" i="6"/>
  <c r="BJ114" i="6"/>
  <c r="BJ113" i="6"/>
  <c r="BJ112" i="6"/>
  <c r="BJ111" i="6"/>
  <c r="BJ110" i="6"/>
  <c r="BJ109" i="6"/>
  <c r="BJ108" i="6"/>
  <c r="BJ107" i="6"/>
  <c r="BJ106" i="6"/>
  <c r="BJ105" i="6"/>
  <c r="BJ104" i="6"/>
  <c r="BJ103" i="6"/>
  <c r="BJ102" i="6"/>
  <c r="BJ101" i="6"/>
  <c r="BJ100" i="6"/>
  <c r="BJ99" i="6"/>
  <c r="BJ98" i="6"/>
  <c r="BJ97" i="6"/>
  <c r="BJ96" i="6"/>
  <c r="BJ95" i="6"/>
  <c r="BJ94" i="6"/>
  <c r="BJ93" i="6"/>
  <c r="BJ92" i="6"/>
  <c r="BJ91" i="6"/>
  <c r="BJ90" i="6"/>
  <c r="BJ89" i="6"/>
  <c r="BJ88" i="6"/>
  <c r="BJ87" i="6"/>
  <c r="BJ86" i="6"/>
  <c r="BJ85" i="6"/>
  <c r="BJ84" i="6"/>
  <c r="BJ83" i="6"/>
  <c r="BJ82" i="6"/>
  <c r="BJ81" i="6"/>
  <c r="BJ80" i="6"/>
  <c r="BJ79" i="6"/>
  <c r="BJ78" i="6"/>
  <c r="BJ77" i="6"/>
  <c r="BJ76" i="6"/>
  <c r="BJ75" i="6"/>
  <c r="BJ74" i="6"/>
  <c r="BJ73" i="6"/>
  <c r="BJ72" i="6"/>
  <c r="BJ71" i="6"/>
  <c r="BJ70" i="6"/>
  <c r="BJ69" i="6"/>
  <c r="BJ68" i="6"/>
  <c r="BJ67" i="6"/>
  <c r="BJ66" i="6"/>
  <c r="BJ65" i="6"/>
  <c r="BJ64" i="6"/>
  <c r="BJ63" i="6"/>
  <c r="BJ62" i="6"/>
  <c r="BJ61" i="6"/>
  <c r="BJ60" i="6"/>
  <c r="BJ59" i="6"/>
  <c r="BJ58" i="6"/>
  <c r="BJ57" i="6"/>
  <c r="BJ56" i="6"/>
  <c r="BJ55" i="6"/>
  <c r="BJ54" i="6"/>
  <c r="BJ53" i="6"/>
  <c r="BJ52" i="6"/>
  <c r="BJ51" i="6"/>
  <c r="BJ50" i="6"/>
  <c r="BJ49" i="6"/>
  <c r="BJ48" i="6"/>
  <c r="BJ47" i="6"/>
  <c r="BJ46" i="6"/>
  <c r="BJ45" i="6"/>
  <c r="BJ44" i="6"/>
  <c r="BJ43" i="6"/>
  <c r="BJ42" i="6"/>
  <c r="BJ41" i="6"/>
  <c r="BJ40" i="6"/>
  <c r="BJ39" i="6"/>
  <c r="BJ38" i="6"/>
  <c r="BJ37" i="6"/>
  <c r="BJ36" i="6"/>
  <c r="BJ35" i="6"/>
  <c r="BJ34" i="6"/>
  <c r="BJ33" i="6"/>
  <c r="BJ32" i="6"/>
  <c r="BJ31" i="6"/>
  <c r="BJ30" i="6"/>
  <c r="BJ29" i="6"/>
  <c r="BJ28" i="6"/>
  <c r="BJ27" i="6"/>
  <c r="BJ26" i="6"/>
  <c r="BJ25" i="6"/>
  <c r="BJ24" i="6"/>
  <c r="BJ23" i="6"/>
  <c r="BJ22" i="6"/>
  <c r="BJ21" i="6"/>
  <c r="BJ20" i="6"/>
  <c r="BJ19" i="6"/>
  <c r="BJ18" i="6"/>
  <c r="BJ17" i="6"/>
  <c r="BJ16" i="6"/>
  <c r="BJ15" i="6"/>
  <c r="BJ14" i="6"/>
  <c r="BJ13" i="6"/>
  <c r="BJ12" i="6"/>
  <c r="BJ11" i="6"/>
  <c r="BJ10" i="6"/>
  <c r="BJ9" i="6"/>
  <c r="BJ8" i="6"/>
  <c r="BJ7" i="6"/>
  <c r="BJ6" i="6"/>
  <c r="BJ5" i="6"/>
  <c r="BJ4" i="6"/>
  <c r="BJ3" i="6"/>
  <c r="BJ2" i="6"/>
  <c r="AW152" i="6"/>
  <c r="AW153" i="6"/>
  <c r="AW154" i="6"/>
  <c r="AW155" i="6"/>
  <c r="AW156" i="6"/>
  <c r="BC72" i="6"/>
  <c r="AW140" i="6"/>
  <c r="AW141" i="6"/>
  <c r="AW142" i="6"/>
  <c r="AW143" i="6"/>
  <c r="AW144" i="6"/>
  <c r="AW145" i="6"/>
  <c r="AW146" i="6"/>
  <c r="AW147" i="6"/>
  <c r="AW148" i="6"/>
  <c r="AW149" i="6"/>
  <c r="AW150" i="6"/>
  <c r="AQ140" i="6"/>
  <c r="AQ141" i="6"/>
  <c r="AQ142" i="6"/>
  <c r="AQ143" i="6"/>
  <c r="AQ144" i="6"/>
  <c r="AQ145" i="6"/>
  <c r="AQ146" i="6"/>
  <c r="AQ147" i="6"/>
  <c r="AQ148" i="6"/>
  <c r="AQ149" i="6"/>
  <c r="AQ150" i="6"/>
  <c r="AK142" i="6"/>
  <c r="AK143" i="6"/>
  <c r="AK144" i="6"/>
  <c r="AK146" i="6"/>
  <c r="AK147" i="6"/>
  <c r="AK148" i="6"/>
  <c r="AK149" i="6"/>
  <c r="AK150" i="6"/>
  <c r="AK151" i="6"/>
  <c r="T127" i="4" l="1"/>
  <c r="S127" i="4"/>
  <c r="R127" i="4"/>
  <c r="Q127" i="4"/>
  <c r="P127" i="4"/>
  <c r="O127" i="4"/>
  <c r="N127" i="4"/>
  <c r="M127" i="4"/>
  <c r="L127" i="4"/>
  <c r="K127" i="4"/>
  <c r="J127" i="4"/>
  <c r="I127" i="4"/>
  <c r="H127" i="4"/>
  <c r="T124" i="4"/>
  <c r="S124" i="4"/>
  <c r="R124" i="4"/>
  <c r="Q124" i="4"/>
  <c r="P124" i="4"/>
  <c r="O124" i="4"/>
  <c r="N124" i="4"/>
  <c r="M124" i="4"/>
  <c r="L124" i="4"/>
  <c r="K124" i="4"/>
  <c r="J124" i="4"/>
  <c r="I124" i="4"/>
  <c r="H124" i="4"/>
  <c r="R29" i="4" l="1"/>
  <c r="Q29" i="4"/>
  <c r="P29" i="4"/>
  <c r="O29" i="4"/>
  <c r="N29" i="4"/>
  <c r="M29" i="4"/>
  <c r="L29" i="4"/>
  <c r="K29" i="4"/>
  <c r="J29" i="4"/>
  <c r="I29" i="4"/>
  <c r="H29" i="4"/>
  <c r="T33" i="4"/>
  <c r="S33" i="4"/>
  <c r="R33" i="4"/>
  <c r="Q33" i="4"/>
  <c r="P33" i="4"/>
  <c r="O33" i="4"/>
  <c r="N33" i="4"/>
  <c r="M33" i="4"/>
  <c r="L33" i="4"/>
  <c r="K33" i="4"/>
  <c r="J33" i="4"/>
  <c r="I33" i="4"/>
  <c r="H33" i="4"/>
  <c r="T32" i="4"/>
  <c r="S32" i="4"/>
  <c r="R32" i="4"/>
  <c r="Q32" i="4"/>
  <c r="P32" i="4"/>
  <c r="O32" i="4"/>
  <c r="N32" i="4"/>
  <c r="M32" i="4"/>
  <c r="L32" i="4"/>
  <c r="K32" i="4"/>
  <c r="J32" i="4"/>
  <c r="I32" i="4"/>
  <c r="H32" i="4"/>
  <c r="T31" i="4"/>
  <c r="S31" i="4"/>
  <c r="R31" i="4"/>
  <c r="Q31" i="4"/>
  <c r="P31" i="4"/>
  <c r="O31" i="4"/>
  <c r="N31" i="4"/>
  <c r="M31" i="4"/>
  <c r="L31" i="4"/>
  <c r="K31" i="4"/>
  <c r="J31" i="4"/>
  <c r="I31" i="4"/>
  <c r="H31" i="4"/>
  <c r="T30" i="4"/>
  <c r="S30" i="4"/>
  <c r="R30" i="4"/>
  <c r="Q30" i="4"/>
  <c r="P30" i="4"/>
  <c r="O30" i="4"/>
  <c r="N30" i="4"/>
  <c r="M30" i="4"/>
  <c r="L30" i="4"/>
  <c r="K30" i="4"/>
  <c r="J30" i="4"/>
  <c r="I30" i="4"/>
  <c r="H30" i="4"/>
  <c r="S29" i="4"/>
  <c r="S28" i="4"/>
  <c r="R28" i="4"/>
  <c r="Q28" i="4"/>
  <c r="P28" i="4"/>
  <c r="O28" i="4"/>
  <c r="N28" i="4"/>
  <c r="M28" i="4"/>
  <c r="L28" i="4"/>
  <c r="K28" i="4"/>
  <c r="J28" i="4"/>
  <c r="I28" i="4"/>
  <c r="H28" i="4"/>
  <c r="S99" i="1"/>
  <c r="S98" i="1"/>
  <c r="S97" i="1"/>
  <c r="S96" i="1"/>
  <c r="S95" i="1"/>
  <c r="S94" i="1"/>
  <c r="S93" i="1"/>
  <c r="S92" i="1"/>
  <c r="S91" i="1"/>
  <c r="S90" i="1"/>
  <c r="V95" i="1" l="1"/>
  <c r="P26" i="1"/>
  <c r="R24" i="1"/>
  <c r="P24" i="1"/>
  <c r="D2" i="5"/>
  <c r="B179" i="13" l="1"/>
  <c r="B206" i="13"/>
  <c r="B205" i="13"/>
  <c r="B204" i="13"/>
  <c r="B42" i="16"/>
  <c r="B41" i="16"/>
  <c r="B39" i="16"/>
  <c r="B54" i="16"/>
  <c r="B40" i="16"/>
  <c r="B38" i="16"/>
  <c r="D30" i="2"/>
  <c r="C61" i="16"/>
  <c r="C62" i="16"/>
  <c r="C9" i="16"/>
  <c r="B57" i="16" s="1"/>
  <c r="D63" i="16"/>
  <c r="C63" i="16"/>
  <c r="D62" i="16"/>
  <c r="D61" i="16"/>
  <c r="C8" i="16"/>
  <c r="B35" i="16"/>
  <c r="C49" i="16"/>
  <c r="B53" i="16"/>
  <c r="C51" i="16"/>
  <c r="B37" i="16"/>
  <c r="C50" i="16"/>
  <c r="B36" i="16"/>
  <c r="C7" i="16"/>
  <c r="D50" i="16"/>
  <c r="D29" i="16"/>
  <c r="D25" i="16"/>
  <c r="D21" i="16"/>
  <c r="D17" i="16"/>
  <c r="C32" i="16"/>
  <c r="C28" i="16"/>
  <c r="C23" i="16"/>
  <c r="C19" i="16"/>
  <c r="D26" i="16"/>
  <c r="D22" i="16"/>
  <c r="C29" i="16"/>
  <c r="C16" i="16"/>
  <c r="D49" i="16"/>
  <c r="D28" i="16"/>
  <c r="D24" i="16"/>
  <c r="D20" i="16"/>
  <c r="D16" i="16"/>
  <c r="C31" i="16"/>
  <c r="C27" i="16"/>
  <c r="C22" i="16"/>
  <c r="C18" i="16"/>
  <c r="D32" i="16"/>
  <c r="C33" i="16"/>
  <c r="C20" i="16"/>
  <c r="D31" i="16"/>
  <c r="D27" i="16"/>
  <c r="D23" i="16"/>
  <c r="D19" i="16"/>
  <c r="D33" i="16"/>
  <c r="C25" i="16"/>
  <c r="C26" i="16"/>
  <c r="C21" i="16"/>
  <c r="C17" i="16"/>
  <c r="D51" i="16"/>
  <c r="D18" i="16"/>
  <c r="C24" i="16"/>
  <c r="B45" i="16" l="1"/>
  <c r="B12" i="16"/>
  <c r="V99" i="1" l="1"/>
  <c r="V98" i="1"/>
  <c r="V97" i="1"/>
  <c r="V96" i="1"/>
  <c r="V94" i="1"/>
  <c r="V93" i="1"/>
  <c r="V92" i="1"/>
  <c r="V91" i="1"/>
  <c r="V90" i="1"/>
  <c r="S153" i="6"/>
  <c r="S154" i="6"/>
  <c r="S155" i="6"/>
  <c r="S156" i="6"/>
  <c r="S157" i="6"/>
  <c r="S158" i="6"/>
  <c r="S159" i="6"/>
  <c r="S152" i="6"/>
  <c r="AE132" i="6" l="1"/>
  <c r="AE133" i="6"/>
  <c r="AE134" i="6"/>
  <c r="AE135" i="6"/>
  <c r="S132" i="6"/>
  <c r="S133" i="6"/>
  <c r="S134" i="6"/>
  <c r="S135" i="6"/>
  <c r="Y132" i="6"/>
  <c r="Y133" i="6"/>
  <c r="Y134" i="6"/>
  <c r="Y135" i="6"/>
  <c r="BP151" i="6" l="1"/>
  <c r="BP150" i="6"/>
  <c r="BP149" i="6"/>
  <c r="BP148" i="6"/>
  <c r="BP147" i="6"/>
  <c r="BP146" i="6"/>
  <c r="BP145" i="6"/>
  <c r="BP144" i="6"/>
  <c r="BP143" i="6"/>
  <c r="BP142" i="6"/>
  <c r="BP141" i="6"/>
  <c r="BP140" i="6"/>
  <c r="BP139" i="6"/>
  <c r="BP138" i="6"/>
  <c r="BP137" i="6"/>
  <c r="BP136" i="6"/>
  <c r="BP135" i="6"/>
  <c r="BP134" i="6"/>
  <c r="BP133" i="6"/>
  <c r="BP132" i="6"/>
  <c r="BP131" i="6"/>
  <c r="BP130" i="6"/>
  <c r="BP129" i="6"/>
  <c r="BP128" i="6"/>
  <c r="BP127" i="6"/>
  <c r="BP126" i="6"/>
  <c r="BP125" i="6"/>
  <c r="BP124" i="6"/>
  <c r="BP123" i="6"/>
  <c r="BP122" i="6"/>
  <c r="BP121" i="6"/>
  <c r="BP120" i="6"/>
  <c r="BP119" i="6"/>
  <c r="BP118" i="6"/>
  <c r="BP117" i="6"/>
  <c r="BP116" i="6"/>
  <c r="BP115" i="6"/>
  <c r="BP114" i="6"/>
  <c r="BP113" i="6"/>
  <c r="BP112" i="6"/>
  <c r="BP111" i="6"/>
  <c r="BP110" i="6"/>
  <c r="BP109" i="6"/>
  <c r="BP108" i="6"/>
  <c r="BP107" i="6"/>
  <c r="BP106" i="6"/>
  <c r="BP105" i="6"/>
  <c r="BP104" i="6"/>
  <c r="BP103" i="6"/>
  <c r="BP102" i="6"/>
  <c r="BP101" i="6"/>
  <c r="BP100" i="6"/>
  <c r="BP99" i="6"/>
  <c r="BP98" i="6"/>
  <c r="BP97" i="6"/>
  <c r="BP96" i="6"/>
  <c r="BP95" i="6"/>
  <c r="BP94" i="6"/>
  <c r="BP93" i="6"/>
  <c r="BP92" i="6"/>
  <c r="BP91" i="6"/>
  <c r="BP90" i="6"/>
  <c r="BP89" i="6"/>
  <c r="BP88" i="6"/>
  <c r="BP87" i="6"/>
  <c r="BP86" i="6"/>
  <c r="BP85" i="6"/>
  <c r="BP84" i="6"/>
  <c r="BP83" i="6"/>
  <c r="BP82" i="6"/>
  <c r="BP81" i="6"/>
  <c r="BP80" i="6"/>
  <c r="BP79" i="6"/>
  <c r="BP78" i="6"/>
  <c r="BP77" i="6"/>
  <c r="BP76" i="6"/>
  <c r="BP75" i="6"/>
  <c r="BP74" i="6"/>
  <c r="BP73" i="6"/>
  <c r="BP72" i="6"/>
  <c r="BP71" i="6"/>
  <c r="BP70" i="6"/>
  <c r="BP69" i="6"/>
  <c r="BP68" i="6"/>
  <c r="BP67" i="6"/>
  <c r="BP66" i="6"/>
  <c r="BP65" i="6"/>
  <c r="BP64" i="6"/>
  <c r="BP63" i="6"/>
  <c r="BP62" i="6"/>
  <c r="BP61" i="6"/>
  <c r="BP60" i="6"/>
  <c r="BP59" i="6"/>
  <c r="BP58" i="6"/>
  <c r="BP57" i="6"/>
  <c r="BP56" i="6"/>
  <c r="BP55" i="6"/>
  <c r="BP54" i="6"/>
  <c r="BP53" i="6"/>
  <c r="BP52" i="6"/>
  <c r="BP51" i="6"/>
  <c r="BP50" i="6"/>
  <c r="BP49" i="6"/>
  <c r="BP48" i="6"/>
  <c r="BP47" i="6"/>
  <c r="BP46" i="6"/>
  <c r="BP45" i="6"/>
  <c r="BP44" i="6"/>
  <c r="BP43" i="6"/>
  <c r="BP42" i="6"/>
  <c r="BP41" i="6"/>
  <c r="BP40" i="6"/>
  <c r="BP39" i="6"/>
  <c r="BP38" i="6"/>
  <c r="BP37" i="6"/>
  <c r="BP36" i="6"/>
  <c r="BP35" i="6"/>
  <c r="BP34" i="6"/>
  <c r="BP33" i="6"/>
  <c r="BP32" i="6"/>
  <c r="BP31" i="6"/>
  <c r="BP30" i="6"/>
  <c r="BP29" i="6"/>
  <c r="BP28" i="6"/>
  <c r="BP27" i="6"/>
  <c r="BP26" i="6"/>
  <c r="BP25" i="6"/>
  <c r="BP24" i="6"/>
  <c r="BP23" i="6"/>
  <c r="BP22" i="6"/>
  <c r="BP21" i="6"/>
  <c r="BP20" i="6"/>
  <c r="BP19" i="6"/>
  <c r="BP18" i="6"/>
  <c r="BP17" i="6"/>
  <c r="BP16" i="6"/>
  <c r="BP15" i="6"/>
  <c r="BP14" i="6"/>
  <c r="BP13" i="6"/>
  <c r="BP12" i="6"/>
  <c r="BP11" i="6"/>
  <c r="BP10" i="6"/>
  <c r="BP9" i="6"/>
  <c r="BP8" i="6"/>
  <c r="BP7" i="6"/>
  <c r="BP6" i="6"/>
  <c r="BP5" i="6"/>
  <c r="BP4" i="6"/>
  <c r="BP3" i="6"/>
  <c r="BP2" i="6"/>
  <c r="BC151" i="6"/>
  <c r="BC150" i="6"/>
  <c r="BC149" i="6"/>
  <c r="BC148" i="6"/>
  <c r="BC147" i="6"/>
  <c r="BC146" i="6"/>
  <c r="BC145" i="6"/>
  <c r="BC144" i="6"/>
  <c r="BC143" i="6"/>
  <c r="BC142" i="6"/>
  <c r="BC141" i="6"/>
  <c r="BC140" i="6"/>
  <c r="BC139" i="6"/>
  <c r="BC138" i="6"/>
  <c r="BC137" i="6"/>
  <c r="BC136" i="6"/>
  <c r="BC135" i="6"/>
  <c r="BC134" i="6"/>
  <c r="BC133" i="6"/>
  <c r="BC132" i="6"/>
  <c r="BC131" i="6"/>
  <c r="BC130" i="6"/>
  <c r="BC129" i="6"/>
  <c r="BC128" i="6"/>
  <c r="BC127" i="6"/>
  <c r="BC126" i="6"/>
  <c r="BC125" i="6"/>
  <c r="BC124" i="6"/>
  <c r="BC123" i="6"/>
  <c r="BC122" i="6"/>
  <c r="BC121" i="6"/>
  <c r="BC120" i="6"/>
  <c r="BC119" i="6"/>
  <c r="BC118" i="6"/>
  <c r="BC117" i="6"/>
  <c r="BC116" i="6"/>
  <c r="BC115" i="6"/>
  <c r="BC114" i="6"/>
  <c r="BC113" i="6"/>
  <c r="BC112" i="6"/>
  <c r="BC111" i="6"/>
  <c r="BC110" i="6"/>
  <c r="BC109" i="6"/>
  <c r="BC108" i="6"/>
  <c r="BC107" i="6"/>
  <c r="BC106" i="6"/>
  <c r="BC105" i="6"/>
  <c r="BC104" i="6"/>
  <c r="BC103" i="6"/>
  <c r="BC102" i="6"/>
  <c r="BC101" i="6"/>
  <c r="BC100" i="6"/>
  <c r="BC99" i="6"/>
  <c r="BC98" i="6"/>
  <c r="BC97" i="6"/>
  <c r="BC96" i="6"/>
  <c r="BC95" i="6"/>
  <c r="BC94" i="6"/>
  <c r="BC93" i="6"/>
  <c r="BC92" i="6"/>
  <c r="BC91" i="6"/>
  <c r="BC90" i="6"/>
  <c r="BC89" i="6"/>
  <c r="BC88" i="6"/>
  <c r="BC87" i="6"/>
  <c r="BC86" i="6"/>
  <c r="BC85" i="6"/>
  <c r="BC84" i="6"/>
  <c r="BC83" i="6"/>
  <c r="BC82" i="6"/>
  <c r="BC81" i="6"/>
  <c r="BC80" i="6"/>
  <c r="BC79" i="6"/>
  <c r="BC78" i="6"/>
  <c r="BC77" i="6"/>
  <c r="BC76" i="6"/>
  <c r="BC75" i="6"/>
  <c r="BC74" i="6"/>
  <c r="BC73" i="6"/>
  <c r="BC71" i="6"/>
  <c r="BC70" i="6"/>
  <c r="BC69" i="6"/>
  <c r="BC68" i="6"/>
  <c r="BC67" i="6"/>
  <c r="BC66" i="6"/>
  <c r="BC65" i="6"/>
  <c r="BC64" i="6"/>
  <c r="BC63" i="6"/>
  <c r="BC62" i="6"/>
  <c r="BC61" i="6"/>
  <c r="BC60" i="6"/>
  <c r="BC59" i="6"/>
  <c r="BC58" i="6"/>
  <c r="BC57" i="6"/>
  <c r="BC56" i="6"/>
  <c r="BC55" i="6"/>
  <c r="BC54" i="6"/>
  <c r="BC53" i="6"/>
  <c r="BC52" i="6"/>
  <c r="BC51" i="6"/>
  <c r="BC50" i="6"/>
  <c r="BC49" i="6"/>
  <c r="BC48" i="6"/>
  <c r="BC47" i="6"/>
  <c r="BC46" i="6"/>
  <c r="BC45" i="6"/>
  <c r="BC44" i="6"/>
  <c r="BC43" i="6"/>
  <c r="BC42" i="6"/>
  <c r="BC41" i="6"/>
  <c r="BC40" i="6"/>
  <c r="BC39" i="6"/>
  <c r="BC38" i="6"/>
  <c r="BC37" i="6"/>
  <c r="BC36" i="6"/>
  <c r="BC35" i="6"/>
  <c r="BC34" i="6"/>
  <c r="BC33" i="6"/>
  <c r="BC32" i="6"/>
  <c r="BC31" i="6"/>
  <c r="BC30" i="6"/>
  <c r="BC29" i="6"/>
  <c r="BC28" i="6"/>
  <c r="BC27" i="6"/>
  <c r="BC26" i="6"/>
  <c r="BC25" i="6"/>
  <c r="BC24" i="6"/>
  <c r="BC23" i="6"/>
  <c r="BC22" i="6"/>
  <c r="BC21" i="6"/>
  <c r="BC20" i="6"/>
  <c r="BC19" i="6"/>
  <c r="BC18" i="6"/>
  <c r="BC17" i="6"/>
  <c r="BC16" i="6"/>
  <c r="BC15" i="6"/>
  <c r="BC14" i="6"/>
  <c r="BC13" i="6"/>
  <c r="BC12" i="6"/>
  <c r="BC11" i="6"/>
  <c r="BC10" i="6"/>
  <c r="BC9" i="6"/>
  <c r="BC8" i="6"/>
  <c r="BC7" i="6"/>
  <c r="BC6" i="6"/>
  <c r="BC5" i="6"/>
  <c r="BC4" i="6"/>
  <c r="BC3" i="6"/>
  <c r="BC2" i="6"/>
  <c r="AW151" i="6"/>
  <c r="AW139" i="6"/>
  <c r="AW138" i="6"/>
  <c r="AW137" i="6"/>
  <c r="AW136" i="6"/>
  <c r="AW135" i="6"/>
  <c r="AW134" i="6"/>
  <c r="AW133" i="6"/>
  <c r="AW132" i="6"/>
  <c r="AW131" i="6"/>
  <c r="AW130" i="6"/>
  <c r="AW129" i="6"/>
  <c r="AW128" i="6"/>
  <c r="AW127" i="6"/>
  <c r="AW126" i="6"/>
  <c r="AW125" i="6"/>
  <c r="AW124" i="6"/>
  <c r="AW123" i="6"/>
  <c r="AW122" i="6"/>
  <c r="AW121" i="6"/>
  <c r="AW120" i="6"/>
  <c r="AW119" i="6"/>
  <c r="AW118" i="6"/>
  <c r="AW117" i="6"/>
  <c r="AW116" i="6"/>
  <c r="AW115" i="6"/>
  <c r="AW114" i="6"/>
  <c r="AW113" i="6"/>
  <c r="AW112" i="6"/>
  <c r="AW111" i="6"/>
  <c r="AW110" i="6"/>
  <c r="AW109" i="6"/>
  <c r="AW108" i="6"/>
  <c r="AW107" i="6"/>
  <c r="AW106" i="6"/>
  <c r="AW105" i="6"/>
  <c r="AW104" i="6"/>
  <c r="AW103" i="6"/>
  <c r="AW102" i="6"/>
  <c r="AW101" i="6"/>
  <c r="AW100" i="6"/>
  <c r="AW99" i="6"/>
  <c r="AW98" i="6"/>
  <c r="AW97" i="6"/>
  <c r="AW96" i="6"/>
  <c r="AW95" i="6"/>
  <c r="AW94" i="6"/>
  <c r="AW93" i="6"/>
  <c r="AW92" i="6"/>
  <c r="AW91" i="6"/>
  <c r="AW90" i="6"/>
  <c r="AW89" i="6"/>
  <c r="AW88" i="6"/>
  <c r="AW87" i="6"/>
  <c r="AW86" i="6"/>
  <c r="AW85" i="6"/>
  <c r="AW84" i="6"/>
  <c r="AW83" i="6"/>
  <c r="AW82" i="6"/>
  <c r="AW81" i="6"/>
  <c r="AW80" i="6"/>
  <c r="AW79" i="6"/>
  <c r="AW78" i="6"/>
  <c r="AW77" i="6"/>
  <c r="AW76" i="6"/>
  <c r="AW75" i="6"/>
  <c r="AW74" i="6"/>
  <c r="AW73" i="6"/>
  <c r="AW72" i="6"/>
  <c r="AW71" i="6"/>
  <c r="AW70" i="6"/>
  <c r="AW69" i="6"/>
  <c r="AW68" i="6"/>
  <c r="AW67" i="6"/>
  <c r="AW66" i="6"/>
  <c r="AW65" i="6"/>
  <c r="AW64" i="6"/>
  <c r="AW63" i="6"/>
  <c r="AW62" i="6"/>
  <c r="AW61" i="6"/>
  <c r="AW60" i="6"/>
  <c r="AW59" i="6"/>
  <c r="AW58" i="6"/>
  <c r="AW57" i="6"/>
  <c r="AW56" i="6"/>
  <c r="AW55" i="6"/>
  <c r="AW54" i="6"/>
  <c r="AW53" i="6"/>
  <c r="AW52" i="6"/>
  <c r="AW51" i="6"/>
  <c r="AW50" i="6"/>
  <c r="AW49" i="6"/>
  <c r="AW48" i="6"/>
  <c r="AW47" i="6"/>
  <c r="AW46" i="6"/>
  <c r="AW45" i="6"/>
  <c r="AW44" i="6"/>
  <c r="AW43" i="6"/>
  <c r="AW42" i="6"/>
  <c r="AW41" i="6"/>
  <c r="AW40" i="6"/>
  <c r="AW39" i="6"/>
  <c r="AW38" i="6"/>
  <c r="AW37" i="6"/>
  <c r="AW36" i="6"/>
  <c r="AW35" i="6"/>
  <c r="AW34" i="6"/>
  <c r="AW33" i="6"/>
  <c r="AW32" i="6"/>
  <c r="AW31" i="6"/>
  <c r="AW30" i="6"/>
  <c r="AW29" i="6"/>
  <c r="AW28" i="6"/>
  <c r="AW27" i="6"/>
  <c r="AW26" i="6"/>
  <c r="AW25" i="6"/>
  <c r="AW24" i="6"/>
  <c r="AW23" i="6"/>
  <c r="AW22" i="6"/>
  <c r="AW21" i="6"/>
  <c r="AW20" i="6"/>
  <c r="AW19" i="6"/>
  <c r="AW18" i="6"/>
  <c r="AW17" i="6"/>
  <c r="AW16" i="6"/>
  <c r="AW15" i="6"/>
  <c r="AW14" i="6"/>
  <c r="AW13" i="6"/>
  <c r="AW12" i="6"/>
  <c r="AW11" i="6"/>
  <c r="AW10" i="6"/>
  <c r="AW9" i="6"/>
  <c r="AW8" i="6"/>
  <c r="AW7" i="6"/>
  <c r="AW6" i="6"/>
  <c r="AW5" i="6"/>
  <c r="AW4" i="6"/>
  <c r="AW3" i="6"/>
  <c r="AW2" i="6"/>
  <c r="M151" i="6"/>
  <c r="M150" i="6"/>
  <c r="M149" i="6"/>
  <c r="M148" i="6"/>
  <c r="M147" i="6"/>
  <c r="M146" i="6"/>
  <c r="M145" i="6"/>
  <c r="M144" i="6"/>
  <c r="M143" i="6"/>
  <c r="M142" i="6"/>
  <c r="M141" i="6"/>
  <c r="M140" i="6"/>
  <c r="M139" i="6"/>
  <c r="M138" i="6"/>
  <c r="M137" i="6"/>
  <c r="M136" i="6"/>
  <c r="M135" i="6"/>
  <c r="M134" i="6"/>
  <c r="M133" i="6"/>
  <c r="M132" i="6"/>
  <c r="M131" i="6"/>
  <c r="M130" i="6"/>
  <c r="M129" i="6"/>
  <c r="M128" i="6"/>
  <c r="M127" i="6"/>
  <c r="M126" i="6"/>
  <c r="M125" i="6"/>
  <c r="M124" i="6"/>
  <c r="M123" i="6"/>
  <c r="M122" i="6"/>
  <c r="M121" i="6"/>
  <c r="M120" i="6"/>
  <c r="M119" i="6"/>
  <c r="M118" i="6"/>
  <c r="M117" i="6"/>
  <c r="M116" i="6"/>
  <c r="M115" i="6"/>
  <c r="M114" i="6"/>
  <c r="M113" i="6"/>
  <c r="M112" i="6"/>
  <c r="M111" i="6"/>
  <c r="M110" i="6"/>
  <c r="M109" i="6"/>
  <c r="M108" i="6"/>
  <c r="M107" i="6"/>
  <c r="M106" i="6"/>
  <c r="M105" i="6"/>
  <c r="M104" i="6"/>
  <c r="M103" i="6"/>
  <c r="M102" i="6"/>
  <c r="M101" i="6"/>
  <c r="M100" i="6"/>
  <c r="M99" i="6"/>
  <c r="M98" i="6"/>
  <c r="M97" i="6"/>
  <c r="M96" i="6"/>
  <c r="M95" i="6"/>
  <c r="M94" i="6"/>
  <c r="M93" i="6"/>
  <c r="M92" i="6"/>
  <c r="M91" i="6"/>
  <c r="M90" i="6"/>
  <c r="M89" i="6"/>
  <c r="M88" i="6"/>
  <c r="M87" i="6"/>
  <c r="M86" i="6"/>
  <c r="M85" i="6"/>
  <c r="M84" i="6"/>
  <c r="M83" i="6"/>
  <c r="M82" i="6"/>
  <c r="M81" i="6"/>
  <c r="M80" i="6"/>
  <c r="M79" i="6"/>
  <c r="M78" i="6"/>
  <c r="M77" i="6"/>
  <c r="M76" i="6"/>
  <c r="M75" i="6"/>
  <c r="M74" i="6"/>
  <c r="M73" i="6"/>
  <c r="M72" i="6"/>
  <c r="M71" i="6"/>
  <c r="M70" i="6"/>
  <c r="M69" i="6"/>
  <c r="M68" i="6"/>
  <c r="M67" i="6"/>
  <c r="M66" i="6"/>
  <c r="M65" i="6"/>
  <c r="M64" i="6"/>
  <c r="M63" i="6"/>
  <c r="M62" i="6"/>
  <c r="M61" i="6"/>
  <c r="M60" i="6"/>
  <c r="M59" i="6"/>
  <c r="M58" i="6"/>
  <c r="M57" i="6"/>
  <c r="M56" i="6"/>
  <c r="M55" i="6"/>
  <c r="M54" i="6"/>
  <c r="M53" i="6"/>
  <c r="M52" i="6"/>
  <c r="M51" i="6"/>
  <c r="M50" i="6"/>
  <c r="M49" i="6"/>
  <c r="M48" i="6"/>
  <c r="M47" i="6"/>
  <c r="M46" i="6"/>
  <c r="M45" i="6"/>
  <c r="M44" i="6"/>
  <c r="M43" i="6"/>
  <c r="M42" i="6"/>
  <c r="M41" i="6"/>
  <c r="M40" i="6"/>
  <c r="M39" i="6"/>
  <c r="M38" i="6"/>
  <c r="M37" i="6"/>
  <c r="M36" i="6"/>
  <c r="M35" i="6"/>
  <c r="M34" i="6"/>
  <c r="M33" i="6"/>
  <c r="M32" i="6"/>
  <c r="M31" i="6"/>
  <c r="M30" i="6"/>
  <c r="M29" i="6"/>
  <c r="M28" i="6"/>
  <c r="M27" i="6"/>
  <c r="M26" i="6"/>
  <c r="M25" i="6"/>
  <c r="M24" i="6"/>
  <c r="M23" i="6"/>
  <c r="M22" i="6"/>
  <c r="M21" i="6"/>
  <c r="M20" i="6"/>
  <c r="M19" i="6"/>
  <c r="M18" i="6"/>
  <c r="M17" i="6"/>
  <c r="M16" i="6"/>
  <c r="M15" i="6"/>
  <c r="M14" i="6"/>
  <c r="M13" i="6"/>
  <c r="M12" i="6"/>
  <c r="M11" i="6"/>
  <c r="M10" i="6"/>
  <c r="M9" i="6"/>
  <c r="M8" i="6"/>
  <c r="M7" i="6"/>
  <c r="M6" i="6"/>
  <c r="M5" i="6"/>
  <c r="M4" i="6"/>
  <c r="M3" i="6"/>
  <c r="M2" i="6"/>
  <c r="B178" i="13" l="1"/>
  <c r="C86" i="13"/>
  <c r="B56" i="13"/>
  <c r="B158" i="13"/>
  <c r="B334" i="13"/>
  <c r="B155" i="13"/>
  <c r="B140" i="12"/>
  <c r="B139" i="12"/>
  <c r="B138" i="12"/>
  <c r="D115" i="12"/>
  <c r="C135" i="12"/>
  <c r="C94" i="12"/>
  <c r="C93" i="12"/>
  <c r="C124" i="12"/>
  <c r="C133" i="12"/>
  <c r="D83" i="12"/>
  <c r="C103" i="12"/>
  <c r="D103" i="12"/>
  <c r="C134" i="12"/>
  <c r="C85" i="12"/>
  <c r="C84" i="12"/>
  <c r="D95" i="12"/>
  <c r="D84" i="12"/>
  <c r="D104" i="12"/>
  <c r="C125" i="12"/>
  <c r="C123" i="12"/>
  <c r="C75" i="12"/>
  <c r="C105" i="12"/>
  <c r="D105" i="12"/>
  <c r="C115" i="12"/>
  <c r="C74" i="12"/>
  <c r="D73" i="12"/>
  <c r="D133" i="12"/>
  <c r="D93" i="12"/>
  <c r="C83" i="12"/>
  <c r="C113" i="12"/>
  <c r="D134" i="12"/>
  <c r="D94" i="12"/>
  <c r="C114" i="12"/>
  <c r="C73" i="12"/>
  <c r="D135" i="12"/>
  <c r="D123" i="12"/>
  <c r="D124" i="12"/>
  <c r="D125" i="12"/>
  <c r="D85" i="12"/>
  <c r="C104" i="12"/>
  <c r="D113" i="12"/>
  <c r="D74" i="12"/>
  <c r="D114" i="12"/>
  <c r="C95" i="12"/>
  <c r="B290" i="13"/>
  <c r="C246" i="13"/>
  <c r="B260" i="13"/>
  <c r="B355" i="13"/>
  <c r="B322" i="13"/>
  <c r="D345" i="13"/>
  <c r="C348" i="13"/>
  <c r="C339" i="13"/>
  <c r="D342" i="13"/>
  <c r="C347" i="13"/>
  <c r="C352" i="13"/>
  <c r="D341" i="13"/>
  <c r="C346" i="13"/>
  <c r="D352" i="13"/>
  <c r="D340" i="13"/>
  <c r="C345" i="13"/>
  <c r="C342" i="13"/>
  <c r="C341" i="13"/>
  <c r="D351" i="13"/>
  <c r="D339" i="13"/>
  <c r="B344" i="13"/>
  <c r="D347" i="13"/>
  <c r="D348" i="13"/>
  <c r="C351" i="13"/>
  <c r="D346" i="13"/>
  <c r="C340" i="13"/>
  <c r="B321" i="13"/>
  <c r="C242" i="13"/>
  <c r="C241" i="13"/>
  <c r="C245" i="13"/>
  <c r="C244" i="13"/>
  <c r="C243" i="13"/>
  <c r="B177" i="13"/>
  <c r="B176" i="13"/>
  <c r="B175" i="13"/>
  <c r="B174" i="13"/>
  <c r="B173" i="13"/>
  <c r="B137" i="12"/>
  <c r="B51" i="14"/>
  <c r="C78" i="13"/>
  <c r="D78" i="13"/>
  <c r="C94" i="13"/>
  <c r="D103" i="13"/>
  <c r="D102" i="13"/>
  <c r="D104" i="13"/>
  <c r="D101" i="13"/>
  <c r="D100" i="13"/>
  <c r="C104" i="13"/>
  <c r="C103" i="13"/>
  <c r="C102" i="13"/>
  <c r="C101" i="13"/>
  <c r="C100" i="13"/>
  <c r="D94" i="13"/>
  <c r="D130" i="13"/>
  <c r="D129" i="13"/>
  <c r="D128" i="13"/>
  <c r="D72" i="12"/>
  <c r="D75" i="12"/>
  <c r="D82" i="12"/>
  <c r="D92" i="12"/>
  <c r="D102" i="12"/>
  <c r="D112" i="12"/>
  <c r="D122" i="12"/>
  <c r="D132" i="12"/>
  <c r="C132" i="12"/>
  <c r="C122" i="12"/>
  <c r="C112" i="12"/>
  <c r="C102" i="12"/>
  <c r="C92" i="12"/>
  <c r="C82" i="12"/>
  <c r="C72" i="12"/>
  <c r="C95" i="13"/>
  <c r="C93" i="13"/>
  <c r="D95" i="13"/>
  <c r="D93" i="13"/>
  <c r="B172" i="13"/>
  <c r="B171" i="13"/>
  <c r="B169" i="13"/>
  <c r="B170" i="13"/>
  <c r="C119" i="13"/>
  <c r="D119" i="13"/>
  <c r="B168" i="13"/>
  <c r="B317" i="13"/>
  <c r="B289" i="13"/>
  <c r="B319" i="13"/>
  <c r="B288" i="13"/>
  <c r="B258" i="13"/>
  <c r="B314" i="13"/>
  <c r="B287" i="13"/>
  <c r="B320" i="13"/>
  <c r="B316" i="13"/>
  <c r="B259" i="13"/>
  <c r="B333" i="13"/>
  <c r="B315" i="13"/>
  <c r="B318" i="13"/>
  <c r="B50" i="14"/>
  <c r="B60" i="12"/>
  <c r="B50" i="12"/>
  <c r="B49" i="12"/>
  <c r="B79" i="15"/>
  <c r="B60" i="15"/>
  <c r="B39" i="15"/>
  <c r="B41" i="15"/>
  <c r="B61" i="15"/>
  <c r="B78" i="15"/>
  <c r="B59" i="15"/>
  <c r="B26" i="15"/>
  <c r="B77" i="15"/>
  <c r="B40" i="15"/>
  <c r="B166" i="13"/>
  <c r="B167" i="13"/>
  <c r="B165" i="13"/>
  <c r="B164" i="13"/>
  <c r="B163" i="13"/>
  <c r="B162" i="13"/>
  <c r="B161" i="13"/>
  <c r="B160" i="13"/>
  <c r="B159" i="13"/>
  <c r="B38" i="13"/>
  <c r="B37" i="13"/>
  <c r="B71" i="13"/>
  <c r="C311" i="13"/>
  <c r="C310" i="13"/>
  <c r="C309" i="13"/>
  <c r="C308" i="13"/>
  <c r="D310" i="13"/>
  <c r="D309" i="13"/>
  <c r="D305" i="13"/>
  <c r="D308" i="13"/>
  <c r="D311" i="13"/>
  <c r="D255" i="13"/>
  <c r="D253" i="13"/>
  <c r="D252" i="13"/>
  <c r="D254" i="13"/>
  <c r="C118" i="13"/>
  <c r="C113" i="13"/>
  <c r="C120" i="13"/>
  <c r="C114" i="13"/>
  <c r="C116" i="13"/>
  <c r="B44" i="13"/>
  <c r="C115" i="13"/>
  <c r="C112" i="13"/>
  <c r="C111" i="13"/>
  <c r="C117" i="13"/>
  <c r="C52" i="13"/>
  <c r="C24" i="13"/>
  <c r="C303" i="13"/>
  <c r="D328" i="13"/>
  <c r="B157" i="13"/>
  <c r="D303" i="13"/>
  <c r="B156" i="13"/>
  <c r="C329" i="13"/>
  <c r="B39" i="13"/>
  <c r="D329" i="13"/>
  <c r="B154" i="13"/>
  <c r="D298" i="13"/>
  <c r="B41" i="13"/>
  <c r="D301" i="13"/>
  <c r="B43" i="13"/>
  <c r="C328" i="13"/>
  <c r="D304" i="13"/>
  <c r="B42" i="13"/>
  <c r="C302" i="13"/>
  <c r="D302" i="13"/>
  <c r="C300" i="13"/>
  <c r="C330" i="13"/>
  <c r="B40" i="13"/>
  <c r="C299" i="13"/>
  <c r="D300" i="13"/>
  <c r="C298" i="13"/>
  <c r="C305" i="13"/>
  <c r="D330" i="13"/>
  <c r="C301" i="13"/>
  <c r="C304" i="13"/>
  <c r="C56" i="15"/>
  <c r="C8" i="15"/>
  <c r="B29" i="15" s="1"/>
  <c r="B24" i="15"/>
  <c r="C55" i="15"/>
  <c r="C7" i="15"/>
  <c r="C71" i="15"/>
  <c r="B25" i="15"/>
  <c r="C54" i="15"/>
  <c r="C22" i="15"/>
  <c r="C75" i="15"/>
  <c r="C48" i="15"/>
  <c r="C21" i="15"/>
  <c r="C73" i="15"/>
  <c r="C37" i="15"/>
  <c r="C36" i="15"/>
  <c r="C35" i="15"/>
  <c r="C70" i="15"/>
  <c r="C69" i="15"/>
  <c r="C17" i="15"/>
  <c r="C68" i="15"/>
  <c r="C10" i="15"/>
  <c r="C52" i="15"/>
  <c r="C20" i="15"/>
  <c r="C49" i="15"/>
  <c r="C51" i="15"/>
  <c r="C19" i="15"/>
  <c r="C53" i="15"/>
  <c r="C50" i="15"/>
  <c r="C18" i="15"/>
  <c r="C57" i="15"/>
  <c r="C74" i="15"/>
  <c r="C9" i="15"/>
  <c r="C72" i="15"/>
  <c r="C34" i="15"/>
  <c r="C33" i="15"/>
  <c r="C297" i="13"/>
  <c r="D282" i="13"/>
  <c r="D274" i="13"/>
  <c r="D268" i="13"/>
  <c r="C282" i="13"/>
  <c r="C277" i="13"/>
  <c r="C272" i="13"/>
  <c r="C267" i="13"/>
  <c r="C253" i="13"/>
  <c r="D237" i="13"/>
  <c r="D233" i="13"/>
  <c r="D227" i="13"/>
  <c r="D223" i="13"/>
  <c r="D215" i="13"/>
  <c r="D278" i="13"/>
  <c r="C284" i="13"/>
  <c r="C274" i="13"/>
  <c r="D235" i="13"/>
  <c r="D225" i="13"/>
  <c r="D277" i="13"/>
  <c r="D269" i="13"/>
  <c r="C278" i="13"/>
  <c r="C268" i="13"/>
  <c r="C254" i="13"/>
  <c r="D238" i="13"/>
  <c r="D228" i="13"/>
  <c r="D219" i="13"/>
  <c r="D279" i="13"/>
  <c r="D273" i="13"/>
  <c r="D267" i="13"/>
  <c r="C281" i="13"/>
  <c r="C276" i="13"/>
  <c r="C271" i="13"/>
  <c r="C266" i="13"/>
  <c r="C252" i="13"/>
  <c r="D236" i="13"/>
  <c r="D232" i="13"/>
  <c r="D226" i="13"/>
  <c r="D218" i="13"/>
  <c r="D214" i="13"/>
  <c r="D272" i="13"/>
  <c r="C279" i="13"/>
  <c r="C269" i="13"/>
  <c r="C255" i="13"/>
  <c r="D229" i="13"/>
  <c r="D217" i="13"/>
  <c r="D213" i="13"/>
  <c r="D283" i="13"/>
  <c r="C283" i="13"/>
  <c r="C273" i="13"/>
  <c r="D234" i="13"/>
  <c r="D224" i="13"/>
  <c r="D284" i="13"/>
  <c r="C219" i="13"/>
  <c r="C217" i="13"/>
  <c r="D202" i="13"/>
  <c r="D200" i="13"/>
  <c r="D198" i="13"/>
  <c r="D196" i="13"/>
  <c r="C191" i="13"/>
  <c r="C189" i="13"/>
  <c r="C187" i="13"/>
  <c r="D151" i="13"/>
  <c r="D149" i="13"/>
  <c r="D147" i="13"/>
  <c r="C144" i="13"/>
  <c r="C142" i="13"/>
  <c r="C140" i="13"/>
  <c r="C138" i="13"/>
  <c r="C136" i="13"/>
  <c r="C134" i="13"/>
  <c r="D127" i="13"/>
  <c r="D125" i="13"/>
  <c r="D118" i="13"/>
  <c r="D114" i="13"/>
  <c r="D112" i="13"/>
  <c r="C107" i="13"/>
  <c r="C97" i="13"/>
  <c r="C92" i="13"/>
  <c r="C90" i="13"/>
  <c r="C88" i="13"/>
  <c r="D86" i="13"/>
  <c r="D84" i="13"/>
  <c r="D82" i="13"/>
  <c r="D80" i="13"/>
  <c r="D69" i="13"/>
  <c r="D67" i="13"/>
  <c r="D65" i="13"/>
  <c r="D63" i="13"/>
  <c r="D53" i="13"/>
  <c r="D51" i="13"/>
  <c r="D26" i="13"/>
  <c r="C16" i="13"/>
  <c r="B324" i="13" s="1"/>
  <c r="C12" i="13"/>
  <c r="B209" i="13" s="1"/>
  <c r="C8" i="13"/>
  <c r="B47" i="13" s="1"/>
  <c r="D32" i="13"/>
  <c r="D24" i="13"/>
  <c r="C15" i="13"/>
  <c r="B293" i="13" s="1"/>
  <c r="C7" i="13"/>
  <c r="B20" i="13" s="1"/>
  <c r="C218" i="13"/>
  <c r="C215" i="13"/>
  <c r="C213" i="13"/>
  <c r="C202" i="13"/>
  <c r="C200" i="13"/>
  <c r="C198" i="13"/>
  <c r="C196" i="13"/>
  <c r="D190" i="13"/>
  <c r="D188" i="13"/>
  <c r="D186" i="13"/>
  <c r="C151" i="13"/>
  <c r="C149" i="13"/>
  <c r="C147" i="13"/>
  <c r="D143" i="13"/>
  <c r="D141" i="13"/>
  <c r="D139" i="13"/>
  <c r="D137" i="13"/>
  <c r="D135" i="13"/>
  <c r="D133" i="13"/>
  <c r="C127" i="13"/>
  <c r="C125" i="13"/>
  <c r="D121" i="13"/>
  <c r="D117" i="13"/>
  <c r="D108" i="13"/>
  <c r="D96" i="13"/>
  <c r="D91" i="13"/>
  <c r="D89" i="13"/>
  <c r="C84" i="13"/>
  <c r="C82" i="13"/>
  <c r="C80" i="13"/>
  <c r="C69" i="13"/>
  <c r="C67" i="13"/>
  <c r="C65" i="13"/>
  <c r="C63" i="13"/>
  <c r="C53" i="13"/>
  <c r="C51" i="13"/>
  <c r="C26" i="13"/>
  <c r="C11" i="13"/>
  <c r="B182" i="13" s="1"/>
  <c r="C222" i="13"/>
  <c r="C231" i="13"/>
  <c r="C214" i="13"/>
  <c r="D201" i="13"/>
  <c r="D199" i="13"/>
  <c r="D197" i="13"/>
  <c r="B195" i="13"/>
  <c r="C190" i="13"/>
  <c r="C188" i="13"/>
  <c r="C186" i="13"/>
  <c r="D152" i="13"/>
  <c r="D150" i="13"/>
  <c r="D148" i="13"/>
  <c r="C143" i="13"/>
  <c r="C141" i="13"/>
  <c r="C139" i="13"/>
  <c r="C137" i="13"/>
  <c r="C135" i="13"/>
  <c r="C133" i="13"/>
  <c r="D126" i="13"/>
  <c r="D124" i="13"/>
  <c r="C121" i="13"/>
  <c r="D116" i="13"/>
  <c r="D113" i="13"/>
  <c r="D111" i="13"/>
  <c r="C108" i="13"/>
  <c r="C96" i="13"/>
  <c r="C91" i="13"/>
  <c r="C89" i="13"/>
  <c r="D87" i="13"/>
  <c r="D85" i="13"/>
  <c r="D83" i="13"/>
  <c r="D81" i="13"/>
  <c r="D79" i="13"/>
  <c r="D68" i="13"/>
  <c r="D66" i="13"/>
  <c r="D64" i="13"/>
  <c r="D54" i="13"/>
  <c r="D52" i="13"/>
  <c r="D35" i="13"/>
  <c r="C32" i="13"/>
  <c r="D25" i="13"/>
  <c r="C14" i="13"/>
  <c r="B262" i="13" s="1"/>
  <c r="C10" i="13"/>
  <c r="B74" i="13" s="1"/>
  <c r="C199" i="13"/>
  <c r="D187" i="13"/>
  <c r="C152" i="13"/>
  <c r="D142" i="13"/>
  <c r="D134" i="13"/>
  <c r="D120" i="13"/>
  <c r="D107" i="13"/>
  <c r="D97" i="13"/>
  <c r="C87" i="13"/>
  <c r="C79" i="13"/>
  <c r="C64" i="13"/>
  <c r="C35" i="13"/>
  <c r="C124" i="13"/>
  <c r="C66" i="13"/>
  <c r="C9" i="13"/>
  <c r="B59" i="13" s="1"/>
  <c r="C197" i="13"/>
  <c r="B185" i="13"/>
  <c r="C150" i="13"/>
  <c r="D140" i="13"/>
  <c r="D115" i="13"/>
  <c r="D92" i="13"/>
  <c r="C85" i="13"/>
  <c r="C17" i="13"/>
  <c r="B336" i="13" s="1"/>
  <c r="D189" i="13"/>
  <c r="D136" i="13"/>
  <c r="D88" i="13"/>
  <c r="D191" i="13"/>
  <c r="C148" i="13"/>
  <c r="D138" i="13"/>
  <c r="C126" i="13"/>
  <c r="D90" i="13"/>
  <c r="C83" i="13"/>
  <c r="C68" i="13"/>
  <c r="C54" i="13"/>
  <c r="C13" i="13"/>
  <c r="B248" i="13" s="1"/>
  <c r="C201" i="13"/>
  <c r="D144" i="13"/>
  <c r="C81" i="13"/>
  <c r="C25" i="13"/>
  <c r="D7" i="2"/>
  <c r="D29" i="2"/>
  <c r="C36" i="14"/>
  <c r="C26" i="14"/>
  <c r="C17" i="14"/>
  <c r="C41" i="14"/>
  <c r="C31" i="14"/>
  <c r="D20" i="14"/>
  <c r="C35" i="14"/>
  <c r="C24" i="14"/>
  <c r="C16" i="14"/>
  <c r="D21" i="14"/>
  <c r="B46" i="14"/>
  <c r="C34" i="14"/>
  <c r="C23" i="14"/>
  <c r="C15" i="14"/>
  <c r="D37" i="14"/>
  <c r="C28" i="14"/>
  <c r="D18" i="14"/>
  <c r="B44" i="14"/>
  <c r="C33" i="14"/>
  <c r="C22" i="14"/>
  <c r="D41" i="14"/>
  <c r="C32" i="14"/>
  <c r="C21" i="14"/>
  <c r="D35" i="14"/>
  <c r="D24" i="14"/>
  <c r="D16" i="14"/>
  <c r="C40" i="14"/>
  <c r="D29" i="14"/>
  <c r="C20" i="14"/>
  <c r="C7" i="14"/>
  <c r="B43" i="14"/>
  <c r="D28" i="14"/>
  <c r="D33" i="14"/>
  <c r="C18" i="14"/>
  <c r="D32" i="14"/>
  <c r="D19" i="14"/>
  <c r="D17" i="14"/>
  <c r="D15" i="14"/>
  <c r="B48" i="14"/>
  <c r="C19" i="14"/>
  <c r="D22" i="14"/>
  <c r="C14" i="14"/>
  <c r="C37" i="14"/>
  <c r="D38" i="14"/>
  <c r="D36" i="14"/>
  <c r="B49" i="14"/>
  <c r="C38" i="14"/>
  <c r="C27" i="14"/>
  <c r="B45" i="14"/>
  <c r="D23" i="14"/>
  <c r="D27" i="14"/>
  <c r="C29" i="14"/>
  <c r="B47" i="14"/>
  <c r="D34" i="14"/>
  <c r="D78" i="12"/>
  <c r="C70" i="12"/>
  <c r="C9" i="12"/>
  <c r="B63" i="12" s="1"/>
  <c r="C130" i="12"/>
  <c r="C128" i="12"/>
  <c r="C120" i="12"/>
  <c r="C118" i="12"/>
  <c r="C110" i="12"/>
  <c r="C108" i="12"/>
  <c r="C100" i="12"/>
  <c r="C98" i="12"/>
  <c r="C90" i="12"/>
  <c r="C88" i="12"/>
  <c r="C80" i="12"/>
  <c r="C78" i="12"/>
  <c r="D68" i="12"/>
  <c r="C69" i="12"/>
  <c r="D131" i="12"/>
  <c r="D129" i="12"/>
  <c r="D121" i="12"/>
  <c r="D119" i="12"/>
  <c r="D111" i="12"/>
  <c r="D109" i="12"/>
  <c r="D101" i="12"/>
  <c r="D99" i="12"/>
  <c r="D91" i="12"/>
  <c r="D89" i="12"/>
  <c r="D81" i="12"/>
  <c r="D79" i="12"/>
  <c r="D71" i="12"/>
  <c r="D67" i="12"/>
  <c r="C68" i="12"/>
  <c r="B59" i="12"/>
  <c r="C131" i="12"/>
  <c r="C129" i="12"/>
  <c r="C121" i="12"/>
  <c r="C119" i="12"/>
  <c r="C111" i="12"/>
  <c r="C109" i="12"/>
  <c r="C101" i="12"/>
  <c r="C99" i="12"/>
  <c r="C91" i="12"/>
  <c r="C89" i="12"/>
  <c r="C81" i="12"/>
  <c r="C79" i="12"/>
  <c r="D70" i="12"/>
  <c r="C71" i="12"/>
  <c r="C67" i="12"/>
  <c r="D130" i="12"/>
  <c r="D128" i="12"/>
  <c r="D120" i="12"/>
  <c r="D118" i="12"/>
  <c r="D110" i="12"/>
  <c r="D108" i="12"/>
  <c r="D100" i="12"/>
  <c r="D98" i="12"/>
  <c r="D90" i="12"/>
  <c r="D88" i="12"/>
  <c r="D80" i="12"/>
  <c r="D69" i="12"/>
  <c r="C57" i="12"/>
  <c r="D27" i="2"/>
  <c r="C32" i="12"/>
  <c r="D39" i="12"/>
  <c r="D31" i="12"/>
  <c r="D22" i="12"/>
  <c r="B47" i="12"/>
  <c r="C37" i="12"/>
  <c r="C29" i="12"/>
  <c r="C20" i="12"/>
  <c r="D38" i="12"/>
  <c r="D30" i="12"/>
  <c r="D21" i="12"/>
  <c r="C8" i="12"/>
  <c r="C30" i="12"/>
  <c r="B48" i="12"/>
  <c r="D37" i="12"/>
  <c r="D29" i="12"/>
  <c r="D20" i="12"/>
  <c r="C44" i="12"/>
  <c r="C35" i="12"/>
  <c r="C27" i="12"/>
  <c r="C18" i="12"/>
  <c r="D44" i="12"/>
  <c r="D35" i="12"/>
  <c r="D27" i="12"/>
  <c r="D18" i="12"/>
  <c r="C41" i="12"/>
  <c r="C33" i="12"/>
  <c r="C24" i="12"/>
  <c r="C16" i="12"/>
  <c r="D42" i="12"/>
  <c r="D34" i="12"/>
  <c r="D26" i="12"/>
  <c r="D17" i="12"/>
  <c r="D33" i="12"/>
  <c r="C39" i="12"/>
  <c r="D40" i="12"/>
  <c r="D23" i="12"/>
  <c r="C21" i="12"/>
  <c r="C28" i="12"/>
  <c r="C26" i="12"/>
  <c r="D24" i="12"/>
  <c r="C31" i="12"/>
  <c r="D36" i="12"/>
  <c r="D19" i="12"/>
  <c r="C7" i="12"/>
  <c r="C19" i="12"/>
  <c r="C17" i="12"/>
  <c r="C23" i="12"/>
  <c r="D16" i="12"/>
  <c r="C22" i="12"/>
  <c r="D57" i="12"/>
  <c r="D32" i="12"/>
  <c r="C45" i="12"/>
  <c r="C42" i="12"/>
  <c r="D28" i="12"/>
  <c r="C40" i="12"/>
  <c r="D41" i="12"/>
  <c r="C34" i="12"/>
  <c r="C38" i="12"/>
  <c r="D45" i="12"/>
  <c r="C36" i="12"/>
  <c r="D73" i="15"/>
  <c r="D31" i="2"/>
  <c r="D69" i="15"/>
  <c r="D56" i="15"/>
  <c r="D48" i="15"/>
  <c r="D70" i="15"/>
  <c r="D17" i="15"/>
  <c r="D54" i="15"/>
  <c r="D22" i="15"/>
  <c r="D75" i="15"/>
  <c r="D52" i="15"/>
  <c r="D36" i="15"/>
  <c r="D20" i="15"/>
  <c r="D74" i="15"/>
  <c r="D49" i="15"/>
  <c r="D34" i="15"/>
  <c r="D72" i="15"/>
  <c r="D71" i="15"/>
  <c r="D18" i="15"/>
  <c r="D57" i="15"/>
  <c r="D55" i="15"/>
  <c r="D53" i="15"/>
  <c r="D33" i="15"/>
  <c r="D37" i="15"/>
  <c r="D50" i="15"/>
  <c r="D51" i="15"/>
  <c r="D35" i="15"/>
  <c r="D21" i="15"/>
  <c r="D19" i="15"/>
  <c r="AQ54" i="6"/>
  <c r="AK54" i="6"/>
  <c r="AE54" i="6"/>
  <c r="Y54" i="6"/>
  <c r="S54" i="6"/>
  <c r="A53" i="6" l="1"/>
  <c r="AQ151" i="6" l="1"/>
  <c r="AQ139" i="6"/>
  <c r="AQ138" i="6"/>
  <c r="AQ137" i="6"/>
  <c r="AQ136" i="6"/>
  <c r="AQ135" i="6"/>
  <c r="AQ134" i="6"/>
  <c r="AQ133" i="6"/>
  <c r="AQ132" i="6"/>
  <c r="AQ131" i="6"/>
  <c r="AQ130" i="6"/>
  <c r="AQ129" i="6"/>
  <c r="AQ128" i="6"/>
  <c r="AQ127" i="6"/>
  <c r="AQ126" i="6"/>
  <c r="AQ125" i="6"/>
  <c r="AQ124" i="6"/>
  <c r="AQ123" i="6"/>
  <c r="AQ122" i="6"/>
  <c r="AQ121" i="6"/>
  <c r="AQ120" i="6"/>
  <c r="AQ119" i="6"/>
  <c r="AQ118" i="6"/>
  <c r="AQ117" i="6"/>
  <c r="AQ116" i="6"/>
  <c r="AQ115" i="6"/>
  <c r="AQ114" i="6"/>
  <c r="AQ113" i="6"/>
  <c r="AQ112" i="6"/>
  <c r="AQ111" i="6"/>
  <c r="AQ110" i="6"/>
  <c r="AQ109" i="6"/>
  <c r="AQ108" i="6"/>
  <c r="AQ107" i="6"/>
  <c r="AQ106" i="6"/>
  <c r="AQ105" i="6"/>
  <c r="AQ104" i="6"/>
  <c r="AQ103" i="6"/>
  <c r="AQ102" i="6"/>
  <c r="AQ101" i="6"/>
  <c r="AQ100" i="6"/>
  <c r="AQ99" i="6"/>
  <c r="AQ98" i="6"/>
  <c r="AQ97" i="6"/>
  <c r="AQ96" i="6"/>
  <c r="AQ95" i="6"/>
  <c r="AQ94" i="6"/>
  <c r="AQ93" i="6"/>
  <c r="AQ92" i="6"/>
  <c r="AQ91" i="6"/>
  <c r="AQ90" i="6"/>
  <c r="AQ89" i="6"/>
  <c r="AQ88" i="6"/>
  <c r="AQ87" i="6"/>
  <c r="AQ86" i="6"/>
  <c r="AQ85" i="6"/>
  <c r="AQ84" i="6"/>
  <c r="AQ83" i="6"/>
  <c r="AQ82" i="6"/>
  <c r="AQ81" i="6"/>
  <c r="AQ80" i="6"/>
  <c r="AQ79" i="6"/>
  <c r="AQ78" i="6"/>
  <c r="AQ77" i="6"/>
  <c r="AQ76" i="6"/>
  <c r="AQ75" i="6"/>
  <c r="AQ74" i="6"/>
  <c r="AQ73" i="6"/>
  <c r="AQ72" i="6"/>
  <c r="AQ71" i="6"/>
  <c r="AQ70" i="6"/>
  <c r="AQ69" i="6"/>
  <c r="AQ68" i="6"/>
  <c r="AQ67" i="6"/>
  <c r="AQ66" i="6"/>
  <c r="AQ65" i="6"/>
  <c r="AQ64" i="6"/>
  <c r="AQ63" i="6"/>
  <c r="AQ62" i="6"/>
  <c r="AQ61" i="6"/>
  <c r="AQ60" i="6"/>
  <c r="AQ59" i="6"/>
  <c r="AQ58" i="6"/>
  <c r="AQ57" i="6"/>
  <c r="AQ56" i="6"/>
  <c r="AQ55" i="6"/>
  <c r="AQ53" i="6"/>
  <c r="AQ52" i="6"/>
  <c r="AQ51" i="6"/>
  <c r="AQ50" i="6"/>
  <c r="AQ49" i="6"/>
  <c r="AQ48" i="6"/>
  <c r="AQ47" i="6"/>
  <c r="AQ46" i="6"/>
  <c r="AQ45" i="6"/>
  <c r="AQ44" i="6"/>
  <c r="AQ43" i="6"/>
  <c r="AQ42" i="6"/>
  <c r="AQ41" i="6"/>
  <c r="AQ40" i="6"/>
  <c r="AQ39" i="6"/>
  <c r="AQ38" i="6"/>
  <c r="AQ37" i="6"/>
  <c r="AQ36" i="6"/>
  <c r="AQ35" i="6"/>
  <c r="AQ34" i="6"/>
  <c r="AQ33" i="6"/>
  <c r="AQ32" i="6"/>
  <c r="AQ31" i="6"/>
  <c r="AQ30" i="6"/>
  <c r="AQ29" i="6"/>
  <c r="AQ28" i="6"/>
  <c r="AQ27" i="6"/>
  <c r="AQ26" i="6"/>
  <c r="AQ25" i="6"/>
  <c r="AQ24" i="6"/>
  <c r="AQ23" i="6"/>
  <c r="AQ22" i="6"/>
  <c r="AQ21" i="6"/>
  <c r="AQ20" i="6"/>
  <c r="AQ19" i="6"/>
  <c r="AQ18" i="6"/>
  <c r="AQ17" i="6"/>
  <c r="AQ16" i="6"/>
  <c r="AQ15" i="6"/>
  <c r="AQ14" i="6"/>
  <c r="AQ13" i="6"/>
  <c r="AQ12" i="6"/>
  <c r="AQ11" i="6"/>
  <c r="AQ10" i="6"/>
  <c r="AQ9" i="6"/>
  <c r="AQ8" i="6"/>
  <c r="AQ7" i="6"/>
  <c r="AQ6" i="6"/>
  <c r="AQ5" i="6"/>
  <c r="AQ4" i="6"/>
  <c r="AQ3" i="6"/>
  <c r="AQ2" i="6"/>
  <c r="C112" i="11" l="1"/>
  <c r="B104" i="11"/>
  <c r="B119" i="11"/>
  <c r="D114" i="11"/>
  <c r="C114" i="11"/>
  <c r="C88" i="11"/>
  <c r="B73" i="11"/>
  <c r="B94" i="11"/>
  <c r="B81" i="11"/>
  <c r="B75" i="11"/>
  <c r="B80" i="11"/>
  <c r="C90" i="11"/>
  <c r="C89" i="11"/>
  <c r="B79" i="11"/>
  <c r="D91" i="11"/>
  <c r="D89" i="11"/>
  <c r="C91" i="11"/>
  <c r="B74" i="11"/>
  <c r="B78" i="11"/>
  <c r="B77" i="11"/>
  <c r="B76" i="11"/>
  <c r="B93" i="11"/>
  <c r="C68" i="11"/>
  <c r="C38" i="11"/>
  <c r="C35" i="11"/>
  <c r="C64" i="11"/>
  <c r="D35" i="11"/>
  <c r="C62" i="11"/>
  <c r="C67" i="11"/>
  <c r="D38" i="11"/>
  <c r="C19" i="11"/>
  <c r="C36" i="11"/>
  <c r="C71" i="11"/>
  <c r="D69" i="11"/>
  <c r="C66" i="11"/>
  <c r="D39" i="11"/>
  <c r="C37" i="11"/>
  <c r="C63" i="11"/>
  <c r="C69" i="11"/>
  <c r="D70" i="11"/>
  <c r="C65" i="11"/>
  <c r="D71" i="11"/>
  <c r="D36" i="11"/>
  <c r="C70" i="11"/>
  <c r="C39" i="11"/>
  <c r="D37" i="11"/>
  <c r="C34" i="11"/>
  <c r="C111" i="11"/>
  <c r="D34" i="11"/>
  <c r="B103" i="11"/>
  <c r="B118" i="11"/>
  <c r="B117" i="11"/>
  <c r="B133" i="11"/>
  <c r="C58" i="11"/>
  <c r="C54" i="11"/>
  <c r="C50" i="11"/>
  <c r="C61" i="11"/>
  <c r="C57" i="11"/>
  <c r="C49" i="11"/>
  <c r="C56" i="11"/>
  <c r="C52" i="11"/>
  <c r="C59" i="11"/>
  <c r="C51" i="11"/>
  <c r="C48" i="11"/>
  <c r="C53" i="11"/>
  <c r="C60" i="11"/>
  <c r="C47" i="11"/>
  <c r="C55" i="11"/>
  <c r="D47" i="11"/>
  <c r="D68" i="11"/>
  <c r="B132" i="11"/>
  <c r="C8" i="11"/>
  <c r="D22" i="2"/>
  <c r="D125" i="11"/>
  <c r="D101" i="11"/>
  <c r="D52" i="11"/>
  <c r="C43" i="11"/>
  <c r="C129" i="11"/>
  <c r="D64" i="11"/>
  <c r="D56" i="11"/>
  <c r="D53" i="11"/>
  <c r="C44" i="11"/>
  <c r="D50" i="11"/>
  <c r="D33" i="11"/>
  <c r="C127" i="11"/>
  <c r="D62" i="11"/>
  <c r="D129" i="11"/>
  <c r="C110" i="11"/>
  <c r="D88" i="11"/>
  <c r="D31" i="11"/>
  <c r="C125" i="11"/>
  <c r="C101" i="11"/>
  <c r="D60" i="11"/>
  <c r="D128" i="11"/>
  <c r="D49" i="11"/>
  <c r="D32" i="11"/>
  <c r="C45" i="11"/>
  <c r="D126" i="11"/>
  <c r="D55" i="11"/>
  <c r="D30" i="11"/>
  <c r="D59" i="11"/>
  <c r="C30" i="11"/>
  <c r="C21" i="11"/>
  <c r="C7" i="11"/>
  <c r="D65" i="11"/>
  <c r="D44" i="11"/>
  <c r="C25" i="11"/>
  <c r="D19" i="11"/>
  <c r="D48" i="11"/>
  <c r="C27" i="11"/>
  <c r="D46" i="11"/>
  <c r="B116" i="11"/>
  <c r="D51" i="11"/>
  <c r="C28" i="11"/>
  <c r="D20" i="11"/>
  <c r="D57" i="11"/>
  <c r="C33" i="11"/>
  <c r="D24" i="11"/>
  <c r="D63" i="11"/>
  <c r="D43" i="11"/>
  <c r="D26" i="11"/>
  <c r="D66" i="11"/>
  <c r="C46" i="11"/>
  <c r="D45" i="11"/>
  <c r="D25" i="11"/>
  <c r="D110" i="11"/>
  <c r="D29" i="11"/>
  <c r="D22" i="11"/>
  <c r="C10" i="11"/>
  <c r="C128" i="11"/>
  <c r="C32" i="11"/>
  <c r="C24" i="11"/>
  <c r="C9" i="11"/>
  <c r="D58" i="11"/>
  <c r="C42" i="11"/>
  <c r="C41" i="11"/>
  <c r="C29" i="11"/>
  <c r="D23" i="11"/>
  <c r="C23" i="11"/>
  <c r="C22" i="11"/>
  <c r="C18" i="11"/>
  <c r="C126" i="11"/>
  <c r="D127" i="11"/>
  <c r="D90" i="11"/>
  <c r="C11" i="11"/>
  <c r="D27" i="11"/>
  <c r="D61" i="11"/>
  <c r="C31" i="11"/>
  <c r="D54" i="11"/>
  <c r="D67" i="11"/>
  <c r="C20" i="11"/>
  <c r="D42" i="11"/>
  <c r="D21" i="11"/>
  <c r="B131" i="11"/>
  <c r="D28" i="11"/>
  <c r="C26" i="11"/>
  <c r="AK141" i="6"/>
  <c r="AK140" i="6"/>
  <c r="AK139" i="6"/>
  <c r="AK138" i="6"/>
  <c r="AK137" i="6"/>
  <c r="AK136" i="6"/>
  <c r="AK135" i="6"/>
  <c r="AK134" i="6"/>
  <c r="AK133" i="6"/>
  <c r="AK132" i="6"/>
  <c r="AK131" i="6"/>
  <c r="AK130" i="6"/>
  <c r="AK129" i="6"/>
  <c r="AK128" i="6"/>
  <c r="AK127" i="6"/>
  <c r="AK126" i="6"/>
  <c r="AK125" i="6"/>
  <c r="AK124" i="6"/>
  <c r="AK123" i="6"/>
  <c r="AK122" i="6"/>
  <c r="AK121" i="6"/>
  <c r="AK120" i="6"/>
  <c r="AK119" i="6"/>
  <c r="AK118" i="6"/>
  <c r="AK117" i="6"/>
  <c r="AK116" i="6"/>
  <c r="AK115" i="6"/>
  <c r="AK114" i="6"/>
  <c r="AK113" i="6"/>
  <c r="AK112" i="6"/>
  <c r="AK111" i="6"/>
  <c r="AK110" i="6"/>
  <c r="AK109" i="6"/>
  <c r="AK108" i="6"/>
  <c r="AK107" i="6"/>
  <c r="AK106" i="6"/>
  <c r="AK105" i="6"/>
  <c r="AK104" i="6"/>
  <c r="AK103" i="6"/>
  <c r="AK102" i="6"/>
  <c r="AK101" i="6"/>
  <c r="AK100" i="6"/>
  <c r="AK99" i="6"/>
  <c r="AK98" i="6"/>
  <c r="AK97" i="6"/>
  <c r="AK96" i="6"/>
  <c r="AK95" i="6"/>
  <c r="AK94" i="6"/>
  <c r="AK93" i="6"/>
  <c r="AK92" i="6"/>
  <c r="AK91" i="6"/>
  <c r="AK90" i="6"/>
  <c r="AK89" i="6"/>
  <c r="AK88" i="6"/>
  <c r="AK87" i="6"/>
  <c r="AK86" i="6"/>
  <c r="AK85" i="6"/>
  <c r="AK84" i="6"/>
  <c r="AK83" i="6"/>
  <c r="AK82" i="6"/>
  <c r="AK81" i="6"/>
  <c r="AK80" i="6"/>
  <c r="AK79" i="6"/>
  <c r="AK78" i="6"/>
  <c r="AK77" i="6"/>
  <c r="AK76" i="6"/>
  <c r="AK75" i="6"/>
  <c r="AK74" i="6"/>
  <c r="AK73" i="6"/>
  <c r="AK72" i="6"/>
  <c r="AK71" i="6"/>
  <c r="AK70" i="6"/>
  <c r="AK69" i="6"/>
  <c r="AK68" i="6"/>
  <c r="AK67" i="6"/>
  <c r="AK66" i="6"/>
  <c r="AK65" i="6"/>
  <c r="AK64" i="6"/>
  <c r="AK63" i="6"/>
  <c r="AK62" i="6"/>
  <c r="AK61" i="6"/>
  <c r="AK60" i="6"/>
  <c r="AK59" i="6"/>
  <c r="AK58" i="6"/>
  <c r="AK57" i="6"/>
  <c r="AK56" i="6"/>
  <c r="AK55" i="6"/>
  <c r="AK53" i="6"/>
  <c r="AK52" i="6"/>
  <c r="AK51" i="6"/>
  <c r="AK50" i="6"/>
  <c r="AK49" i="6"/>
  <c r="AK48" i="6"/>
  <c r="AK47" i="6"/>
  <c r="AK46" i="6"/>
  <c r="AK45" i="6"/>
  <c r="AK44" i="6"/>
  <c r="AK43" i="6"/>
  <c r="AK42" i="6"/>
  <c r="AK41" i="6"/>
  <c r="AK40" i="6"/>
  <c r="AK39" i="6"/>
  <c r="AK38" i="6"/>
  <c r="AK37" i="6"/>
  <c r="AK36" i="6"/>
  <c r="AK35" i="6"/>
  <c r="AK34" i="6"/>
  <c r="AK33" i="6"/>
  <c r="AK32" i="6"/>
  <c r="AK31" i="6"/>
  <c r="AK30" i="6"/>
  <c r="AK29" i="6"/>
  <c r="AK28" i="6"/>
  <c r="AK27" i="6"/>
  <c r="AK26" i="6"/>
  <c r="AK25" i="6"/>
  <c r="AK24" i="6"/>
  <c r="AK23" i="6"/>
  <c r="AK22" i="6"/>
  <c r="AK21" i="6"/>
  <c r="AK20" i="6"/>
  <c r="AK19" i="6"/>
  <c r="AK18" i="6"/>
  <c r="AK17" i="6"/>
  <c r="AK16" i="6"/>
  <c r="AK15" i="6"/>
  <c r="AK14" i="6"/>
  <c r="AK13" i="6"/>
  <c r="AK12" i="6"/>
  <c r="AK11" i="6"/>
  <c r="AK10" i="6"/>
  <c r="AK9" i="6"/>
  <c r="AK8" i="6"/>
  <c r="AK7" i="6"/>
  <c r="AK6" i="6"/>
  <c r="AK5" i="6"/>
  <c r="AK4" i="6"/>
  <c r="AK3" i="6"/>
  <c r="AK2" i="6"/>
  <c r="AE151" i="6"/>
  <c r="AE150" i="6"/>
  <c r="AE149" i="6"/>
  <c r="AE148" i="6"/>
  <c r="AE147" i="6"/>
  <c r="AE146" i="6"/>
  <c r="AE145" i="6"/>
  <c r="AE144" i="6"/>
  <c r="AE143" i="6"/>
  <c r="AE142" i="6"/>
  <c r="AE141" i="6"/>
  <c r="AE140" i="6"/>
  <c r="AE139" i="6"/>
  <c r="AE138" i="6"/>
  <c r="AE137" i="6"/>
  <c r="AE136" i="6"/>
  <c r="AE131" i="6"/>
  <c r="AE130" i="6"/>
  <c r="AE129" i="6"/>
  <c r="AE128" i="6"/>
  <c r="AE127" i="6"/>
  <c r="AE126" i="6"/>
  <c r="AE125" i="6"/>
  <c r="AE124" i="6"/>
  <c r="AE123" i="6"/>
  <c r="AE122" i="6"/>
  <c r="AE121" i="6"/>
  <c r="AE120" i="6"/>
  <c r="AE119" i="6"/>
  <c r="AE118" i="6"/>
  <c r="AE117" i="6"/>
  <c r="AE116" i="6"/>
  <c r="AE115" i="6"/>
  <c r="AE114" i="6"/>
  <c r="AE113" i="6"/>
  <c r="AE112" i="6"/>
  <c r="AE111" i="6"/>
  <c r="AE110" i="6"/>
  <c r="AE109" i="6"/>
  <c r="AE108" i="6"/>
  <c r="AE107" i="6"/>
  <c r="AE106" i="6"/>
  <c r="AE105" i="6"/>
  <c r="AE104" i="6"/>
  <c r="AE103" i="6"/>
  <c r="AE102" i="6"/>
  <c r="AE101" i="6"/>
  <c r="AE100" i="6"/>
  <c r="AE99" i="6"/>
  <c r="AE98" i="6"/>
  <c r="AE97" i="6"/>
  <c r="AE96" i="6"/>
  <c r="AE95" i="6"/>
  <c r="AE94" i="6"/>
  <c r="AE93" i="6"/>
  <c r="AE92" i="6"/>
  <c r="AE91" i="6"/>
  <c r="AE90" i="6"/>
  <c r="AE89" i="6"/>
  <c r="AE88" i="6"/>
  <c r="AE87" i="6"/>
  <c r="AE86" i="6"/>
  <c r="AE85" i="6"/>
  <c r="AE84" i="6"/>
  <c r="AE83" i="6"/>
  <c r="AE82" i="6"/>
  <c r="AE81" i="6"/>
  <c r="AE80" i="6"/>
  <c r="AE79" i="6"/>
  <c r="AE78" i="6"/>
  <c r="AE77" i="6"/>
  <c r="AE76" i="6"/>
  <c r="AE75" i="6"/>
  <c r="AE74" i="6"/>
  <c r="AE73" i="6"/>
  <c r="AE72" i="6"/>
  <c r="AE71" i="6"/>
  <c r="AE70" i="6"/>
  <c r="AE69" i="6"/>
  <c r="AE68" i="6"/>
  <c r="AE67" i="6"/>
  <c r="AE66" i="6"/>
  <c r="AE65" i="6"/>
  <c r="AE64" i="6"/>
  <c r="AE63" i="6"/>
  <c r="AE62" i="6"/>
  <c r="AE61" i="6"/>
  <c r="AE60" i="6"/>
  <c r="AE59" i="6"/>
  <c r="AE58" i="6"/>
  <c r="AE57" i="6"/>
  <c r="AE56" i="6"/>
  <c r="AE55" i="6"/>
  <c r="AE53" i="6"/>
  <c r="AE52" i="6"/>
  <c r="AE51" i="6"/>
  <c r="AE50" i="6"/>
  <c r="AE49" i="6"/>
  <c r="AE48" i="6"/>
  <c r="AE47" i="6"/>
  <c r="AE46" i="6"/>
  <c r="AE45" i="6"/>
  <c r="AE44" i="6"/>
  <c r="AE43" i="6"/>
  <c r="AE42" i="6"/>
  <c r="AE41" i="6"/>
  <c r="AE40" i="6"/>
  <c r="AE39" i="6"/>
  <c r="AE38" i="6"/>
  <c r="AE37" i="6"/>
  <c r="AE36" i="6"/>
  <c r="AE35" i="6"/>
  <c r="AE34" i="6"/>
  <c r="AE33" i="6"/>
  <c r="AE32" i="6"/>
  <c r="AE31" i="6"/>
  <c r="AE30" i="6"/>
  <c r="AE29" i="6"/>
  <c r="AE28" i="6"/>
  <c r="AE27" i="6"/>
  <c r="AE26" i="6"/>
  <c r="AE25" i="6"/>
  <c r="AE24" i="6"/>
  <c r="AE23" i="6"/>
  <c r="AE22" i="6"/>
  <c r="AE21" i="6"/>
  <c r="AE20" i="6"/>
  <c r="AE19" i="6"/>
  <c r="AE18" i="6"/>
  <c r="AE17" i="6"/>
  <c r="AE16" i="6"/>
  <c r="AE15" i="6"/>
  <c r="AE14" i="6"/>
  <c r="AE13" i="6"/>
  <c r="AE12" i="6"/>
  <c r="AE11" i="6"/>
  <c r="AE10" i="6"/>
  <c r="AE9" i="6"/>
  <c r="AE8" i="6"/>
  <c r="AE7" i="6"/>
  <c r="AE6" i="6"/>
  <c r="AE5" i="6"/>
  <c r="AE4" i="6"/>
  <c r="AE3" i="6"/>
  <c r="AE2" i="6"/>
  <c r="Y151" i="6"/>
  <c r="Y150" i="6"/>
  <c r="Y149" i="6"/>
  <c r="Y148" i="6"/>
  <c r="Y147" i="6"/>
  <c r="Y146" i="6"/>
  <c r="Y145" i="6"/>
  <c r="Y144" i="6"/>
  <c r="Y143" i="6"/>
  <c r="Y142" i="6"/>
  <c r="Y141" i="6"/>
  <c r="Y140" i="6"/>
  <c r="Y139" i="6"/>
  <c r="Y138" i="6"/>
  <c r="Y137" i="6"/>
  <c r="Y136" i="6"/>
  <c r="Y131" i="6"/>
  <c r="Y130" i="6"/>
  <c r="Y129" i="6"/>
  <c r="Y128" i="6"/>
  <c r="Y127" i="6"/>
  <c r="Y126" i="6"/>
  <c r="Y125" i="6"/>
  <c r="Y124" i="6"/>
  <c r="Y123" i="6"/>
  <c r="Y122" i="6"/>
  <c r="Y121" i="6"/>
  <c r="Y120" i="6"/>
  <c r="Y119" i="6"/>
  <c r="Y118" i="6"/>
  <c r="Y117" i="6"/>
  <c r="Y116" i="6"/>
  <c r="Y115" i="6"/>
  <c r="Y114" i="6"/>
  <c r="Y113" i="6"/>
  <c r="Y112" i="6"/>
  <c r="Y111" i="6"/>
  <c r="Y110" i="6"/>
  <c r="Y109" i="6"/>
  <c r="Y108" i="6"/>
  <c r="Y107" i="6"/>
  <c r="Y106" i="6"/>
  <c r="Y105" i="6"/>
  <c r="Y104" i="6"/>
  <c r="Y103" i="6"/>
  <c r="Y102" i="6"/>
  <c r="Y101" i="6"/>
  <c r="Y100" i="6"/>
  <c r="Y99" i="6"/>
  <c r="Y98" i="6"/>
  <c r="Y97" i="6"/>
  <c r="Y96" i="6"/>
  <c r="Y95" i="6"/>
  <c r="Y94" i="6"/>
  <c r="Y93" i="6"/>
  <c r="Y92" i="6"/>
  <c r="Y91" i="6"/>
  <c r="Y90" i="6"/>
  <c r="Y89" i="6"/>
  <c r="Y88" i="6"/>
  <c r="Y87" i="6"/>
  <c r="Y86" i="6"/>
  <c r="Y85" i="6"/>
  <c r="Y84" i="6"/>
  <c r="Y83" i="6"/>
  <c r="Y82" i="6"/>
  <c r="Y81" i="6"/>
  <c r="Y80" i="6"/>
  <c r="Y79" i="6"/>
  <c r="Y78" i="6"/>
  <c r="Y77" i="6"/>
  <c r="Y76" i="6"/>
  <c r="Y75" i="6"/>
  <c r="Y74" i="6"/>
  <c r="Y73" i="6"/>
  <c r="Y72" i="6"/>
  <c r="Y71" i="6"/>
  <c r="Y70" i="6"/>
  <c r="Y69" i="6"/>
  <c r="Y68" i="6"/>
  <c r="Y67" i="6"/>
  <c r="Y66" i="6"/>
  <c r="Y65" i="6"/>
  <c r="Y64" i="6"/>
  <c r="Y63" i="6"/>
  <c r="Y62" i="6"/>
  <c r="Y61" i="6"/>
  <c r="Y60" i="6"/>
  <c r="Y59" i="6"/>
  <c r="Y58" i="6"/>
  <c r="Y57" i="6"/>
  <c r="Y56" i="6"/>
  <c r="Y55" i="6"/>
  <c r="Y53" i="6"/>
  <c r="Y52" i="6"/>
  <c r="Y51" i="6"/>
  <c r="Y50" i="6"/>
  <c r="Y49" i="6"/>
  <c r="Y48" i="6"/>
  <c r="Y47" i="6"/>
  <c r="Y46" i="6"/>
  <c r="Y45" i="6"/>
  <c r="Y44" i="6"/>
  <c r="Y43" i="6"/>
  <c r="Y42" i="6"/>
  <c r="Y41" i="6"/>
  <c r="Y40" i="6"/>
  <c r="Y39" i="6"/>
  <c r="Y38" i="6"/>
  <c r="Y37" i="6"/>
  <c r="Y36" i="6"/>
  <c r="Y35" i="6"/>
  <c r="Y34" i="6"/>
  <c r="Y33" i="6"/>
  <c r="Y32" i="6"/>
  <c r="Y31" i="6"/>
  <c r="Y30" i="6"/>
  <c r="Y29" i="6"/>
  <c r="Y28" i="6"/>
  <c r="Y27" i="6"/>
  <c r="Y26" i="6"/>
  <c r="Y25" i="6"/>
  <c r="Y24" i="6"/>
  <c r="Y23" i="6"/>
  <c r="Y22" i="6"/>
  <c r="Y21" i="6"/>
  <c r="Y20" i="6"/>
  <c r="Y19" i="6"/>
  <c r="Y18" i="6"/>
  <c r="Y17" i="6"/>
  <c r="Y16" i="6"/>
  <c r="Y15" i="6"/>
  <c r="Y14" i="6"/>
  <c r="Y13" i="6"/>
  <c r="Y12" i="6"/>
  <c r="Y11" i="6"/>
  <c r="Y10" i="6"/>
  <c r="Y9" i="6"/>
  <c r="Y8" i="6"/>
  <c r="Y7" i="6"/>
  <c r="Y6" i="6"/>
  <c r="Y5" i="6"/>
  <c r="Y4" i="6"/>
  <c r="Y3" i="6"/>
  <c r="Y2" i="6"/>
  <c r="A48" i="6"/>
  <c r="A49" i="6"/>
  <c r="A50" i="6"/>
  <c r="A51" i="6"/>
  <c r="A52" i="6"/>
  <c r="A37" i="6"/>
  <c r="A38" i="6"/>
  <c r="A39" i="6"/>
  <c r="A40" i="6"/>
  <c r="A41" i="6"/>
  <c r="A42" i="6"/>
  <c r="A43" i="6"/>
  <c r="A44" i="6"/>
  <c r="A45" i="6"/>
  <c r="A46" i="6"/>
  <c r="A47" i="6"/>
  <c r="S3" i="6"/>
  <c r="S4" i="6"/>
  <c r="S5" i="6"/>
  <c r="S6" i="6"/>
  <c r="S7" i="6"/>
  <c r="S8" i="6"/>
  <c r="S9" i="6"/>
  <c r="S10" i="6"/>
  <c r="S11" i="6"/>
  <c r="S12" i="6"/>
  <c r="S13" i="6"/>
  <c r="S14" i="6"/>
  <c r="S15" i="6"/>
  <c r="S16" i="6"/>
  <c r="S17" i="6"/>
  <c r="S18" i="6"/>
  <c r="S19" i="6"/>
  <c r="S20" i="6"/>
  <c r="S21" i="6"/>
  <c r="S22" i="6"/>
  <c r="S23" i="6"/>
  <c r="S24" i="6"/>
  <c r="S25" i="6"/>
  <c r="S26" i="6"/>
  <c r="S27" i="6"/>
  <c r="S28" i="6"/>
  <c r="S29" i="6"/>
  <c r="S30" i="6"/>
  <c r="S31" i="6"/>
  <c r="S32" i="6"/>
  <c r="S33" i="6"/>
  <c r="S34" i="6"/>
  <c r="S35" i="6"/>
  <c r="S36" i="6"/>
  <c r="S37" i="6"/>
  <c r="S38" i="6"/>
  <c r="S39" i="6"/>
  <c r="S40" i="6"/>
  <c r="S41" i="6"/>
  <c r="S42" i="6"/>
  <c r="S43" i="6"/>
  <c r="S44" i="6"/>
  <c r="S45" i="6"/>
  <c r="S46" i="6"/>
  <c r="S47" i="6"/>
  <c r="S48" i="6"/>
  <c r="S49" i="6"/>
  <c r="S50" i="6"/>
  <c r="S51" i="6"/>
  <c r="S52" i="6"/>
  <c r="S53" i="6"/>
  <c r="S55" i="6"/>
  <c r="S56" i="6"/>
  <c r="S57" i="6"/>
  <c r="S58" i="6"/>
  <c r="S59" i="6"/>
  <c r="S60" i="6"/>
  <c r="S61" i="6"/>
  <c r="S62" i="6"/>
  <c r="S63" i="6"/>
  <c r="S64" i="6"/>
  <c r="S65" i="6"/>
  <c r="S66" i="6"/>
  <c r="S67" i="6"/>
  <c r="S68" i="6"/>
  <c r="S69" i="6"/>
  <c r="S70" i="6"/>
  <c r="S71" i="6"/>
  <c r="S72" i="6"/>
  <c r="S73" i="6"/>
  <c r="S74" i="6"/>
  <c r="S75" i="6"/>
  <c r="S76" i="6"/>
  <c r="S77" i="6"/>
  <c r="S78" i="6"/>
  <c r="S79" i="6"/>
  <c r="S80" i="6"/>
  <c r="S81" i="6"/>
  <c r="S82" i="6"/>
  <c r="S83" i="6"/>
  <c r="S84" i="6"/>
  <c r="S85" i="6"/>
  <c r="S86" i="6"/>
  <c r="S87" i="6"/>
  <c r="S88" i="6"/>
  <c r="S89" i="6"/>
  <c r="S90" i="6"/>
  <c r="S91" i="6"/>
  <c r="S92" i="6"/>
  <c r="S93" i="6"/>
  <c r="S94" i="6"/>
  <c r="S95" i="6"/>
  <c r="S96" i="6"/>
  <c r="S97" i="6"/>
  <c r="S98" i="6"/>
  <c r="S99" i="6"/>
  <c r="S100" i="6"/>
  <c r="S101" i="6"/>
  <c r="S102" i="6"/>
  <c r="S103" i="6"/>
  <c r="S104" i="6"/>
  <c r="S105" i="6"/>
  <c r="S106" i="6"/>
  <c r="S107" i="6"/>
  <c r="S108" i="6"/>
  <c r="S109" i="6"/>
  <c r="S110" i="6"/>
  <c r="S111" i="6"/>
  <c r="S112" i="6"/>
  <c r="S113" i="6"/>
  <c r="S114" i="6"/>
  <c r="S115" i="6"/>
  <c r="S116" i="6"/>
  <c r="S117" i="6"/>
  <c r="S118" i="6"/>
  <c r="S119" i="6"/>
  <c r="S120" i="6"/>
  <c r="S121" i="6"/>
  <c r="S122" i="6"/>
  <c r="S123" i="6"/>
  <c r="S124" i="6"/>
  <c r="S125" i="6"/>
  <c r="S126" i="6"/>
  <c r="S127" i="6"/>
  <c r="S128" i="6"/>
  <c r="S129" i="6"/>
  <c r="S130" i="6"/>
  <c r="S131" i="6"/>
  <c r="S136" i="6"/>
  <c r="S137" i="6"/>
  <c r="S138" i="6"/>
  <c r="S139" i="6"/>
  <c r="S140" i="6"/>
  <c r="S141" i="6"/>
  <c r="S142" i="6"/>
  <c r="S143" i="6"/>
  <c r="S144" i="6"/>
  <c r="S145" i="6"/>
  <c r="S146" i="6"/>
  <c r="S147" i="6"/>
  <c r="S148" i="6"/>
  <c r="S149" i="6"/>
  <c r="S150" i="6"/>
  <c r="S151" i="6"/>
  <c r="S2" i="6"/>
  <c r="C207" i="4" l="1"/>
  <c r="C197" i="4"/>
  <c r="C186" i="4"/>
  <c r="C179" i="4"/>
  <c r="C167" i="4"/>
  <c r="C149" i="4"/>
  <c r="D167" i="4"/>
  <c r="D149" i="4"/>
  <c r="D183" i="4"/>
  <c r="C187" i="4"/>
  <c r="D187" i="4"/>
  <c r="D152" i="4"/>
  <c r="C182" i="4"/>
  <c r="D151" i="4"/>
  <c r="D207" i="4"/>
  <c r="D197" i="4"/>
  <c r="D186" i="4"/>
  <c r="D179" i="4"/>
  <c r="C206" i="4"/>
  <c r="C196" i="4"/>
  <c r="C185" i="4"/>
  <c r="C180" i="4"/>
  <c r="C166" i="4"/>
  <c r="C144" i="4"/>
  <c r="C189" i="4"/>
  <c r="C168" i="4"/>
  <c r="D206" i="4"/>
  <c r="D196" i="4"/>
  <c r="D185" i="4"/>
  <c r="D180" i="4"/>
  <c r="D166" i="4"/>
  <c r="D144" i="4"/>
  <c r="C178" i="4"/>
  <c r="D184" i="4"/>
  <c r="D164" i="4"/>
  <c r="D163" i="4"/>
  <c r="C169" i="4"/>
  <c r="D189" i="4"/>
  <c r="C199" i="4"/>
  <c r="C151" i="4"/>
  <c r="D168" i="4"/>
  <c r="C203" i="4"/>
  <c r="C195" i="4"/>
  <c r="C184" i="4"/>
  <c r="C164" i="4"/>
  <c r="D195" i="4"/>
  <c r="D178" i="4"/>
  <c r="D190" i="4"/>
  <c r="D172" i="4"/>
  <c r="C152" i="4"/>
  <c r="D169" i="4"/>
  <c r="C188" i="4"/>
  <c r="D182" i="4"/>
  <c r="D203" i="4"/>
  <c r="D188" i="4"/>
  <c r="C205" i="4"/>
  <c r="C190" i="4"/>
  <c r="C183" i="4"/>
  <c r="C172" i="4"/>
  <c r="C163" i="4"/>
  <c r="D202" i="4"/>
  <c r="D205" i="4"/>
  <c r="C202" i="4"/>
  <c r="D199" i="4"/>
  <c r="B74" i="10"/>
  <c r="B72" i="1"/>
  <c r="D81" i="10"/>
  <c r="D80" i="10"/>
  <c r="D79" i="10"/>
  <c r="C78" i="10"/>
  <c r="B84" i="10"/>
  <c r="B83" i="10"/>
  <c r="C81" i="10"/>
  <c r="C80" i="10"/>
  <c r="C79" i="10"/>
  <c r="D20" i="3"/>
  <c r="B240" i="4"/>
  <c r="C20" i="3"/>
  <c r="B61" i="10"/>
  <c r="B71" i="1"/>
  <c r="B70" i="1"/>
  <c r="C145" i="4"/>
  <c r="D145" i="4"/>
  <c r="B136" i="4"/>
  <c r="D90" i="4"/>
  <c r="C90" i="4"/>
  <c r="B60" i="10"/>
  <c r="B135" i="4"/>
  <c r="B31" i="3"/>
  <c r="B54" i="4"/>
  <c r="C55" i="10"/>
  <c r="C51" i="10"/>
  <c r="C46" i="10"/>
  <c r="C41" i="10"/>
  <c r="D39" i="10"/>
  <c r="C39" i="10"/>
  <c r="C53" i="10"/>
  <c r="D41" i="10"/>
  <c r="C42" i="10"/>
  <c r="C52" i="10"/>
  <c r="C47" i="10"/>
  <c r="C40" i="10"/>
  <c r="C54" i="10"/>
  <c r="C49" i="10"/>
  <c r="C45" i="10"/>
  <c r="C43" i="10"/>
  <c r="C48" i="10"/>
  <c r="C38" i="10"/>
  <c r="D38" i="10"/>
  <c r="B252" i="4"/>
  <c r="D204" i="4"/>
  <c r="D209" i="4"/>
  <c r="D171" i="4"/>
  <c r="D154" i="4"/>
  <c r="C154" i="4"/>
  <c r="C158" i="4"/>
  <c r="C204" i="4"/>
  <c r="C209" i="4"/>
  <c r="C171" i="4"/>
  <c r="D158" i="4"/>
  <c r="C192" i="4"/>
  <c r="D192" i="4"/>
  <c r="D161" i="4"/>
  <c r="C161" i="4"/>
  <c r="C17" i="1"/>
  <c r="B109" i="1"/>
  <c r="B108" i="1"/>
  <c r="B69" i="1"/>
  <c r="D14" i="2"/>
  <c r="D26" i="4"/>
  <c r="C155" i="4" a="1"/>
  <c r="C155" i="4" s="1"/>
  <c r="C170" i="4"/>
  <c r="C150" i="4"/>
  <c r="C156" i="4"/>
  <c r="C34" i="4"/>
  <c r="C208" i="4"/>
  <c r="C201" i="4"/>
  <c r="C174" i="4"/>
  <c r="C153" i="4"/>
  <c r="C26" i="4"/>
  <c r="B55" i="4"/>
  <c r="D34" i="4"/>
  <c r="C191" i="4"/>
  <c r="C200" i="4"/>
  <c r="C173" i="4"/>
  <c r="C148" i="4"/>
  <c r="D71" i="10"/>
  <c r="C71" i="10"/>
  <c r="C15" i="10"/>
  <c r="B30" i="3"/>
  <c r="B28" i="3"/>
  <c r="B29" i="3"/>
  <c r="B251" i="4"/>
  <c r="C249" i="4"/>
  <c r="D248" i="4"/>
  <c r="C248" i="4"/>
  <c r="D247" i="4"/>
  <c r="D249" i="4"/>
  <c r="C247" i="4"/>
  <c r="B239" i="4"/>
  <c r="D222" i="4"/>
  <c r="D237" i="4"/>
  <c r="D221" i="4"/>
  <c r="D236" i="4"/>
  <c r="D226" i="4"/>
  <c r="D156" i="4"/>
  <c r="C177" i="4"/>
  <c r="B211" i="4"/>
  <c r="B212" i="4"/>
  <c r="D198" i="4"/>
  <c r="D175" i="4"/>
  <c r="C143" i="4"/>
  <c r="B133" i="4"/>
  <c r="D112" i="4"/>
  <c r="D96" i="4"/>
  <c r="D105" i="4"/>
  <c r="D119" i="4"/>
  <c r="D103" i="4"/>
  <c r="D101" i="4"/>
  <c r="D118" i="4"/>
  <c r="D102" i="4"/>
  <c r="C198" i="4"/>
  <c r="D208" i="4"/>
  <c r="C160" i="4"/>
  <c r="D191" i="4"/>
  <c r="D155" i="4"/>
  <c r="C157" i="4"/>
  <c r="B129" i="4"/>
  <c r="D108" i="4"/>
  <c r="C13" i="4"/>
  <c r="B243" i="4" s="1"/>
  <c r="D93" i="4"/>
  <c r="D115" i="4"/>
  <c r="D99" i="4"/>
  <c r="D127" i="4"/>
  <c r="C10" i="4"/>
  <c r="B139" i="4" s="1"/>
  <c r="D114" i="4"/>
  <c r="D98" i="4"/>
  <c r="B134" i="4"/>
  <c r="C226" i="4"/>
  <c r="D225" i="4"/>
  <c r="C225" i="4"/>
  <c r="B228" i="4"/>
  <c r="C235" i="4"/>
  <c r="D200" i="4"/>
  <c r="D150" i="4"/>
  <c r="D170" i="4"/>
  <c r="C147" i="4"/>
  <c r="D173" i="4"/>
  <c r="C181" i="4"/>
  <c r="C162" i="4"/>
  <c r="D153" i="4"/>
  <c r="D147" i="4"/>
  <c r="D124" i="4"/>
  <c r="D104" i="4"/>
  <c r="B132" i="4"/>
  <c r="D111" i="4"/>
  <c r="D95" i="4"/>
  <c r="D117" i="4"/>
  <c r="B131" i="4"/>
  <c r="D110" i="4"/>
  <c r="D94" i="4"/>
  <c r="D109" i="4"/>
  <c r="C221" i="4"/>
  <c r="C237" i="4"/>
  <c r="C220" i="4"/>
  <c r="C236" i="4"/>
  <c r="C224" i="4"/>
  <c r="C222" i="4"/>
  <c r="B213" i="4"/>
  <c r="D181" i="4"/>
  <c r="D157" i="4"/>
  <c r="C165" i="4"/>
  <c r="C175" i="4"/>
  <c r="D165" i="4"/>
  <c r="C146" i="4"/>
  <c r="D162" i="4"/>
  <c r="D201" i="4"/>
  <c r="D148" i="4"/>
  <c r="D146" i="4"/>
  <c r="D174" i="4"/>
  <c r="C194" i="4"/>
  <c r="D116" i="4"/>
  <c r="D100" i="4"/>
  <c r="B130" i="4"/>
  <c r="B36" i="4"/>
  <c r="D107" i="4"/>
  <c r="C12" i="4"/>
  <c r="B231" i="4" s="1"/>
  <c r="D113" i="4"/>
  <c r="D106" i="4"/>
  <c r="C11" i="4"/>
  <c r="B216" i="4" s="1"/>
  <c r="D97" i="4"/>
  <c r="C121" i="4"/>
  <c r="C122" i="4"/>
  <c r="D77" i="4"/>
  <c r="C118" i="4"/>
  <c r="C102" i="4"/>
  <c r="C84" i="4"/>
  <c r="C76" i="4"/>
  <c r="C51" i="4"/>
  <c r="D43" i="4"/>
  <c r="D78" i="4"/>
  <c r="C95" i="4"/>
  <c r="C44" i="4"/>
  <c r="D88" i="4"/>
  <c r="D72" i="4"/>
  <c r="C113" i="4"/>
  <c r="C97" i="4"/>
  <c r="C80" i="4"/>
  <c r="C92" i="4"/>
  <c r="C8" i="4"/>
  <c r="B39" i="4" s="1"/>
  <c r="D70" i="4"/>
  <c r="C81" i="4"/>
  <c r="D83" i="4"/>
  <c r="D67" i="4"/>
  <c r="C108" i="4"/>
  <c r="C63" i="4"/>
  <c r="C89" i="4"/>
  <c r="D48" i="4"/>
  <c r="C119" i="4"/>
  <c r="C79" i="4"/>
  <c r="D126" i="4"/>
  <c r="D123" i="4"/>
  <c r="D89" i="4"/>
  <c r="D73" i="4"/>
  <c r="C114" i="4"/>
  <c r="C98" i="4"/>
  <c r="C77" i="4"/>
  <c r="C82" i="4"/>
  <c r="C47" i="4"/>
  <c r="D66" i="4"/>
  <c r="C74" i="4"/>
  <c r="D84" i="4"/>
  <c r="D68" i="4"/>
  <c r="C109" i="4"/>
  <c r="C93" i="4"/>
  <c r="C66" i="4"/>
  <c r="D51" i="4"/>
  <c r="C115" i="4"/>
  <c r="D79" i="4"/>
  <c r="D63" i="4"/>
  <c r="C104" i="4"/>
  <c r="C85" i="4"/>
  <c r="C73" i="4"/>
  <c r="D44" i="4"/>
  <c r="C107" i="4"/>
  <c r="C52" i="4"/>
  <c r="C124" i="4"/>
  <c r="C126" i="4"/>
  <c r="C9" i="4"/>
  <c r="D85" i="4"/>
  <c r="D69" i="4"/>
  <c r="C110" i="4"/>
  <c r="C94" i="4"/>
  <c r="C87" i="4"/>
  <c r="D52" i="4"/>
  <c r="C43" i="4"/>
  <c r="C111" i="4"/>
  <c r="C75" i="4"/>
  <c r="D80" i="4"/>
  <c r="D64" i="4"/>
  <c r="C105" i="4"/>
  <c r="C86" i="4"/>
  <c r="C88" i="4"/>
  <c r="D45" i="4"/>
  <c r="C99" i="4"/>
  <c r="C48" i="4"/>
  <c r="D75" i="4"/>
  <c r="C116" i="4"/>
  <c r="C100" i="4"/>
  <c r="C68" i="4"/>
  <c r="C78" i="4"/>
  <c r="D86" i="4"/>
  <c r="C64" i="4"/>
  <c r="D65" i="4"/>
  <c r="D46" i="4"/>
  <c r="D47" i="4"/>
  <c r="C117" i="4"/>
  <c r="C96" i="4"/>
  <c r="D74" i="4"/>
  <c r="D29" i="4"/>
  <c r="C106" i="4"/>
  <c r="C46" i="4"/>
  <c r="C101" i="4"/>
  <c r="D82" i="4"/>
  <c r="D87" i="4"/>
  <c r="C69" i="4"/>
  <c r="C70" i="4"/>
  <c r="C123" i="4"/>
  <c r="C72" i="4"/>
  <c r="C83" i="4"/>
  <c r="C67" i="4"/>
  <c r="D71" i="4"/>
  <c r="C62" i="4"/>
  <c r="C71" i="4"/>
  <c r="C23" i="4"/>
  <c r="D32" i="4"/>
  <c r="D22" i="4"/>
  <c r="C32" i="4"/>
  <c r="C22" i="4"/>
  <c r="D25" i="4"/>
  <c r="C103" i="4"/>
  <c r="C112" i="4"/>
  <c r="C31" i="4"/>
  <c r="C21" i="4"/>
  <c r="D30" i="4"/>
  <c r="D20" i="4"/>
  <c r="C30" i="4"/>
  <c r="C20" i="4"/>
  <c r="C7" i="4"/>
  <c r="C127" i="4"/>
  <c r="D76" i="4"/>
  <c r="C45" i="4"/>
  <c r="C29" i="4"/>
  <c r="D28" i="4"/>
  <c r="C28" i="4"/>
  <c r="D81" i="4"/>
  <c r="C65" i="4"/>
  <c r="D33" i="4"/>
  <c r="D21" i="4"/>
  <c r="C25" i="4"/>
  <c r="C24" i="4"/>
  <c r="D23" i="4"/>
  <c r="D24" i="4"/>
  <c r="C33" i="4"/>
  <c r="D31" i="4"/>
  <c r="B27" i="3"/>
  <c r="B24" i="3"/>
  <c r="B23" i="3"/>
  <c r="C21" i="3"/>
  <c r="D19" i="3"/>
  <c r="C7" i="3"/>
  <c r="C17" i="3"/>
  <c r="C18" i="3"/>
  <c r="D17" i="3"/>
  <c r="C15" i="3"/>
  <c r="C16" i="3"/>
  <c r="D15" i="3"/>
  <c r="D14" i="3"/>
  <c r="D13" i="2"/>
  <c r="B26" i="3"/>
  <c r="D18" i="3"/>
  <c r="C19" i="3"/>
  <c r="D21" i="3"/>
  <c r="B25" i="3"/>
  <c r="C14" i="3"/>
  <c r="D16" i="3"/>
  <c r="C8" i="10"/>
  <c r="B75" i="10"/>
  <c r="D21" i="2"/>
  <c r="B73" i="10"/>
  <c r="D34" i="10"/>
  <c r="C26" i="10"/>
  <c r="C17" i="10"/>
  <c r="D70" i="10"/>
  <c r="D33" i="10"/>
  <c r="D23" i="10"/>
  <c r="C68" i="10"/>
  <c r="D52" i="10"/>
  <c r="D40" i="10"/>
  <c r="C30" i="10"/>
  <c r="C21" i="10"/>
  <c r="D28" i="10"/>
  <c r="C69" i="10"/>
  <c r="D53" i="10"/>
  <c r="D42" i="10"/>
  <c r="C32" i="10"/>
  <c r="C24" i="10"/>
  <c r="D16" i="10"/>
  <c r="D68" i="10"/>
  <c r="D49" i="10"/>
  <c r="C31" i="10"/>
  <c r="D21" i="10"/>
  <c r="D37" i="10"/>
  <c r="C27" i="10"/>
  <c r="C19" i="10"/>
  <c r="D20" i="10"/>
  <c r="D31" i="10"/>
  <c r="C22" i="10"/>
  <c r="D47" i="10"/>
  <c r="C36" i="10"/>
  <c r="D27" i="10"/>
  <c r="D19" i="10"/>
  <c r="B57" i="10"/>
  <c r="D35" i="10"/>
  <c r="C25" i="10"/>
  <c r="D18" i="10"/>
  <c r="C7" i="10"/>
  <c r="D25" i="10"/>
  <c r="D43" i="10"/>
  <c r="D48" i="10"/>
  <c r="D24" i="10"/>
  <c r="D22" i="10"/>
  <c r="D36" i="10"/>
  <c r="B58" i="10"/>
  <c r="C16" i="10"/>
  <c r="C33" i="10"/>
  <c r="C37" i="10"/>
  <c r="C28" i="10"/>
  <c r="C70" i="10"/>
  <c r="C23" i="10"/>
  <c r="D69" i="10"/>
  <c r="D32" i="10"/>
  <c r="D46" i="10"/>
  <c r="D17" i="10"/>
  <c r="B59" i="10"/>
  <c r="C20" i="10"/>
  <c r="C34" i="10"/>
  <c r="D55" i="10"/>
  <c r="D54" i="10"/>
  <c r="D26" i="10"/>
  <c r="C35" i="10"/>
  <c r="C18" i="10"/>
  <c r="D12" i="2"/>
  <c r="C99" i="1"/>
  <c r="D42" i="1"/>
  <c r="D21" i="1"/>
  <c r="C57" i="1"/>
  <c r="B103" i="1"/>
  <c r="D93" i="1"/>
  <c r="B119" i="1"/>
  <c r="B68" i="1"/>
  <c r="C55" i="1"/>
  <c r="D84" i="1"/>
  <c r="D44" i="1"/>
  <c r="C9" i="1"/>
  <c r="D26" i="1"/>
  <c r="D86" i="1"/>
  <c r="D19" i="1"/>
  <c r="D95" i="1"/>
  <c r="C117" i="1"/>
  <c r="B102" i="1"/>
  <c r="C93" i="1"/>
  <c r="C84" i="1"/>
  <c r="B67" i="1"/>
  <c r="C42" i="1"/>
  <c r="D29" i="1"/>
  <c r="C21" i="1"/>
  <c r="C8" i="1"/>
  <c r="C116" i="1"/>
  <c r="D117" i="1"/>
  <c r="D98" i="1"/>
  <c r="C91" i="1"/>
  <c r="C82" i="1"/>
  <c r="B63" i="1"/>
  <c r="C51" i="1"/>
  <c r="B107" i="1"/>
  <c r="D96" i="1"/>
  <c r="C88" i="1"/>
  <c r="C80" i="1"/>
  <c r="D33" i="1"/>
  <c r="B105" i="1"/>
  <c r="C60" i="1"/>
  <c r="D38" i="1"/>
  <c r="C26" i="1"/>
  <c r="B106" i="1"/>
  <c r="D94" i="1"/>
  <c r="D85" i="1"/>
  <c r="C56" i="1"/>
  <c r="D43" i="1"/>
  <c r="D32" i="1"/>
  <c r="D24" i="1"/>
  <c r="D16" i="1"/>
  <c r="D99" i="1"/>
  <c r="C90" i="1"/>
  <c r="C81" i="1"/>
  <c r="C61" i="1"/>
  <c r="D48" i="1"/>
  <c r="D37" i="1"/>
  <c r="C25" i="1"/>
  <c r="C18" i="1"/>
  <c r="D60" i="1"/>
  <c r="C95" i="1"/>
  <c r="D56" i="1"/>
  <c r="C23" i="1"/>
  <c r="B101" i="1"/>
  <c r="D92" i="1"/>
  <c r="D83" i="1"/>
  <c r="B66" i="1"/>
  <c r="D52" i="1"/>
  <c r="D41" i="1"/>
  <c r="C29" i="1"/>
  <c r="D22" i="1"/>
  <c r="D97" i="1"/>
  <c r="C87" i="1"/>
  <c r="C79" i="1"/>
  <c r="D57" i="1"/>
  <c r="C34" i="1"/>
  <c r="C24" i="1"/>
  <c r="C16" i="1"/>
  <c r="D23" i="1"/>
  <c r="D80" i="1"/>
  <c r="B121" i="1"/>
  <c r="D17" i="1"/>
  <c r="B64" i="1"/>
  <c r="C86" i="1"/>
  <c r="D47" i="1"/>
  <c r="C33" i="1"/>
  <c r="C19" i="1"/>
  <c r="C98" i="1"/>
  <c r="D90" i="1"/>
  <c r="D81" i="1"/>
  <c r="D61" i="1"/>
  <c r="C38" i="1"/>
  <c r="C27" i="1"/>
  <c r="D20" i="1"/>
  <c r="C7" i="1"/>
  <c r="B12" i="1" s="1"/>
  <c r="C94" i="1"/>
  <c r="C85" i="1"/>
  <c r="D55" i="1"/>
  <c r="C43" i="1"/>
  <c r="C32" i="1"/>
  <c r="C22" i="1"/>
  <c r="C37" i="1"/>
  <c r="D88" i="1"/>
  <c r="C28" i="1"/>
  <c r="D82" i="1"/>
  <c r="C44" i="1"/>
  <c r="D27" i="1"/>
  <c r="C96" i="1"/>
  <c r="D87" i="1"/>
  <c r="D79" i="1"/>
  <c r="C47" i="1"/>
  <c r="D34" i="1"/>
  <c r="D25" i="1"/>
  <c r="D18" i="1"/>
  <c r="B104" i="1"/>
  <c r="C92" i="1"/>
  <c r="C83" i="1"/>
  <c r="B65" i="1"/>
  <c r="C52" i="1"/>
  <c r="C41" i="1"/>
  <c r="D28" i="1"/>
  <c r="C20" i="1"/>
  <c r="B120" i="1"/>
  <c r="C48" i="1"/>
  <c r="D116" i="1"/>
  <c r="C97" i="1"/>
  <c r="D51" i="1"/>
  <c r="D91" i="1"/>
  <c r="G15" i="6"/>
  <c r="G16" i="6"/>
  <c r="G17" i="6"/>
  <c r="G18" i="6"/>
  <c r="G19" i="6"/>
  <c r="G20" i="6"/>
  <c r="B58" i="4" l="1"/>
  <c r="G12" i="6"/>
  <c r="G13" i="6"/>
  <c r="G14" i="6"/>
  <c r="G10" i="6"/>
  <c r="G11" i="6"/>
  <c r="G9" i="6"/>
  <c r="G6" i="6" l="1"/>
  <c r="G7" i="6"/>
  <c r="G8" i="6"/>
  <c r="G5" i="6"/>
  <c r="A36" i="6" l="1"/>
  <c r="G4" i="6" l="1"/>
  <c r="G3" i="6"/>
  <c r="A33" i="6"/>
  <c r="A34" i="6"/>
  <c r="A35" i="6"/>
  <c r="A32" i="6"/>
  <c r="A3" i="6" l="1"/>
  <c r="A18" i="6"/>
  <c r="A19" i="6"/>
  <c r="A20" i="6"/>
  <c r="A21" i="6"/>
  <c r="A22" i="6"/>
  <c r="A23" i="6"/>
  <c r="A24" i="6"/>
  <c r="A25" i="6"/>
  <c r="A26" i="6"/>
  <c r="A27" i="6"/>
  <c r="A28" i="6"/>
  <c r="A29" i="6"/>
  <c r="A30" i="6"/>
  <c r="A31" i="6"/>
  <c r="A14" i="6"/>
  <c r="A15" i="6"/>
  <c r="A16" i="6"/>
  <c r="A17" i="6"/>
  <c r="A9" i="6"/>
  <c r="A10" i="6"/>
  <c r="A11" i="6"/>
  <c r="A12" i="6"/>
  <c r="A13" i="6"/>
  <c r="A8" i="6"/>
  <c r="A7" i="6"/>
  <c r="A6" i="6"/>
  <c r="A5" i="6"/>
  <c r="A4" i="6"/>
  <c r="G2" i="6"/>
  <c r="A2" i="6"/>
  <c r="B113" i="11" s="1"/>
  <c r="B338" i="13" l="1"/>
  <c r="B350" i="13"/>
  <c r="B77" i="10"/>
  <c r="B67" i="10"/>
  <c r="B2" i="2"/>
  <c r="C236" i="13"/>
  <c r="C237" i="13"/>
  <c r="B34" i="13"/>
  <c r="C117" i="12"/>
  <c r="B307" i="13"/>
  <c r="B123" i="13"/>
  <c r="C127" i="12"/>
  <c r="C228" i="13"/>
  <c r="B54" i="1"/>
  <c r="C97" i="12"/>
  <c r="C77" i="12"/>
  <c r="F243" i="4"/>
  <c r="D243" i="4"/>
  <c r="B246" i="4"/>
  <c r="E243" i="4"/>
  <c r="E216" i="4"/>
  <c r="E139" i="4"/>
  <c r="D139" i="4"/>
  <c r="F231" i="4"/>
  <c r="D216" i="4"/>
  <c r="E231" i="4"/>
  <c r="B234" i="4"/>
  <c r="D231" i="4"/>
  <c r="F216" i="4"/>
  <c r="B219" i="4"/>
  <c r="F139" i="4"/>
  <c r="B142" i="4"/>
  <c r="D26" i="2"/>
  <c r="B59" i="1"/>
  <c r="D2" i="3"/>
  <c r="B46" i="1"/>
  <c r="D57" i="16"/>
  <c r="E112" i="1"/>
  <c r="D16" i="4"/>
  <c r="F16" i="4"/>
  <c r="E63" i="12"/>
  <c r="D12" i="16"/>
  <c r="D97" i="11"/>
  <c r="E84" i="11"/>
  <c r="D63" i="12"/>
  <c r="F12" i="16"/>
  <c r="D6" i="2"/>
  <c r="D10" i="14"/>
  <c r="E12" i="12"/>
  <c r="B31" i="1"/>
  <c r="E10" i="3"/>
  <c r="D39" i="4"/>
  <c r="B14" i="10"/>
  <c r="D2" i="12"/>
  <c r="B67" i="15"/>
  <c r="E39" i="4"/>
  <c r="F11" i="10"/>
  <c r="B15" i="16"/>
  <c r="B6" i="10"/>
  <c r="B87" i="11"/>
  <c r="F13" i="15"/>
  <c r="D2" i="16"/>
  <c r="E44" i="15"/>
  <c r="F97" i="11"/>
  <c r="E12" i="16"/>
  <c r="F53" i="12"/>
  <c r="C107" i="12"/>
  <c r="B40" i="1"/>
  <c r="F75" i="1"/>
  <c r="D12" i="1"/>
  <c r="B50" i="1"/>
  <c r="E53" i="12"/>
  <c r="B36" i="1"/>
  <c r="B15" i="1"/>
  <c r="B56" i="12"/>
  <c r="D2" i="4"/>
  <c r="D84" i="11"/>
  <c r="B115" i="1"/>
  <c r="B47" i="15"/>
  <c r="F64" i="10"/>
  <c r="F57" i="16"/>
  <c r="D2" i="11"/>
  <c r="E14" i="11"/>
  <c r="F14" i="11"/>
  <c r="B13" i="14"/>
  <c r="D13" i="15"/>
  <c r="E13" i="15"/>
  <c r="D121" i="11"/>
  <c r="E57" i="16"/>
  <c r="B6" i="15"/>
  <c r="F84" i="11"/>
  <c r="E97" i="11"/>
  <c r="F64" i="15"/>
  <c r="B100" i="11"/>
  <c r="D44" i="15"/>
  <c r="B16" i="15"/>
  <c r="B6" i="16"/>
  <c r="D19" i="2"/>
  <c r="C87" i="12"/>
  <c r="D12" i="12"/>
  <c r="F39" i="4"/>
  <c r="F12" i="12"/>
  <c r="E75" i="1"/>
  <c r="F44" i="15"/>
  <c r="F58" i="4"/>
  <c r="F121" i="11"/>
  <c r="E58" i="4"/>
  <c r="D45" i="16"/>
  <c r="D11" i="10"/>
  <c r="B19" i="4"/>
  <c r="B48" i="16"/>
  <c r="B6" i="12"/>
  <c r="D53" i="12"/>
  <c r="D11" i="2"/>
  <c r="C8" i="2"/>
  <c r="B6" i="4"/>
  <c r="D2" i="1"/>
  <c r="D58" i="4"/>
  <c r="D2" i="10"/>
  <c r="E64" i="10"/>
  <c r="B15" i="12"/>
  <c r="D64" i="10"/>
  <c r="F10" i="14"/>
  <c r="E11" i="10"/>
  <c r="F106" i="11"/>
  <c r="D2" i="15"/>
  <c r="B60" i="16"/>
  <c r="F45" i="16"/>
  <c r="B50" i="4"/>
  <c r="C238" i="13"/>
  <c r="C234" i="13"/>
  <c r="C224" i="13"/>
  <c r="D336" i="13"/>
  <c r="D324" i="13"/>
  <c r="B296" i="13"/>
  <c r="E262" i="13"/>
  <c r="E248" i="13"/>
  <c r="B212" i="13"/>
  <c r="F182" i="13"/>
  <c r="B110" i="13"/>
  <c r="B77" i="13"/>
  <c r="E59" i="13"/>
  <c r="E47" i="13"/>
  <c r="B29" i="13"/>
  <c r="F20" i="13"/>
  <c r="C235" i="13"/>
  <c r="C233" i="13"/>
  <c r="C227" i="13"/>
  <c r="C223" i="13"/>
  <c r="B327" i="13"/>
  <c r="F293" i="13"/>
  <c r="D262" i="13"/>
  <c r="D248" i="13"/>
  <c r="F209" i="13"/>
  <c r="E182" i="13"/>
  <c r="B106" i="13"/>
  <c r="B99" i="13"/>
  <c r="F74" i="13"/>
  <c r="D59" i="13"/>
  <c r="D47" i="13"/>
  <c r="E20" i="13"/>
  <c r="C232" i="13"/>
  <c r="C226" i="13"/>
  <c r="F336" i="13"/>
  <c r="F324" i="13"/>
  <c r="E293" i="13"/>
  <c r="B265" i="13"/>
  <c r="B251" i="13"/>
  <c r="E209" i="13"/>
  <c r="D182" i="13"/>
  <c r="B146" i="13"/>
  <c r="E74" i="13"/>
  <c r="B62" i="13"/>
  <c r="B50" i="13"/>
  <c r="D20" i="13"/>
  <c r="B6" i="13"/>
  <c r="E324" i="13"/>
  <c r="F248" i="13"/>
  <c r="F47" i="13"/>
  <c r="B23" i="13"/>
  <c r="D2" i="13"/>
  <c r="D74" i="13"/>
  <c r="F262" i="13"/>
  <c r="C229" i="13"/>
  <c r="B221" i="13"/>
  <c r="B132" i="13"/>
  <c r="F59" i="13"/>
  <c r="C225" i="13"/>
  <c r="D293" i="13"/>
  <c r="D209" i="13"/>
  <c r="B31" i="13"/>
  <c r="E336" i="13"/>
  <c r="C16" i="2"/>
  <c r="B6" i="2"/>
  <c r="C40" i="2"/>
  <c r="C23" i="2"/>
  <c r="C30" i="2"/>
  <c r="B2" i="16" s="1"/>
  <c r="B11" i="2"/>
  <c r="C31" i="2"/>
  <c r="B2" i="15" s="1"/>
  <c r="C28" i="2"/>
  <c r="C7" i="2"/>
  <c r="B3" i="13" s="1"/>
  <c r="C14" i="2"/>
  <c r="B2" i="4" s="1"/>
  <c r="C15" i="2"/>
  <c r="C32" i="2"/>
  <c r="C13" i="2"/>
  <c r="B2" i="3" s="1"/>
  <c r="C38" i="2"/>
  <c r="C12" i="2"/>
  <c r="B19" i="2"/>
  <c r="B26" i="2"/>
  <c r="C27" i="2"/>
  <c r="B3" i="12" s="1"/>
  <c r="D29" i="15"/>
  <c r="E29" i="15"/>
  <c r="F29" i="15"/>
  <c r="C39" i="2"/>
  <c r="C29" i="2"/>
  <c r="C34" i="2"/>
  <c r="C22" i="2"/>
  <c r="C33" i="2"/>
  <c r="C20" i="2"/>
  <c r="C21" i="2"/>
  <c r="C35" i="2"/>
  <c r="C36" i="2"/>
  <c r="C37" i="2"/>
  <c r="B3" i="2"/>
  <c r="B6" i="1"/>
  <c r="B6" i="3"/>
  <c r="D75" i="1"/>
  <c r="E106" i="11"/>
  <c r="B66" i="12"/>
  <c r="E12" i="1"/>
  <c r="B13" i="3"/>
  <c r="D14" i="11"/>
  <c r="F12" i="1"/>
  <c r="B6" i="11"/>
  <c r="F10" i="3"/>
  <c r="E16" i="4"/>
  <c r="D112" i="1"/>
  <c r="B17" i="11"/>
  <c r="E64" i="15"/>
  <c r="F112" i="1"/>
  <c r="F63" i="12"/>
  <c r="B6" i="14"/>
  <c r="E45" i="16"/>
  <c r="D10" i="3"/>
  <c r="D106" i="11"/>
  <c r="D64" i="15"/>
  <c r="E10" i="14"/>
  <c r="D2" i="14"/>
  <c r="E121" i="11"/>
  <c r="B78" i="1"/>
  <c r="B124" i="11"/>
  <c r="B109" i="11"/>
  <c r="B32" i="15"/>
  <c r="B42" i="4"/>
  <c r="B61" i="4"/>
  <c r="B44" i="15"/>
  <c r="B13" i="15"/>
  <c r="B64" i="15"/>
  <c r="B75" i="1"/>
  <c r="B10" i="14"/>
  <c r="B12" i="12"/>
  <c r="B263" i="13"/>
  <c r="C262" i="13"/>
  <c r="C263" i="13"/>
  <c r="B210" i="13"/>
  <c r="C209" i="13"/>
  <c r="C210" i="13"/>
  <c r="B97" i="11"/>
  <c r="B84" i="11"/>
  <c r="B121" i="11"/>
  <c r="B14" i="11"/>
  <c r="B106" i="11"/>
  <c r="B64" i="10"/>
  <c r="B11" i="10"/>
  <c r="B2" i="10" l="1"/>
  <c r="B3" i="10"/>
  <c r="B3" i="14"/>
  <c r="B2" i="14"/>
  <c r="B2" i="1"/>
  <c r="B3" i="1"/>
  <c r="B2" i="12"/>
  <c r="B2" i="11"/>
  <c r="B3" i="11"/>
  <c r="B2" i="13"/>
  <c r="B53" i="12"/>
  <c r="B3" i="16"/>
  <c r="B3" i="15"/>
  <c r="B3" i="4"/>
  <c r="B16" i="4"/>
  <c r="B3" i="3"/>
  <c r="B10" i="3"/>
  <c r="B112" i="1" l="1"/>
  <c r="S20" i="1"/>
  <c r="R20" i="1"/>
  <c r="Q20" i="1"/>
  <c r="P20" i="1"/>
  <c r="P18" i="1"/>
</calcChain>
</file>

<file path=xl/sharedStrings.xml><?xml version="1.0" encoding="utf-8"?>
<sst xmlns="http://schemas.openxmlformats.org/spreadsheetml/2006/main" count="7254" uniqueCount="3171">
  <si>
    <t>De</t>
  </si>
  <si>
    <t>UN Global Compact</t>
  </si>
  <si>
    <t>UN Sustainable Development Goals</t>
  </si>
  <si>
    <t>Principle 6</t>
  </si>
  <si>
    <t>SDG8</t>
  </si>
  <si>
    <t>Principle 1, Principle 8</t>
  </si>
  <si>
    <t>SDG16</t>
  </si>
  <si>
    <t>Principle 7</t>
  </si>
  <si>
    <t>SDG2, SDG5, SDG7, SDG8, SDG9, SDG13</t>
  </si>
  <si>
    <t>SDG1, SDG5, SDG8</t>
  </si>
  <si>
    <t>SDG1, SDG2, SDG3, SDG8, SDG10, SDG17</t>
  </si>
  <si>
    <t>Principle 10</t>
  </si>
  <si>
    <t>Principle 8</t>
  </si>
  <si>
    <t>SDG8, SDG12</t>
  </si>
  <si>
    <t>Principle 7, Principle 8, Principle 9</t>
  </si>
  <si>
    <t>SDG7, SDG8, SDG12, SDG13</t>
  </si>
  <si>
    <t>SDG3, SDG12, SDG13, SGD14, SDG15</t>
  </si>
  <si>
    <t>Principle 3</t>
  </si>
  <si>
    <t>SDG5, SDG8</t>
  </si>
  <si>
    <t>SDG5, SDG8, SDG10</t>
  </si>
  <si>
    <t>SDG5, SDG8, SDG16</t>
  </si>
  <si>
    <t>Principle 5</t>
  </si>
  <si>
    <t>SDG8, SDG16</t>
  </si>
  <si>
    <t>Principle 4</t>
  </si>
  <si>
    <t>Principle 1</t>
  </si>
  <si>
    <t>SDG1, SDG2</t>
  </si>
  <si>
    <t>Principle 2</t>
  </si>
  <si>
    <t>Ó</t>
  </si>
  <si>
    <t>1, 6</t>
  </si>
  <si>
    <t>—</t>
  </si>
  <si>
    <t>1, 6, 7</t>
  </si>
  <si>
    <t>%</t>
  </si>
  <si>
    <t>3, 4, 8</t>
  </si>
  <si>
    <t>2, 5</t>
  </si>
  <si>
    <t>1'473'948</t>
  </si>
  <si>
    <t>9</t>
  </si>
  <si>
    <t>Anzahl Netze (PubliBike)</t>
  </si>
  <si>
    <t>n/a</t>
  </si>
  <si>
    <t>Anzahl Velos (PubliBike)</t>
  </si>
  <si>
    <t>Anzahl Fahrten (PubliBike)</t>
  </si>
  <si>
    <t>über 600</t>
  </si>
  <si>
    <t>über 500</t>
  </si>
  <si>
    <t>rund 500</t>
  </si>
  <si>
    <t>rund 550</t>
  </si>
  <si>
    <t>rund 650</t>
  </si>
  <si>
    <t>rund 750</t>
  </si>
  <si>
    <t>rund 700</t>
  </si>
  <si>
    <t>rund 400</t>
  </si>
  <si>
    <t>rund 600</t>
  </si>
  <si>
    <t>-</t>
  </si>
  <si>
    <t>1</t>
  </si>
  <si>
    <t>429‘705‘810</t>
  </si>
  <si>
    <t>2</t>
  </si>
  <si>
    <t>170‘345‘986</t>
  </si>
  <si>
    <t>3</t>
  </si>
  <si>
    <t>25‘160‘127</t>
  </si>
  <si>
    <t>22‘603‘811</t>
  </si>
  <si>
    <t>177‘891‘042</t>
  </si>
  <si>
    <t>825‘706‘776</t>
  </si>
  <si>
    <t>61‘474‘959</t>
  </si>
  <si>
    <t>20‘806‘490</t>
  </si>
  <si>
    <t>992‘040</t>
  </si>
  <si>
    <t>708‘088</t>
  </si>
  <si>
    <t>174‘951</t>
  </si>
  <si>
    <t>2‘537</t>
  </si>
  <si>
    <t>84‘159‘065</t>
  </si>
  <si>
    <t>1, 2, 3, 4, 5</t>
  </si>
  <si>
    <t>1, 3, 5</t>
  </si>
  <si>
    <t>1, 2, 3, 6</t>
  </si>
  <si>
    <t>1, 2, 3</t>
  </si>
  <si>
    <t>1, 3</t>
  </si>
  <si>
    <t>2, 3, 4</t>
  </si>
  <si>
    <t>1, 2</t>
  </si>
  <si>
    <t>3, 4</t>
  </si>
  <si>
    <t>3, 4, 5, 6</t>
  </si>
  <si>
    <t>3, 4, 7</t>
  </si>
  <si>
    <t>3, 9</t>
  </si>
  <si>
    <t>2017 1)</t>
  </si>
  <si>
    <t>1, 4</t>
  </si>
  <si>
    <t>1, 5</t>
  </si>
  <si>
    <r>
      <t>2013</t>
    </r>
    <r>
      <rPr>
        <b/>
        <vertAlign val="superscript"/>
        <sz val="10"/>
        <rFont val="Frutiger 45 Light"/>
        <family val="2"/>
      </rPr>
      <t>6)</t>
    </r>
  </si>
  <si>
    <r>
      <t>2015</t>
    </r>
    <r>
      <rPr>
        <b/>
        <vertAlign val="superscript"/>
        <sz val="10"/>
        <rFont val="Frutiger 45 Light"/>
        <family val="2"/>
      </rPr>
      <t>6)</t>
    </r>
  </si>
  <si>
    <r>
      <t>2017</t>
    </r>
    <r>
      <rPr>
        <b/>
        <vertAlign val="superscript"/>
        <sz val="10"/>
        <rFont val="Frutiger 45 Light"/>
        <family val="2"/>
      </rPr>
      <t>6)</t>
    </r>
  </si>
  <si>
    <r>
      <t>2020</t>
    </r>
    <r>
      <rPr>
        <b/>
        <vertAlign val="superscript"/>
        <sz val="10"/>
        <rFont val="Frutiger 45 Light"/>
        <family val="2"/>
      </rPr>
      <t>7)</t>
    </r>
  </si>
  <si>
    <r>
      <t>2021</t>
    </r>
    <r>
      <rPr>
        <b/>
        <vertAlign val="superscript"/>
        <sz val="10"/>
        <rFont val="Frutiger 45 Light"/>
        <family val="2"/>
      </rPr>
      <t>6)</t>
    </r>
  </si>
  <si>
    <t>201-1</t>
  </si>
  <si>
    <r>
      <t>8'371</t>
    </r>
    <r>
      <rPr>
        <vertAlign val="superscript"/>
        <sz val="10"/>
        <rFont val="Frutiger 45 Light"/>
        <family val="2"/>
      </rPr>
      <t>4)</t>
    </r>
  </si>
  <si>
    <r>
      <t>1'132</t>
    </r>
    <r>
      <rPr>
        <vertAlign val="superscript"/>
        <sz val="10"/>
        <rFont val="Frutiger 45 Light"/>
        <family val="2"/>
      </rPr>
      <t>4)</t>
    </r>
  </si>
  <si>
    <r>
      <t>60.0</t>
    </r>
    <r>
      <rPr>
        <vertAlign val="superscript"/>
        <sz val="10"/>
        <rFont val="Frutiger 45 Light"/>
        <family val="2"/>
      </rPr>
      <t>4)</t>
    </r>
  </si>
  <si>
    <r>
      <t>125</t>
    </r>
    <r>
      <rPr>
        <vertAlign val="superscript"/>
        <sz val="10"/>
        <rFont val="Frutiger 45 Light"/>
        <family val="2"/>
      </rPr>
      <t>4)</t>
    </r>
  </si>
  <si>
    <t>5, 9</t>
  </si>
  <si>
    <t>n.a.</t>
  </si>
  <si>
    <r>
      <t>2175</t>
    </r>
    <r>
      <rPr>
        <vertAlign val="superscript"/>
        <sz val="10"/>
        <rFont val="Frutiger 45 Light"/>
        <family val="2"/>
      </rPr>
      <t>4)</t>
    </r>
  </si>
  <si>
    <r>
      <t>2013</t>
    </r>
    <r>
      <rPr>
        <b/>
        <vertAlign val="superscript"/>
        <sz val="10"/>
        <rFont val="Frutiger 45 Light"/>
        <family val="2"/>
      </rPr>
      <t>8)</t>
    </r>
  </si>
  <si>
    <r>
      <t>2015</t>
    </r>
    <r>
      <rPr>
        <b/>
        <vertAlign val="superscript"/>
        <sz val="10"/>
        <rFont val="Frutiger 45 Light"/>
        <family val="2"/>
      </rPr>
      <t>8)</t>
    </r>
  </si>
  <si>
    <r>
      <t>2017</t>
    </r>
    <r>
      <rPr>
        <b/>
        <vertAlign val="superscript"/>
        <sz val="10"/>
        <color theme="1"/>
        <rFont val="Frutiger 45 Light"/>
        <family val="2"/>
      </rPr>
      <t>8)</t>
    </r>
  </si>
  <si>
    <r>
      <t>2018</t>
    </r>
    <r>
      <rPr>
        <b/>
        <vertAlign val="superscript"/>
        <sz val="10"/>
        <color theme="1"/>
        <rFont val="Frutiger 45 Light"/>
        <family val="2"/>
      </rPr>
      <t>9)</t>
    </r>
  </si>
  <si>
    <r>
      <t>2020</t>
    </r>
    <r>
      <rPr>
        <b/>
        <vertAlign val="superscript"/>
        <sz val="10"/>
        <color theme="1"/>
        <rFont val="Frutiger 45 Light"/>
        <family val="2"/>
      </rPr>
      <t>9)</t>
    </r>
  </si>
  <si>
    <r>
      <t>2013</t>
    </r>
    <r>
      <rPr>
        <b/>
        <vertAlign val="superscript"/>
        <sz val="10"/>
        <rFont val="Frutiger 45 Light"/>
        <family val="2"/>
      </rPr>
      <t>3)</t>
    </r>
  </si>
  <si>
    <r>
      <t>2015</t>
    </r>
    <r>
      <rPr>
        <b/>
        <vertAlign val="superscript"/>
        <sz val="10"/>
        <rFont val="Frutiger 45 Light"/>
        <family val="2"/>
      </rPr>
      <t>3)</t>
    </r>
  </si>
  <si>
    <r>
      <t>2017</t>
    </r>
    <r>
      <rPr>
        <b/>
        <vertAlign val="superscript"/>
        <sz val="10"/>
        <color theme="1"/>
        <rFont val="Frutiger 45 Light"/>
        <family val="2"/>
      </rPr>
      <t>3)</t>
    </r>
  </si>
  <si>
    <r>
      <t>2021</t>
    </r>
    <r>
      <rPr>
        <b/>
        <vertAlign val="superscript"/>
        <sz val="10"/>
        <rFont val="Frutiger 45 Light"/>
        <family val="2"/>
      </rPr>
      <t>3)</t>
    </r>
  </si>
  <si>
    <t>201-3</t>
  </si>
  <si>
    <t>1, 3, 9</t>
  </si>
  <si>
    <t>1, 4, 9</t>
  </si>
  <si>
    <t>5, 6</t>
  </si>
  <si>
    <t>202-1</t>
  </si>
  <si>
    <t>n.v.</t>
  </si>
  <si>
    <t>203-2</t>
  </si>
  <si>
    <t>415-1</t>
  </si>
  <si>
    <t>1, 2, 3, 7, 8</t>
  </si>
  <si>
    <t>1, 2, 3, 7</t>
  </si>
  <si>
    <t>1, 2, 3, 8</t>
  </si>
  <si>
    <t>1, 3, 4</t>
  </si>
  <si>
    <t>1, 2, 3, 5, 6</t>
  </si>
  <si>
    <t>1, 3, 5, 6</t>
  </si>
  <si>
    <t>2, 3</t>
  </si>
  <si>
    <r>
      <t>2018</t>
    </r>
    <r>
      <rPr>
        <b/>
        <vertAlign val="superscript"/>
        <sz val="10"/>
        <rFont val="Frutiger 45 Light"/>
        <family val="2"/>
      </rPr>
      <t>2)</t>
    </r>
  </si>
  <si>
    <r>
      <t>2021</t>
    </r>
    <r>
      <rPr>
        <b/>
        <vertAlign val="superscript"/>
        <sz val="10"/>
        <color theme="1"/>
        <rFont val="Frutiger 45 Light"/>
        <family val="2"/>
      </rPr>
      <t>4)</t>
    </r>
  </si>
  <si>
    <t>302-1</t>
  </si>
  <si>
    <t>1, 2, 5</t>
  </si>
  <si>
    <t>302-2</t>
  </si>
  <si>
    <t>302-3</t>
  </si>
  <si>
    <r>
      <t>2021</t>
    </r>
    <r>
      <rPr>
        <b/>
        <vertAlign val="superscript"/>
        <sz val="10"/>
        <color theme="1"/>
        <rFont val="Frutiger 45 Light"/>
        <family val="2"/>
      </rPr>
      <t>3)</t>
    </r>
  </si>
  <si>
    <t>2, 9</t>
  </si>
  <si>
    <t>2, 7</t>
  </si>
  <si>
    <t>305-1</t>
  </si>
  <si>
    <t>2, 4</t>
  </si>
  <si>
    <t>305-2</t>
  </si>
  <si>
    <t>305-3</t>
  </si>
  <si>
    <t>2, 8</t>
  </si>
  <si>
    <t>2, 6</t>
  </si>
  <si>
    <t>305-4</t>
  </si>
  <si>
    <t>305-5</t>
  </si>
  <si>
    <t>1,2</t>
  </si>
  <si>
    <t>305-6</t>
  </si>
  <si>
    <t>305-7</t>
  </si>
  <si>
    <t>401-1</t>
  </si>
  <si>
    <t>401-3</t>
  </si>
  <si>
    <t>403-2</t>
  </si>
  <si>
    <t>1, 2, 3, 5</t>
  </si>
  <si>
    <t>2, 3, 6</t>
  </si>
  <si>
    <t>2, 3, 7</t>
  </si>
  <si>
    <t>1, 8</t>
  </si>
  <si>
    <t>403-1</t>
  </si>
  <si>
    <t>404-2</t>
  </si>
  <si>
    <t>1, 2, 8</t>
  </si>
  <si>
    <t>405-1</t>
  </si>
  <si>
    <t>Text ID</t>
  </si>
  <si>
    <t>Fr</t>
  </si>
  <si>
    <t>It</t>
  </si>
  <si>
    <t>En</t>
  </si>
  <si>
    <t>Spalte1</t>
  </si>
  <si>
    <t>Kennzahlen zur Jahresberichterstattung 2022</t>
  </si>
  <si>
    <t>Chiffres clés du rapport annuel 2022</t>
  </si>
  <si>
    <t>Cifre chiave del rendiconto annuale 2022</t>
  </si>
  <si>
    <t>Key figures for the annual reporting 2022</t>
  </si>
  <si>
    <t>201-1 – Direkt erwirtschafteter und verteilter wirtschaftlicher Wert</t>
  </si>
  <si>
    <t>201-1 – Valeur économique directe créée et distribuée</t>
  </si>
  <si>
    <t>201-1 – Valore economico diretto creato e distribuito</t>
  </si>
  <si>
    <t>201-1 – Direct economic value generated and distributed</t>
  </si>
  <si>
    <t>Marktanteile</t>
  </si>
  <si>
    <t>Parts de marché</t>
  </si>
  <si>
    <t>Quote di mercato</t>
  </si>
  <si>
    <t>Market shares</t>
  </si>
  <si>
    <t>Finanzielles Ergebnis</t>
  </si>
  <si>
    <t>Résultat financier</t>
  </si>
  <si>
    <t>Risultato finanziario</t>
  </si>
  <si>
    <t>Financial result</t>
  </si>
  <si>
    <t>Entschädigungen</t>
  </si>
  <si>
    <t>Indemnités</t>
  </si>
  <si>
    <t>Indennità</t>
  </si>
  <si>
    <t>Remuneration</t>
  </si>
  <si>
    <t>Wohltätigkeit und Sponsoring</t>
  </si>
  <si>
    <t>Actions de bienfaisance et sponsoring</t>
  </si>
  <si>
    <t>Beneficenza e sponsoring</t>
  </si>
  <si>
    <t>Charity and sponsorship</t>
  </si>
  <si>
    <t>Energieverbrauch innerhalb und ausserhalb der Organisation</t>
  </si>
  <si>
    <t>Consommation énergétique au sein et en dehors de l'organisation</t>
  </si>
  <si>
    <t>Consumo energetico all'interno e al di fuori dell'organizzazione</t>
  </si>
  <si>
    <t>Energy consumption within and outside the organization</t>
  </si>
  <si>
    <t>Treibhausgasemissionen</t>
  </si>
  <si>
    <t>Emissions de gaz à effet de serre</t>
  </si>
  <si>
    <t>Emissioni di gas serra</t>
  </si>
  <si>
    <t>Greenhouse gas emissions</t>
  </si>
  <si>
    <t>Personalfluktuation und Austritte</t>
  </si>
  <si>
    <t>Fluctuation du personnel et départs</t>
  </si>
  <si>
    <t>Fluttuazione del personale e partenze</t>
  </si>
  <si>
    <t>Staff turnover and departures</t>
  </si>
  <si>
    <t>Gesundheitsmanagement</t>
  </si>
  <si>
    <t>Gestion de la santé</t>
  </si>
  <si>
    <t>Gestione della salute</t>
  </si>
  <si>
    <t>Health management</t>
  </si>
  <si>
    <t>Lernpersonal</t>
  </si>
  <si>
    <t>Apprentis</t>
  </si>
  <si>
    <t>Personale in formazione</t>
  </si>
  <si>
    <t>Learning personnel</t>
  </si>
  <si>
    <t>Frauen im Management</t>
  </si>
  <si>
    <t>Femmes au sein du management</t>
  </si>
  <si>
    <t>Donne nel management</t>
  </si>
  <si>
    <t>Women in management</t>
  </si>
  <si>
    <t>Die Schweizerische Post</t>
  </si>
  <si>
    <t>La Poste</t>
  </si>
  <si>
    <t>La Posta</t>
  </si>
  <si>
    <t>Swiss Post</t>
  </si>
  <si>
    <t>201-3 – Deckung der Verpflichtungen der Organisation aus dem leistungsorientierten Pensionsplan</t>
  </si>
  <si>
    <t>201-3 – Etendue de la couverture des régimes de retraite à prestations définies</t>
  </si>
  <si>
    <t>201-3 – Ambito di copertura dei piani pensionistici a benefici definiti</t>
  </si>
  <si>
    <t>201-3 – Defined benefit plan obligations and other retirement plans</t>
  </si>
  <si>
    <t>Finanzierung</t>
  </si>
  <si>
    <t>Financement</t>
  </si>
  <si>
    <t>Finanziamento</t>
  </si>
  <si>
    <t>Financing</t>
  </si>
  <si>
    <t>Pensionskasse</t>
  </si>
  <si>
    <t>Caisse de pensions</t>
  </si>
  <si>
    <t>Cassa pensioni</t>
  </si>
  <si>
    <t>Pension fund</t>
  </si>
  <si>
    <t>Zugangspunkte</t>
  </si>
  <si>
    <t>Points d'accès</t>
  </si>
  <si>
    <t>Punti di accesso</t>
  </si>
  <si>
    <t>Access points</t>
  </si>
  <si>
    <t>Weitere Energiekennzahlen</t>
  </si>
  <si>
    <t>Autres indicateurs énergétiques</t>
  </si>
  <si>
    <t>Altre cifre sull'energia</t>
  </si>
  <si>
    <t>Additional energy figures</t>
  </si>
  <si>
    <t>Treibhausgasintensitäten</t>
  </si>
  <si>
    <t>Intensité de gaz à effet de serre</t>
  </si>
  <si>
    <t>Intensità delle emissioni di gas serra</t>
  </si>
  <si>
    <t>Greenhouse gas intensities</t>
  </si>
  <si>
    <t>Elternzeit</t>
  </si>
  <si>
    <t>Congé parental</t>
  </si>
  <si>
    <t>Congedo parentale</t>
  </si>
  <si>
    <t>Parental leave</t>
  </si>
  <si>
    <t>Nachwuchskräfte</t>
  </si>
  <si>
    <t>Relève</t>
  </si>
  <si>
    <t>Nuove leve</t>
  </si>
  <si>
    <t>Young talent</t>
  </si>
  <si>
    <t>Sprachenvielfalt</t>
  </si>
  <si>
    <t>Diversité linguistique</t>
  </si>
  <si>
    <t>Plurilinguismo</t>
  </si>
  <si>
    <t>Language diversity</t>
  </si>
  <si>
    <t>Allgemeine Angaben</t>
  </si>
  <si>
    <t>Informations générales</t>
  </si>
  <si>
    <t>Informazioni generali</t>
  </si>
  <si>
    <t>General information</t>
  </si>
  <si>
    <t>202-1 – Spanne des Verhältnisses der Standardeintrittsgehälter nach Geschlecht zum lokalen Mindestlohn  an Hauptgeschäftsstandorten</t>
  </si>
  <si>
    <t>202-1 – Ratios du salaire d'entrée de base par sexe par rapport au salaire minimum local sur les principaux sites opérationnels</t>
  </si>
  <si>
    <t>202-1 – Rapporti della base salariale di base per sesso al salario minimo locale nei principali siti operativi</t>
  </si>
  <si>
    <t xml:space="preserve">202-1 – Ratios of standard entry level wage by gender compared to local minimum wage </t>
  </si>
  <si>
    <t>Cashflow und Investitionen</t>
  </si>
  <si>
    <t>Cash-flow et investissements</t>
  </si>
  <si>
    <t>Cash flow e investimenti</t>
  </si>
  <si>
    <t>Cash flow and investments</t>
  </si>
  <si>
    <t>Verteilung der Wertschöpfung</t>
  </si>
  <si>
    <t>Répartition de la valeur ajoutée</t>
  </si>
  <si>
    <t>Distribuzione del valore aggiunto</t>
  </si>
  <si>
    <t>Distribution of added value</t>
  </si>
  <si>
    <t>Arbeitsplätze in den Regionen</t>
  </si>
  <si>
    <t>Emplois dans les régions</t>
  </si>
  <si>
    <t>Posti di lavoro nelle regioni</t>
  </si>
  <si>
    <t>Jobs in the regions</t>
  </si>
  <si>
    <t>Kompensierte Treibhausgasemissionen</t>
  </si>
  <si>
    <t>Emissions de gaz à effet de serre compensées</t>
  </si>
  <si>
    <t>Emissioni di gas serra compensate</t>
  </si>
  <si>
    <t>Offset greenhouse gas emissions</t>
  </si>
  <si>
    <t>Personalzufriedenheit, Motivation und Engagement</t>
  </si>
  <si>
    <t>Satisfaction du personnel, motivation et engagement</t>
  </si>
  <si>
    <t>Soddisfazione del personale, motivazione e impegno</t>
  </si>
  <si>
    <t>Employee satisfaction, motivation and commitment</t>
  </si>
  <si>
    <t>Laufbahnzentrum</t>
  </si>
  <si>
    <t>Centre de carrière</t>
  </si>
  <si>
    <t>Centro carriera</t>
  </si>
  <si>
    <t>Careers center</t>
  </si>
  <si>
    <t>Nationalität</t>
  </si>
  <si>
    <t>Nationalité</t>
  </si>
  <si>
    <t>Nazionalità</t>
  </si>
  <si>
    <t>Nationality</t>
  </si>
  <si>
    <t>Wirtschaftliche Themen</t>
  </si>
  <si>
    <t>Sujets économiques</t>
  </si>
  <si>
    <t>Temi economici</t>
  </si>
  <si>
    <t>Economic topics</t>
  </si>
  <si>
    <t>203-2 – Erhebliche indirekte wirtschaftliche Auswirkungen</t>
  </si>
  <si>
    <t>203-2 – Impacts économiques indirects substantiels</t>
  </si>
  <si>
    <t>203-2 – Impatti economici indiretti sostanziali</t>
  </si>
  <si>
    <t>203-2 – Significant indirect economic impacts</t>
  </si>
  <si>
    <t>Mengenentwicklung</t>
  </si>
  <si>
    <t>Evolution des volumes</t>
  </si>
  <si>
    <t>Evoluzione dei volumi</t>
  </si>
  <si>
    <t>Volume trends</t>
  </si>
  <si>
    <t>Preisvergleich postalischer Dienstleistungen</t>
  </si>
  <si>
    <t>Comparaison des prix des services postaux</t>
  </si>
  <si>
    <t>Confronto dei prezzi dei servizi postali</t>
  </si>
  <si>
    <t>Price comparison of postal services</t>
  </si>
  <si>
    <t>Weitere Treibhausgaskennzahlen</t>
  </si>
  <si>
    <t>Autres indicateurs des gaz à effet de serre</t>
  </si>
  <si>
    <t>Altre cifre sui gas serra</t>
  </si>
  <si>
    <t>Other greenhouse gas figures</t>
  </si>
  <si>
    <t>Demographie (Altersverteilung)</t>
  </si>
  <si>
    <t>Démographie (pyramide des âges)</t>
  </si>
  <si>
    <t>Demografia (distribuzione in base all'età)</t>
  </si>
  <si>
    <t>Demographics (age distribution)</t>
  </si>
  <si>
    <t>Ökologische Themen</t>
  </si>
  <si>
    <t>Sujets environnementaux</t>
  </si>
  <si>
    <t>Temi ambientali</t>
  </si>
  <si>
    <t>Environmental topics</t>
  </si>
  <si>
    <t>205-1 – Geschäftsstandorte, die im Hinblick auf Korruptionsrisiken geprüft wurden</t>
  </si>
  <si>
    <t>205-1 – Sites qui ont fait l'objet d'une évaluation des risques de corruption</t>
  </si>
  <si>
    <t>205-1 – Siti che sono stati valutati per i rischi di corruzione</t>
  </si>
  <si>
    <t>205-1 – Operations assessed for risks related to corruption</t>
  </si>
  <si>
    <t>Volumen Zahlungsverkehr</t>
  </si>
  <si>
    <t>Volume trafic des paiements</t>
  </si>
  <si>
    <t>Volume traffico dei pagamenti</t>
  </si>
  <si>
    <t>Volume of payment transactions</t>
  </si>
  <si>
    <t>Laufzeiten postalischer Dienstleistungen</t>
  </si>
  <si>
    <t>Délais d'acheminement des services postaux</t>
  </si>
  <si>
    <t>Tempi di consegna per i servizi postali</t>
  </si>
  <si>
    <t>Delivery times of postal services</t>
  </si>
  <si>
    <t>Luftschadstoffemissionen</t>
  </si>
  <si>
    <t>Emissions de polluants atmosphériques</t>
  </si>
  <si>
    <t>Emissioni di inquinanti atmosferici</t>
  </si>
  <si>
    <t>Air pollution emissions</t>
  </si>
  <si>
    <t>Sozial-gesellschaftliche Themen</t>
  </si>
  <si>
    <t>Sujets sociaux</t>
  </si>
  <si>
    <t>Temi sociali</t>
  </si>
  <si>
    <t>Social topics</t>
  </si>
  <si>
    <t>205-2 – Informationen und Schulungen über Massnahmen und Verfahren zur Korruptionsbekämpfung</t>
  </si>
  <si>
    <t>205-2 – Communication et formation sur les politiques et procédures en matière de lutte contre la corruption</t>
  </si>
  <si>
    <t>205-2 – Comunicazione e formazione sulle politiche e le procedure anticorruzione</t>
  </si>
  <si>
    <t>205-2 – Communication and training about anti-corruption policies and procedures</t>
  </si>
  <si>
    <t>Personalbestand</t>
  </si>
  <si>
    <t>Effectif</t>
  </si>
  <si>
    <t>Organico</t>
  </si>
  <si>
    <t>Headcount</t>
  </si>
  <si>
    <t>Wartezeiten in Filialen</t>
  </si>
  <si>
    <t>Temps d'attente dans les filiales</t>
  </si>
  <si>
    <t>Tempi di attesa nelle filiali</t>
  </si>
  <si>
    <t>Queuing times in branches</t>
  </si>
  <si>
    <t>205-3 – Bestätigte Korruptionsfälle und ergriffene Massnahmen</t>
  </si>
  <si>
    <t>205-3 – Cas avérés de corruption et mesures prises</t>
  </si>
  <si>
    <t>205-3 – Provati casi di corruzione e misure adottate</t>
  </si>
  <si>
    <t>205-3 – Confirmed incidents of corruption and actions taken</t>
  </si>
  <si>
    <t>Geschlechterverteilung</t>
  </si>
  <si>
    <t>Répartition des sexes</t>
  </si>
  <si>
    <t>Distribuzione per genere</t>
  </si>
  <si>
    <t>Gender distribution</t>
  </si>
  <si>
    <t>Verarbeitungszeiten von Finanzdienstleistungen</t>
  </si>
  <si>
    <t>Délais de traitement des services financiers</t>
  </si>
  <si>
    <t>Tempi di trattamento dei servizi finanziari</t>
  </si>
  <si>
    <t>Processing times of financial services</t>
  </si>
  <si>
    <t>201 – Wirtschaftliche Leistung</t>
  </si>
  <si>
    <t>201 – Performance économique</t>
  </si>
  <si>
    <t>201 – Prestazioni economiche</t>
  </si>
  <si>
    <t>201 – Economic Performance</t>
  </si>
  <si>
    <t>206-1 – Verfahren aufgrund von wettbewerbswidrigem Verhalten oder Kartell- und Monopolbildung</t>
  </si>
  <si>
    <t>206-1 – Actions en justice pour comportement anticoncurrentiel, pratiques antitrust et monopolistiques</t>
  </si>
  <si>
    <t>206-1 – Comportamenti anticoncorrenziali, antitrust e pratiche monopolistiche</t>
  </si>
  <si>
    <t>206-1 – Legal actions for anti-competitive behavior, anti-trust, and monopoly practices</t>
  </si>
  <si>
    <t>Teilzeit</t>
  </si>
  <si>
    <t>Temps partiel</t>
  </si>
  <si>
    <t>Tempo parziale</t>
  </si>
  <si>
    <t>Part-time</t>
  </si>
  <si>
    <t>202 – Marktpräsenz</t>
  </si>
  <si>
    <t>202 – Présence sur le marché</t>
  </si>
  <si>
    <t>202 – Presenza sul mercato</t>
  </si>
  <si>
    <t>202 – Market Presence</t>
  </si>
  <si>
    <t>301-1 – Eingesetzte Materialien nach Gewicht oder Volumen</t>
  </si>
  <si>
    <t>301-1 – Consommation de matières en poids ou en volume</t>
  </si>
  <si>
    <t>301-1 – Consumo di materiali in peso o in volume</t>
  </si>
  <si>
    <t>301-1 – Materials used by weight or volume</t>
  </si>
  <si>
    <t>Anstellungsverhältnisse</t>
  </si>
  <si>
    <t>Rapports de travail</t>
  </si>
  <si>
    <t>Rapporto d'impiego</t>
  </si>
  <si>
    <t>Employment conditions</t>
  </si>
  <si>
    <t>203 – Indirekte wirtschaftliche Auswirkungen</t>
  </si>
  <si>
    <t>203 – Impacts économiques indirects</t>
  </si>
  <si>
    <t>203 – Impatti economici indiretti</t>
  </si>
  <si>
    <t>203 – Indirect Economic Impacts</t>
  </si>
  <si>
    <t>301-2 – Anteil der Sekundärrohstoffe am Gesamtmaterialeinsatz</t>
  </si>
  <si>
    <t>301-2 – Pourcentage de matériaux consommés provenant de matières recyclées</t>
  </si>
  <si>
    <t>301-2 – Percentuale di materiali consumati da materiali riciclati</t>
  </si>
  <si>
    <t>301-2 – Recycled input materials used</t>
  </si>
  <si>
    <t>Lieferkette</t>
  </si>
  <si>
    <t xml:space="preserve">Chaîne d'approvisionnement </t>
  </si>
  <si>
    <t>Catena di distribuzione</t>
  </si>
  <si>
    <t>Supply chain</t>
  </si>
  <si>
    <t>205 – Korruptionsbekämpfung</t>
  </si>
  <si>
    <t>205 – Lutte contre la corruption</t>
  </si>
  <si>
    <t>205 – Lotta contro la corruzione</t>
  </si>
  <si>
    <t>205 – Anti Corruption</t>
  </si>
  <si>
    <t>302-1 – Energieverbrauch innerhalb der Organisation</t>
  </si>
  <si>
    <t>302-1 – Consommation énergétique au sein de l'organisation</t>
  </si>
  <si>
    <t>302-1 – Consumo energetico all'interno dell'organizzazione</t>
  </si>
  <si>
    <t>302-1 – Energy consumption within the organization</t>
  </si>
  <si>
    <t>Kundenzufriedenheit</t>
  </si>
  <si>
    <t>Satisfaction des clients</t>
  </si>
  <si>
    <t>Soddisfazione dei clienti</t>
  </si>
  <si>
    <t>Customer satisfaction</t>
  </si>
  <si>
    <t>Mio. CHF</t>
  </si>
  <si>
    <t>Millions de CHF</t>
  </si>
  <si>
    <t>mln di CHF</t>
  </si>
  <si>
    <t>CHF million</t>
  </si>
  <si>
    <t>CHF</t>
  </si>
  <si>
    <t>GWh</t>
  </si>
  <si>
    <t>t CO2-Äquivalent</t>
  </si>
  <si>
    <t>Equivalent de tonnes de CO2</t>
  </si>
  <si>
    <t>t di CO2 equivalenti</t>
  </si>
  <si>
    <t>t CO2 equivalent</t>
  </si>
  <si>
    <t>Anzahl Personen im Monatslohn</t>
  </si>
  <si>
    <t>Nombre de personnes à salaire mensuel</t>
  </si>
  <si>
    <t>numero di collaboratori con salario mensile</t>
  </si>
  <si>
    <t>Number of persons on monthly salary</t>
  </si>
  <si>
    <t>Anzahl pro 100 Personaleinheiten</t>
  </si>
  <si>
    <t>Nombre pour 100 unités de personnel</t>
  </si>
  <si>
    <t>numero ogni 100 unità di personale</t>
  </si>
  <si>
    <t>Number per 100 FTEs</t>
  </si>
  <si>
    <t>Personen</t>
  </si>
  <si>
    <t>Personnes</t>
  </si>
  <si>
    <t>persone</t>
  </si>
  <si>
    <t>% der Personen</t>
  </si>
  <si>
    <t>% des personnes</t>
  </si>
  <si>
    <t>% delle persone</t>
  </si>
  <si>
    <t>% of headcount</t>
  </si>
  <si>
    <t>206 – Wettbewerbswidriges Verhalten</t>
  </si>
  <si>
    <t>206 – Comportement anticoncurrentiel</t>
  </si>
  <si>
    <t>206 – Comportamento anticoncorrenziale</t>
  </si>
  <si>
    <t>206 – Anti Competitive Behavior</t>
  </si>
  <si>
    <t>302-2 – Energieverbrauch ausserhalb der Organisation</t>
  </si>
  <si>
    <t>302-2 – Consommation énergétique en dehors de l'organisation</t>
  </si>
  <si>
    <t>302-2 – Consumo energetico al di fuori dell'organizzazione</t>
  </si>
  <si>
    <t>302-2 – Energy consumption outside of the organization</t>
  </si>
  <si>
    <t>Faktor</t>
  </si>
  <si>
    <t>Facteur</t>
  </si>
  <si>
    <t>Fattore</t>
  </si>
  <si>
    <t>Factor</t>
  </si>
  <si>
    <t>t CO2-Äquivalent pro Mio. CHF</t>
  </si>
  <si>
    <t>Equivalent de tonnes de CO2 par million de CHF</t>
  </si>
  <si>
    <t>t di CO2 equivalenti per mln di CHF</t>
  </si>
  <si>
    <t>t CO2 equivalent per CHF million</t>
  </si>
  <si>
    <t>% des Durchschnittsbestandes an Personen im Monatslohn</t>
  </si>
  <si>
    <t>% de l'effectif moyen avec salaire mensuel</t>
  </si>
  <si>
    <t>% dell'organico medio con salario mensile</t>
  </si>
  <si>
    <t>% of average monthly salary headcount</t>
  </si>
  <si>
    <t>Anzahl</t>
  </si>
  <si>
    <t>Nombre</t>
  </si>
  <si>
    <t>Quantità</t>
  </si>
  <si>
    <t>Number</t>
  </si>
  <si>
    <t>% der Personaleinheiten</t>
  </si>
  <si>
    <t>% des unités de personnel</t>
  </si>
  <si>
    <t>% dell'unità di personale</t>
  </si>
  <si>
    <t>% of full-time equivalents</t>
  </si>
  <si>
    <t>301 – Materialien</t>
  </si>
  <si>
    <t>301 – Matières</t>
  </si>
  <si>
    <t>301 – Materiale</t>
  </si>
  <si>
    <t>301 – Materials</t>
  </si>
  <si>
    <t>302-3 – Energieintensität</t>
  </si>
  <si>
    <t>302-3 – Intensité énergétique</t>
  </si>
  <si>
    <t>302-3 – Intensità energetica</t>
  </si>
  <si>
    <t>302-3 – Energy intensity</t>
  </si>
  <si>
    <t xml:space="preserve">t CO2-Äquivalent pro Personaleinheit </t>
  </si>
  <si>
    <t xml:space="preserve">Equivalent de tonnes de CO2 par unité de personnel </t>
  </si>
  <si>
    <t xml:space="preserve">t di CO2 equivalenti per unità di personale </t>
  </si>
  <si>
    <t xml:space="preserve">t CO2 equivalent per full-time equivalent </t>
  </si>
  <si>
    <t>Jahre</t>
  </si>
  <si>
    <t>Années</t>
  </si>
  <si>
    <t>Anni</t>
  </si>
  <si>
    <t>Years</t>
  </si>
  <si>
    <t>302 – Energie</t>
  </si>
  <si>
    <t>302 – Energia</t>
  </si>
  <si>
    <t>302 – Energy</t>
  </si>
  <si>
    <t>305-1 – Direkte THG-Emissionen (Scope 1)</t>
  </si>
  <si>
    <t>305-1 – Emissions directes de gaz à effet de serre (Scope 1)</t>
  </si>
  <si>
    <t>305-1 – Emissioni dirette di gas a effetto serra (Scope 1)</t>
  </si>
  <si>
    <t>305-1 – Direct (Scope 1) GHG emissions</t>
  </si>
  <si>
    <t>Orte</t>
  </si>
  <si>
    <t>Lieux</t>
  </si>
  <si>
    <t>Località</t>
  </si>
  <si>
    <t>Localities</t>
  </si>
  <si>
    <t>Anzahl in Mio.</t>
  </si>
  <si>
    <t>Nombre en millions</t>
  </si>
  <si>
    <t>numero in mln</t>
  </si>
  <si>
    <t>Volume in millions</t>
  </si>
  <si>
    <t>Index</t>
  </si>
  <si>
    <t>Indice</t>
  </si>
  <si>
    <t>Aussetztage pro Person</t>
  </si>
  <si>
    <t>Jours d'absence par personne</t>
  </si>
  <si>
    <t>giorni di assenza per persona</t>
  </si>
  <si>
    <t>Absentee days per person</t>
  </si>
  <si>
    <t>305 – Emissionen</t>
  </si>
  <si>
    <t>305 – Emissions</t>
  </si>
  <si>
    <t>305 – Emissioni</t>
  </si>
  <si>
    <t>305-2 – Indirekte energiebezogene THG-Emissionen (Scope 2)</t>
  </si>
  <si>
    <t>305-2 – Emissions indirectes de gaz à effet de serre (Scope 2) liées à l'énergie</t>
  </si>
  <si>
    <t>305-2 – Emissioni indirette di gas a effetto serra (Scope 2) legati all'energia</t>
  </si>
  <si>
    <t>305-2 – Energy indirect (Scope 2) GHG emissions</t>
  </si>
  <si>
    <t>Personaleinheiten</t>
  </si>
  <si>
    <t>Unités de personnel</t>
  </si>
  <si>
    <t>unità di personale</t>
  </si>
  <si>
    <t>Full-time equivalents</t>
  </si>
  <si>
    <t>Tage pro Jahr</t>
  </si>
  <si>
    <t>Jours par an</t>
  </si>
  <si>
    <t>giorni all'anno</t>
  </si>
  <si>
    <t>Days per annum</t>
  </si>
  <si>
    <t>Teilnehmende</t>
  </si>
  <si>
    <t>Participants</t>
  </si>
  <si>
    <t>Partecipanti</t>
  </si>
  <si>
    <t>308 – Bewertung der Lieferanten hinsichtlich ökologischer Aspekte</t>
  </si>
  <si>
    <t>308 – Evaluation environnementale des fournisseurs</t>
  </si>
  <si>
    <t>308 – Valutazione ambientale dei fornitori</t>
  </si>
  <si>
    <t>308 – Supplier Environmental Assessment</t>
  </si>
  <si>
    <t>305-3 – Weitere indirekte THG-Emissionen (Scope 3)</t>
  </si>
  <si>
    <t>305-3 – Autres émissions indirectes de gaz à effet de serre (Scope 3)</t>
  </si>
  <si>
    <t>305-3 – Altre emissioni indirette di gas a effetto serra (Scope 3)</t>
  </si>
  <si>
    <t>305-3 – Other indirect (Scope 3) GHG emissions</t>
  </si>
  <si>
    <t>kg</t>
  </si>
  <si>
    <t>Kilos</t>
  </si>
  <si>
    <t>401 – Beschäftigung</t>
  </si>
  <si>
    <t>401 – Emploi</t>
  </si>
  <si>
    <t>401 – Occupazione</t>
  </si>
  <si>
    <t>401 – Employment</t>
  </si>
  <si>
    <t>305-4 – Intensität der THG-Emissionen</t>
  </si>
  <si>
    <t>305-4 – Intensité des émissions de gaz à effet de serre</t>
  </si>
  <si>
    <t>305-4 – Intensità delle emissioni di gas a effetto serra</t>
  </si>
  <si>
    <t>305-4 – GHG emissions intensity</t>
  </si>
  <si>
    <t>t</t>
  </si>
  <si>
    <t>Tonnes</t>
  </si>
  <si>
    <t>402 – Arbeitnehmer-Arbeitgeber-Verhältnis</t>
  </si>
  <si>
    <t>402 – Relations employeur/employés</t>
  </si>
  <si>
    <t>402 – Relazioni datore di lavoro/dipendente</t>
  </si>
  <si>
    <t>402 – Labor/Management Relations</t>
  </si>
  <si>
    <t>305-6 – Emissionen Ozon abbauender Stoffe</t>
  </si>
  <si>
    <t>305-6 – Emissions de substances appauvrissant la couche d'ozone (SAO)</t>
  </si>
  <si>
    <t>305-6 – Emissioni di sostanze che riducono l'ozono (SRO)</t>
  </si>
  <si>
    <t>305-6 – Emissions of ozone-depleting substances (ODS)</t>
  </si>
  <si>
    <t>403 – Arbeitssicherheit und Gesundheitsschutz</t>
  </si>
  <si>
    <t>403 – Santé et sécurité au travail</t>
  </si>
  <si>
    <t>403 – Salute e sicurezza sul posto di lavoro</t>
  </si>
  <si>
    <t>403 – Occupational Health and Safety</t>
  </si>
  <si>
    <r>
      <t>305-7 – NO</t>
    </r>
    <r>
      <rPr>
        <vertAlign val="subscript"/>
        <sz val="10"/>
        <color theme="1"/>
        <rFont val="Frutiger 45 Light"/>
        <family val="2"/>
      </rPr>
      <t>X</t>
    </r>
    <r>
      <rPr>
        <sz val="10"/>
        <color theme="1"/>
        <rFont val="Frutiger 45 Light"/>
        <family val="2"/>
      </rPr>
      <t>, SO</t>
    </r>
    <r>
      <rPr>
        <vertAlign val="subscript"/>
        <sz val="10"/>
        <color theme="1"/>
        <rFont val="Frutiger 45 Light"/>
        <family val="2"/>
      </rPr>
      <t>X</t>
    </r>
    <r>
      <rPr>
        <sz val="10"/>
        <color theme="1"/>
        <rFont val="Frutiger 45 Light"/>
        <family val="2"/>
      </rPr>
      <t xml:space="preserve"> und andere signifikante Luftemissionen</t>
    </r>
  </si>
  <si>
    <r>
      <t>305-7 – NO</t>
    </r>
    <r>
      <rPr>
        <vertAlign val="subscript"/>
        <sz val="10"/>
        <color theme="1"/>
        <rFont val="Frutiger 45 Light"/>
        <family val="2"/>
      </rPr>
      <t>X</t>
    </r>
    <r>
      <rPr>
        <sz val="10"/>
        <color theme="1"/>
        <rFont val="Frutiger 45 Light"/>
        <family val="2"/>
      </rPr>
      <t>, SO</t>
    </r>
    <r>
      <rPr>
        <vertAlign val="subscript"/>
        <sz val="10"/>
        <color theme="1"/>
        <rFont val="Frutiger 45 Light"/>
        <family val="2"/>
      </rPr>
      <t>X</t>
    </r>
    <r>
      <rPr>
        <sz val="10"/>
        <color theme="1"/>
        <rFont val="Frutiger 45 Light"/>
        <family val="2"/>
      </rPr>
      <t>, et autres émissions atmosphériques substantielles</t>
    </r>
  </si>
  <si>
    <r>
      <t>305-7 – NO</t>
    </r>
    <r>
      <rPr>
        <vertAlign val="subscript"/>
        <sz val="10"/>
        <color theme="1"/>
        <rFont val="Frutiger 45 Light"/>
        <family val="2"/>
      </rPr>
      <t>X</t>
    </r>
    <r>
      <rPr>
        <sz val="10"/>
        <color theme="1"/>
        <rFont val="Frutiger 45 Light"/>
        <family val="2"/>
      </rPr>
      <t>, SO</t>
    </r>
    <r>
      <rPr>
        <vertAlign val="subscript"/>
        <sz val="10"/>
        <color theme="1"/>
        <rFont val="Frutiger 45 Light"/>
        <family val="2"/>
      </rPr>
      <t>X</t>
    </r>
    <r>
      <rPr>
        <sz val="10"/>
        <color theme="1"/>
        <rFont val="Frutiger 45 Light"/>
        <family val="2"/>
      </rPr>
      <t xml:space="preserve"> e altre emissioni di aria sostanziale</t>
    </r>
  </si>
  <si>
    <t>305-7 – Nitrogen oxides (NOX), sulfur oxides (SOX), and other significant air emissions</t>
  </si>
  <si>
    <t>404 – Aus- und Weiterbildung</t>
  </si>
  <si>
    <t>404 – Formation et éducation</t>
  </si>
  <si>
    <t>404 – Formazione e istruzione</t>
  </si>
  <si>
    <t>404 – Training and Education</t>
  </si>
  <si>
    <t>405 – Vielfalt und Chancengleichheit</t>
  </si>
  <si>
    <t>405 – Diversité et égalité des chances</t>
  </si>
  <si>
    <t>405 – Diversità e pari opportunità</t>
  </si>
  <si>
    <t>405 – Diversity and Equal Opportunity</t>
  </si>
  <si>
    <t>406 – Gleichbehandlung</t>
  </si>
  <si>
    <t>406 – Non-discrimination</t>
  </si>
  <si>
    <t>406 – Non discriminazione</t>
  </si>
  <si>
    <t>407 – Vereinigungsfreiheit und Recht auf Kollektivverhandlungen</t>
  </si>
  <si>
    <t>407 – Liberté syndicale et droit de négociation collective</t>
  </si>
  <si>
    <t>407 – Libertà di associazione e diritto alla contrattazione collettiva</t>
  </si>
  <si>
    <t>407 – Freedom of Association and Collective Bargaining</t>
  </si>
  <si>
    <t>Mio. Sendungen</t>
  </si>
  <si>
    <t>Millions d'unités</t>
  </si>
  <si>
    <t>mln di invii</t>
  </si>
  <si>
    <t>Millions of items</t>
  </si>
  <si>
    <t>408 – Kinderarbeit</t>
  </si>
  <si>
    <t>408 – Travail des enfants</t>
  </si>
  <si>
    <t>408 – Lavoro minorile</t>
  </si>
  <si>
    <t>408 – Child Labor</t>
  </si>
  <si>
    <t>Millions</t>
  </si>
  <si>
    <t>In millions</t>
  </si>
  <si>
    <t>409 – Zwangs- und Pflichtarbeit</t>
  </si>
  <si>
    <t>409 – Travail forcé ou obligatoire</t>
  </si>
  <si>
    <t>409 – Lavoro forzato o obbligatorio</t>
  </si>
  <si>
    <t>409 – Forced or Compulsory Labor</t>
  </si>
  <si>
    <t>Anzahl in Tausend</t>
  </si>
  <si>
    <t>Milliers</t>
  </si>
  <si>
    <t>numero in migliaia</t>
  </si>
  <si>
    <t>In thousands</t>
  </si>
  <si>
    <t>412 – Prüfung der Menschenrechte</t>
  </si>
  <si>
    <t>412 – Evaluation des droits de l'homme</t>
  </si>
  <si>
    <t>412 – Valutazione dei diritti umani</t>
  </si>
  <si>
    <t>412 – Human Rights Assessment</t>
  </si>
  <si>
    <t>Kunden</t>
  </si>
  <si>
    <t>clients</t>
  </si>
  <si>
    <t>clienti</t>
  </si>
  <si>
    <t>Customers</t>
  </si>
  <si>
    <t>413 – Lokale Gemeinschaften</t>
  </si>
  <si>
    <t>413 – Communautés locales</t>
  </si>
  <si>
    <t>413 – Comunità locali</t>
  </si>
  <si>
    <t>413 – Local Communities</t>
  </si>
  <si>
    <t>Mio. km</t>
  </si>
  <si>
    <t>Millions de kilomètres</t>
  </si>
  <si>
    <t>mln di km</t>
  </si>
  <si>
    <t>In millions of km</t>
  </si>
  <si>
    <t>414 – Bewertung der Lieferanten hinsichtlich Arbeitspraktiken</t>
  </si>
  <si>
    <t>414 – Evaluation sociale des fournisseurs</t>
  </si>
  <si>
    <t>414 – Valutazione sociale dei fornitori</t>
  </si>
  <si>
    <t>414 – Supplier Social Assessment</t>
  </si>
  <si>
    <t>418 – Schutz der Privatsphäre des Kunden</t>
  </si>
  <si>
    <t>418 – Vie privée des clients</t>
  </si>
  <si>
    <t>418 – Privacy dei clienti</t>
  </si>
  <si>
    <t>418 – Customer Privacy</t>
  </si>
  <si>
    <t>km</t>
  </si>
  <si>
    <t>Kilomètres</t>
  </si>
  <si>
    <t>419 – Sozio-ökonomische Compliance</t>
  </si>
  <si>
    <t>419 – Conformité socioéconomique</t>
  </si>
  <si>
    <t>419 – Conformità socioeconomica</t>
  </si>
  <si>
    <t>419 – Socioeconomic Compliance</t>
  </si>
  <si>
    <t>Mio. m²</t>
  </si>
  <si>
    <t>Millions de m2</t>
  </si>
  <si>
    <t>mln di m²</t>
  </si>
  <si>
    <t>In millions of m²</t>
  </si>
  <si>
    <t>Offenlegungen</t>
  </si>
  <si>
    <t>Divulgations</t>
  </si>
  <si>
    <t>Divulgazioni</t>
  </si>
  <si>
    <t>Disclosures</t>
  </si>
  <si>
    <t>Anzahl pro Monat</t>
  </si>
  <si>
    <t>Nombre par mois</t>
  </si>
  <si>
    <t>numero per mese</t>
  </si>
  <si>
    <t>Number per month</t>
  </si>
  <si>
    <t>Betriebsertrag</t>
  </si>
  <si>
    <t>Produits d'exploitation</t>
  </si>
  <si>
    <t>Ricavi d'esercizio</t>
  </si>
  <si>
    <t>Operating income</t>
  </si>
  <si>
    <t>Entschädigungen an Verwaltungsratspräsidenten</t>
  </si>
  <si>
    <t>Indemnités versées au président du Conseil d'administration</t>
  </si>
  <si>
    <t>Indennità a Presidenti di Consigli d'amministrazione</t>
  </si>
  <si>
    <t>Remuneration paid to Chairman of the Board</t>
  </si>
  <si>
    <t>Beiträge</t>
  </si>
  <si>
    <t>Contributions</t>
  </si>
  <si>
    <t>Contributi</t>
  </si>
  <si>
    <t>Treibstoffverbrauch</t>
  </si>
  <si>
    <t>Consommation de carburants</t>
  </si>
  <si>
    <t>Consumo di carburanti</t>
  </si>
  <si>
    <t>Fuel consumption</t>
  </si>
  <si>
    <t>Nach Prozessen</t>
  </si>
  <si>
    <t>Par processus</t>
  </si>
  <si>
    <t>Per processo</t>
  </si>
  <si>
    <t>By process</t>
  </si>
  <si>
    <t>Eintritte</t>
  </si>
  <si>
    <t>Arrivées</t>
  </si>
  <si>
    <t>Arrivi</t>
  </si>
  <si>
    <t>New employees</t>
  </si>
  <si>
    <t>Unfälle</t>
  </si>
  <si>
    <t>Accidents</t>
  </si>
  <si>
    <t>Infortuni</t>
  </si>
  <si>
    <t>Anteil Frauen im Kader</t>
  </si>
  <si>
    <t>Part de femmes cadres</t>
  </si>
  <si>
    <t>Percentuale di donne nei quadri</t>
  </si>
  <si>
    <t>Percentage of women in management roles</t>
  </si>
  <si>
    <t>Einheit</t>
  </si>
  <si>
    <t>Unité</t>
  </si>
  <si>
    <t>Unità</t>
  </si>
  <si>
    <t>Unit</t>
  </si>
  <si>
    <t>Gigabyte</t>
  </si>
  <si>
    <t>Gigaoctets</t>
  </si>
  <si>
    <t>gigabyte</t>
  </si>
  <si>
    <t>Gigabytes</t>
  </si>
  <si>
    <t>im Ausland und grenzüberschreitend erwirtschaftet</t>
  </si>
  <si>
    <t>réalisés à l’étranger et transfrontalier</t>
  </si>
  <si>
    <t>conseguiti all’estero e zone transforntaliere</t>
  </si>
  <si>
    <t>Generated abroad and crossborder</t>
  </si>
  <si>
    <t>Durchschnittliche Entschädigung an Verwaltungsratsmitglieder</t>
  </si>
  <si>
    <t>Indemnités moyennes versées aux membres du Conseil d'administration</t>
  </si>
  <si>
    <t>Indennità media ai membri del Consiglio d'amministrazione</t>
  </si>
  <si>
    <t>Average remuneration paid to members of the Board of Directors</t>
  </si>
  <si>
    <t>Wirtschaft</t>
  </si>
  <si>
    <t>Sponsoring économique</t>
  </si>
  <si>
    <t>Economia</t>
  </si>
  <si>
    <t>Economy</t>
  </si>
  <si>
    <t>Treibstoffverbrauch (innerhalb der Post)</t>
  </si>
  <si>
    <t>Consommation de carburants (au sein de la Poste)</t>
  </si>
  <si>
    <t>Consumo di carburanti (all'interno della Posta)</t>
  </si>
  <si>
    <t>Fuel consumption (within Swiss Post)</t>
  </si>
  <si>
    <t>Leistungserbringung</t>
  </si>
  <si>
    <t>Fourniture de prestations</t>
  </si>
  <si>
    <t>Erogazione di servizi</t>
  </si>
  <si>
    <t>Service provision</t>
  </si>
  <si>
    <t>weiblich</t>
  </si>
  <si>
    <t>Femmes</t>
  </si>
  <si>
    <t>donne</t>
  </si>
  <si>
    <t>Women</t>
  </si>
  <si>
    <t>Berufsunfälle</t>
  </si>
  <si>
    <t>Accidents professionnels</t>
  </si>
  <si>
    <t>Infortuni professionali</t>
  </si>
  <si>
    <t>Occupational accidents</t>
  </si>
  <si>
    <t>Detailhandelsfachfrau/-mann</t>
  </si>
  <si>
    <t>Gestionnaire de commerce de détail</t>
  </si>
  <si>
    <t>impiegati/e del commercio al dettaglio</t>
  </si>
  <si>
    <t>Retail employee</t>
  </si>
  <si>
    <t>Anteil Frauen in höchster Kaderfunktion</t>
  </si>
  <si>
    <t>Part de femmes cadres échelon supérieur</t>
  </si>
  <si>
    <t>Percentuale di donne con mansioni direttive di livello superiore</t>
  </si>
  <si>
    <t>Percentage of women in senior management posts</t>
  </si>
  <si>
    <t>Fussnoten</t>
  </si>
  <si>
    <t>Notes</t>
  </si>
  <si>
    <t>Note</t>
  </si>
  <si>
    <t>Footnotes</t>
  </si>
  <si>
    <t>Anzahl pro Jahr</t>
  </si>
  <si>
    <t>Nombre par an</t>
  </si>
  <si>
    <t>numero per anno</t>
  </si>
  <si>
    <t>Number per year</t>
  </si>
  <si>
    <t>reservierte Dienste</t>
  </si>
  <si>
    <t>Services réservés</t>
  </si>
  <si>
    <t>servizi riservati</t>
  </si>
  <si>
    <t>Reserved services</t>
  </si>
  <si>
    <t>Entschädigung an Konzernleiter/-in</t>
  </si>
  <si>
    <t>Indemnités versées au directeur/à la directrice général(e)</t>
  </si>
  <si>
    <t>Indennità al/alla direttore/direttrice generale</t>
  </si>
  <si>
    <t>Remuneration paid to CEO</t>
  </si>
  <si>
    <t>Sportsponsoring</t>
  </si>
  <si>
    <t>Sponsoring sportif</t>
  </si>
  <si>
    <t>Sponsoring sportivo</t>
  </si>
  <si>
    <t>Sports sponsorship</t>
  </si>
  <si>
    <t>Anteil an erneuerbaren Treibstoffen (innerhalb der Post)</t>
  </si>
  <si>
    <t>Part de carburants renouvelables (au sein de la Poste)</t>
  </si>
  <si>
    <t>Quota di carburanti da fonti rinnovabili (all'interno della Posta)</t>
  </si>
  <si>
    <t>Percentage of renewable fuels (within Swiss Post)</t>
  </si>
  <si>
    <t>Gebäude</t>
  </si>
  <si>
    <t>Bâtiments</t>
  </si>
  <si>
    <t>edifici</t>
  </si>
  <si>
    <t>Buildings</t>
  </si>
  <si>
    <t>20–29</t>
  </si>
  <si>
    <t>20-29</t>
  </si>
  <si>
    <t>Berufsunfälle Logistik-Services</t>
  </si>
  <si>
    <t>Accidents professionnels Services logistiques</t>
  </si>
  <si>
    <t>infortuni professionali Servizi logistici</t>
  </si>
  <si>
    <t>Occupational accidents, Logistics Services</t>
  </si>
  <si>
    <t>Fachfrau/ -mann Kundendialog</t>
  </si>
  <si>
    <t>Agent(e) relation client</t>
  </si>
  <si>
    <t>operatori/trici per la comunicazione con la clientela</t>
  </si>
  <si>
    <t>Call center agent</t>
  </si>
  <si>
    <t>Anteil Frauen im mittleren/unteren Kader</t>
  </si>
  <si>
    <t>Part de femmes cadres échelons moyen et inférieur</t>
  </si>
  <si>
    <t>Percentuale di donne nei quadri inferiori e medi</t>
  </si>
  <si>
    <t>Percentage of women in middle and junior management roles</t>
  </si>
  <si>
    <t>GRI</t>
  </si>
  <si>
    <t>Betriebsaufwand</t>
  </si>
  <si>
    <t>Charges d'exploitation</t>
  </si>
  <si>
    <t>Costi d'esercizio</t>
  </si>
  <si>
    <t>Operating expenses</t>
  </si>
  <si>
    <t>Durchschnittliche Entschädigung an Konzernleitungsmitglieder</t>
  </si>
  <si>
    <t>Indemnités moyennes versées aux membres de la Direction du groupe</t>
  </si>
  <si>
    <t>Indennità media ai membri della Direzione del gruppo</t>
  </si>
  <si>
    <t>Average remuneration paid to members of Executive Management</t>
  </si>
  <si>
    <t>Kultursponsoring</t>
  </si>
  <si>
    <t>Sponsoring culturel</t>
  </si>
  <si>
    <t>Sponsoring culturale</t>
  </si>
  <si>
    <t>Cultural sponsorship</t>
  </si>
  <si>
    <t>Diesel (innerhalb der Post)</t>
  </si>
  <si>
    <t>Diesel (au sein de la Poste)</t>
  </si>
  <si>
    <t>Diesel (all'interno della Posta)</t>
  </si>
  <si>
    <t>Diesel (within Swiss Post)</t>
  </si>
  <si>
    <t>Wärme</t>
  </si>
  <si>
    <t>Chaleur</t>
  </si>
  <si>
    <t>riscaldamento</t>
  </si>
  <si>
    <t>Heating</t>
  </si>
  <si>
    <t>30-49</t>
  </si>
  <si>
    <t>30–49</t>
  </si>
  <si>
    <t>Berufsunfälle Kommunikations-Services</t>
  </si>
  <si>
    <t>Accidents professionnels Services de communication</t>
  </si>
  <si>
    <t>infortuni professionali Servizi di comunicazione</t>
  </si>
  <si>
    <t>Occupational accidents, Communication Services</t>
  </si>
  <si>
    <t>Kaufleute</t>
  </si>
  <si>
    <t>Employé(e) de commerce</t>
  </si>
  <si>
    <t>impiegati/e di commercio</t>
  </si>
  <si>
    <t>Commercial employee</t>
  </si>
  <si>
    <t>Anteil Frauen im Verwaltungsrat (VR) der Schweizerischen Post AG</t>
  </si>
  <si>
    <t>Part de femmes au Conseil d'administration (CA) de La Poste Suisse SA</t>
  </si>
  <si>
    <t>Percentuale di donne nel Consiglio di amministrazione (CdA) de La Posta Svizzera SA</t>
  </si>
  <si>
    <t>Percentage of women on Swiss Post Ltd Board of Directors (BoD)</t>
  </si>
  <si>
    <t>zurück zum Inhaltsverzeichnis</t>
  </si>
  <si>
    <t>retour à la table des matières</t>
  </si>
  <si>
    <t>torna alla tabella dei contenuti</t>
  </si>
  <si>
    <t>back to the table of contents</t>
  </si>
  <si>
    <t>Personalaufwand</t>
  </si>
  <si>
    <t>Charges de personnel</t>
  </si>
  <si>
    <t>Costi per il personale</t>
  </si>
  <si>
    <t>Personnel expenses</t>
  </si>
  <si>
    <t>Durchschnittslohn Mitarbeitende</t>
  </si>
  <si>
    <t>Salaire moyen du personnel</t>
  </si>
  <si>
    <t>Salario medio dei collaboratori</t>
  </si>
  <si>
    <t>Average salary for employees</t>
  </si>
  <si>
    <t>Soziale Engagements / Vergabungen / Spenden</t>
  </si>
  <si>
    <t>Engagements sociaux / cadeaux / dons</t>
  </si>
  <si>
    <t>Impegno sociale / doni / donazioni</t>
  </si>
  <si>
    <t>Social initiatives/gifts/donations</t>
  </si>
  <si>
    <t>Anteil an Biodiesel (innerhalb der Post)</t>
  </si>
  <si>
    <t>Part de biodiesel renouvelable (au sein de la Poste)</t>
  </si>
  <si>
    <t>Quota di biodiesel (all'interno della Posta)</t>
  </si>
  <si>
    <t>Percentage of biodiesel (within Swiss Post)</t>
  </si>
  <si>
    <t>Strom</t>
  </si>
  <si>
    <t>Electricité</t>
  </si>
  <si>
    <t>energia elettrica</t>
  </si>
  <si>
    <t>Electricity</t>
  </si>
  <si>
    <t>50 und älter</t>
  </si>
  <si>
    <t>50 ans et plus</t>
  </si>
  <si>
    <t>dai 50 anni in su</t>
  </si>
  <si>
    <t>50 and older</t>
  </si>
  <si>
    <t>Berufsunfälle PostNetz</t>
  </si>
  <si>
    <t>Accidents professionnels RéseauPostal</t>
  </si>
  <si>
    <t>infortuni professionali RetePostale</t>
  </si>
  <si>
    <t>Occupational accidents, PostalNetwork</t>
  </si>
  <si>
    <t>Kaufm. Praktikum</t>
  </si>
  <si>
    <t>Stagiaire commerce</t>
  </si>
  <si>
    <t>stagisti di commercio</t>
  </si>
  <si>
    <t>Commercial apprenticeship</t>
  </si>
  <si>
    <t>Anteil Frauen in der Konzernleitung (KL) der Schweizerischen Post AG</t>
  </si>
  <si>
    <t>Part de femmes à la Direction du groupe (DG) La Poste Suisse SA</t>
  </si>
  <si>
    <t>Percentuale di donne nella Direzione del gruppo (DG) de La Posta Svizzera SA</t>
  </si>
  <si>
    <t>Percentage of women in Swiss Post Ltd Executive Management (EM)</t>
  </si>
  <si>
    <t>Konzern</t>
  </si>
  <si>
    <t>Groupe</t>
  </si>
  <si>
    <t>Gruppo</t>
  </si>
  <si>
    <t>Group</t>
  </si>
  <si>
    <t>Betriebsergebnis</t>
  </si>
  <si>
    <t>Résultat d'exploitation</t>
  </si>
  <si>
    <t>Risultato d'esercizio</t>
  </si>
  <si>
    <t>Operating profit</t>
  </si>
  <si>
    <t>Minimallohn GAV Post (18 Jahre, ohne Berufslehre)</t>
  </si>
  <si>
    <t>Salaire minimal CCT Poste (18 ans, sans apprentissage)</t>
  </si>
  <si>
    <t>Salario minimo CCL Posta (dai 18 anni, senza apprendistato professionale)</t>
  </si>
  <si>
    <t>Minimum salary under Swiss Post CEC (18 years, without vocational training)</t>
  </si>
  <si>
    <t>Spenden an politische Parteien</t>
  </si>
  <si>
    <t>Dons à des partis politiques</t>
  </si>
  <si>
    <t>Doni a partiti politici</t>
  </si>
  <si>
    <t>Donations to political parties</t>
  </si>
  <si>
    <t>Benzin (innerhalb der Post)</t>
  </si>
  <si>
    <t>Essence (au sein de la Poste)</t>
  </si>
  <si>
    <t>Benzina (all'interno della Posta)</t>
  </si>
  <si>
    <t>Petrol (within Swiss Post)</t>
  </si>
  <si>
    <t>Kältemittel, Ressourcen und Abfälle</t>
  </si>
  <si>
    <t>Climatisation, ressources et déchets</t>
  </si>
  <si>
    <t>refrigeranti, risorse e rifiuti</t>
  </si>
  <si>
    <t>Refrigerants, resources and waste</t>
  </si>
  <si>
    <t>männlich</t>
  </si>
  <si>
    <t>Hommes</t>
  </si>
  <si>
    <t>uomini</t>
  </si>
  <si>
    <t>Men</t>
  </si>
  <si>
    <t>Berufsunfälle PostFinance</t>
  </si>
  <si>
    <t>Accidents professionnels PostFinance</t>
  </si>
  <si>
    <t>infortuni professionali PostFinance</t>
  </si>
  <si>
    <t>Occupational accidents, PostFinance</t>
  </si>
  <si>
    <t>Logistiker/-in EFZ Distribution</t>
  </si>
  <si>
    <t>Logisticien/ne CFC distribution</t>
  </si>
  <si>
    <t>impiegati/e in logistica AFC Recapito</t>
  </si>
  <si>
    <t>EFZ distribution logistics technician</t>
  </si>
  <si>
    <t>Anteil Frauen im VR, der KL und den Geschäftsleitungen des Konzerns</t>
  </si>
  <si>
    <t>Part de femmes aux CA, à la DG et dans les organes de direction du groupe</t>
  </si>
  <si>
    <t>Percentuale di donne nel CdA, nella DG e nel comitato di direzione del gruppo</t>
  </si>
  <si>
    <t>Percentage of women on BoD, EM and Executive Boards of the group</t>
  </si>
  <si>
    <t>Konzern Schweiz</t>
  </si>
  <si>
    <t>Groupe Suisse</t>
  </si>
  <si>
    <t>Gruppo Svizzera</t>
  </si>
  <si>
    <t>Group in Switzerland</t>
  </si>
  <si>
    <t>als Anteil des Betriebsertrages</t>
  </si>
  <si>
    <t>en proportion des produits d'exploitation</t>
  </si>
  <si>
    <t>in % dei ricavi d'esercizio</t>
  </si>
  <si>
    <t>As a share of operating income</t>
  </si>
  <si>
    <t>Lohnspanne</t>
  </si>
  <si>
    <t>Ecart salarial</t>
  </si>
  <si>
    <t>Fascia salariale</t>
  </si>
  <si>
    <t>Salary range</t>
  </si>
  <si>
    <t>Engagements für die Schweiz</t>
  </si>
  <si>
    <t>Engagements pour la Suisse</t>
  </si>
  <si>
    <t>Impegni per la Svizzera</t>
  </si>
  <si>
    <t>Commitments for Switzerland</t>
  </si>
  <si>
    <t>Erdgas (innerhalb der Post)</t>
  </si>
  <si>
    <t>Gaz naturel (au sein de la Poste)</t>
  </si>
  <si>
    <t>Gas naturale (all'interno della Posta)</t>
  </si>
  <si>
    <t>Natural gas (within Swiss Post)</t>
  </si>
  <si>
    <t>Mobilität</t>
  </si>
  <si>
    <t>Mobilité</t>
  </si>
  <si>
    <t>Mobilità</t>
  </si>
  <si>
    <t>Mobility</t>
  </si>
  <si>
    <t>Berufsunfälle Mobilitäts-Services</t>
  </si>
  <si>
    <t>Accidents professionnels Services de mobilité</t>
  </si>
  <si>
    <t>infortuni professionali Servizi di mobilità</t>
  </si>
  <si>
    <t>Occupational accidents, Mobility Services</t>
  </si>
  <si>
    <t>Logistiker/-in EBA Distribution</t>
  </si>
  <si>
    <t>Logisticien/ne AFP distribution</t>
  </si>
  <si>
    <t>addetti/e alla logistica CFP Recapito</t>
  </si>
  <si>
    <t>EBA distribution logistics technician</t>
  </si>
  <si>
    <t>Märkte</t>
  </si>
  <si>
    <t>Marchés</t>
  </si>
  <si>
    <t>Mercati</t>
  </si>
  <si>
    <t>Markets</t>
  </si>
  <si>
    <t>als Anteil des Betriebsergebnisses</t>
  </si>
  <si>
    <t>in % dei risultato d'esercizio</t>
  </si>
  <si>
    <t>As a share of operating profit</t>
  </si>
  <si>
    <t>Minimallohn GAV Post (Mindestlohn Region D)</t>
  </si>
  <si>
    <t>Salaire minimal selon CCT Poste (salaire minimum région D)</t>
  </si>
  <si>
    <t>Salario minimo CCL Posta (salario minimo regione D)</t>
  </si>
  <si>
    <t>Swiss Post CEC minimum salary (Region D minimum salary)</t>
  </si>
  <si>
    <t>Anteil an Biogas (innerhalb der Post)</t>
  </si>
  <si>
    <t>Part de biogaz renouvelable (au sein de la Poste)</t>
  </si>
  <si>
    <t>quota biogas da fonti rinnovabili (all'interno della Posta)</t>
  </si>
  <si>
    <t>Renewable percentage of biogas (within Swiss Post)</t>
  </si>
  <si>
    <t>Personentransport</t>
  </si>
  <si>
    <t>Transport de voyageurs</t>
  </si>
  <si>
    <t>trasporto persone</t>
  </si>
  <si>
    <t>Passenger transport</t>
  </si>
  <si>
    <t>Berufsunfälle Swiss Post International</t>
  </si>
  <si>
    <t>Accidents professionnels Swiss Post International</t>
  </si>
  <si>
    <t>infortuni professionali Swiss Post International</t>
  </si>
  <si>
    <t>Occupational accidents, Swiss Post International</t>
  </si>
  <si>
    <t>Logistiker/-in EFZ Lager</t>
  </si>
  <si>
    <t>Logisticien/ne CFC stockage</t>
  </si>
  <si>
    <t>impiegati/e in logistica AFC Magazzino</t>
  </si>
  <si>
    <t>EFZ warehouse logistics technician</t>
  </si>
  <si>
    <t>Kommunikationsmarkt</t>
  </si>
  <si>
    <t>Marché de la communication</t>
  </si>
  <si>
    <t>Mercato della comunicazione</t>
  </si>
  <si>
    <t>Communication market</t>
  </si>
  <si>
    <t>Strom verwendet als Treibstoff (innerhalb der Post)</t>
  </si>
  <si>
    <t>Electricité comme carburant (au sein de la Poste)</t>
  </si>
  <si>
    <t>Energia elettrica come carburante (all'interno della Posta)</t>
  </si>
  <si>
    <t>Electricity used as fuel (within Swiss Post)</t>
  </si>
  <si>
    <t>Gütertransport</t>
  </si>
  <si>
    <t>Transport de marchandises</t>
  </si>
  <si>
    <t>trasporto merci</t>
  </si>
  <si>
    <t>Goods transport</t>
  </si>
  <si>
    <t>Berufsunfälle Swiss Post Solutions</t>
  </si>
  <si>
    <t>Accidents professionnels Swiss Post Solutions</t>
  </si>
  <si>
    <t>infortuni professionali Swiss Post Solutions</t>
  </si>
  <si>
    <t>Occupational accidents, Swiss Post Solutions</t>
  </si>
  <si>
    <t>Strassentransportfachmann/-frau EFZ</t>
  </si>
  <si>
    <t>Conducteur/trice de véhicules lourds</t>
  </si>
  <si>
    <t>autisti di veicoli pesanti AFC</t>
  </si>
  <si>
    <t>EFZ truck driver</t>
  </si>
  <si>
    <t>Logistikmarkt</t>
  </si>
  <si>
    <t>Marché de la logistique</t>
  </si>
  <si>
    <t>Mercato logistico</t>
  </si>
  <si>
    <t>Logistics market</t>
  </si>
  <si>
    <t>Konzerngewinn</t>
  </si>
  <si>
    <t>Bénéfice consolidé</t>
  </si>
  <si>
    <t>Utile del gruppo</t>
  </si>
  <si>
    <t>Group profit</t>
  </si>
  <si>
    <t>Anteil an erneuerbarem Strom verwendet als Treibstoff (innerhalb der Post)</t>
  </si>
  <si>
    <t>Part d'électricité renouvelable comme carburant (au sein de la Poste)</t>
  </si>
  <si>
    <t>quota energia elettrica, carburante da fonti rinnovabili (all'interno della Posta)</t>
  </si>
  <si>
    <t>Renewable percentage of fuel electricity (within Swiss Post)</t>
  </si>
  <si>
    <t>Werksgelände</t>
  </si>
  <si>
    <t>Sites d'entreprise</t>
  </si>
  <si>
    <t>sito di produzione</t>
  </si>
  <si>
    <t>Works premises</t>
  </si>
  <si>
    <t>Austritte von Mitarbeitenden</t>
  </si>
  <si>
    <t>Départs de collaborateurs</t>
  </si>
  <si>
    <t>Partenze di collaboratori</t>
  </si>
  <si>
    <t>Employee departures</t>
  </si>
  <si>
    <t>Berufsunfälle mit Todesfolgen</t>
  </si>
  <si>
    <t>Accidents professionnels mortels</t>
  </si>
  <si>
    <t>infortuni professionali mortali</t>
  </si>
  <si>
    <t>Occupational accidents with fatalities</t>
  </si>
  <si>
    <t>Informatiker/-in</t>
  </si>
  <si>
    <t>Informaticien/ne</t>
  </si>
  <si>
    <t>informatici/che</t>
  </si>
  <si>
    <t>IT technician</t>
  </si>
  <si>
    <t>Finanzdienstleistungsmarkt</t>
  </si>
  <si>
    <t>Marché des services financiers</t>
  </si>
  <si>
    <t>Mercato dei servizi finanziari</t>
  </si>
  <si>
    <t>Financial services market</t>
  </si>
  <si>
    <t>Import und Export von Mail</t>
  </si>
  <si>
    <t>Importation et exportation de courrier</t>
  </si>
  <si>
    <t>Importazione ed esportazione di posta</t>
  </si>
  <si>
    <t>Import and export of mail</t>
  </si>
  <si>
    <t>Geldfluss aus operativer Geschäftstätigkeit</t>
  </si>
  <si>
    <t>Flux de trésorerie des activités opérationnelles</t>
  </si>
  <si>
    <t>Flusso di tesoreria derivante dall'attività operativa</t>
  </si>
  <si>
    <t>Cash flow from operating activities</t>
  </si>
  <si>
    <t>Filialen</t>
  </si>
  <si>
    <t>Filiales</t>
  </si>
  <si>
    <t>Filiali</t>
  </si>
  <si>
    <t>Branches</t>
  </si>
  <si>
    <t>Wasserstoff (innerhalb der Post)</t>
  </si>
  <si>
    <t>Hydrogène (au sein de la Poste)</t>
  </si>
  <si>
    <t>Idrogeno (all'interno della Posta)</t>
  </si>
  <si>
    <t>Hydrogen (within Swiss Post)</t>
  </si>
  <si>
    <t>Strasse</t>
  </si>
  <si>
    <t>Route</t>
  </si>
  <si>
    <t>gomma</t>
  </si>
  <si>
    <t>Street</t>
  </si>
  <si>
    <t>Pensionierungen</t>
  </si>
  <si>
    <t>Retraites</t>
  </si>
  <si>
    <t>pensionamenti</t>
  </si>
  <si>
    <t>Due to retirement</t>
  </si>
  <si>
    <t xml:space="preserve">Nichtberufsunfälle   </t>
  </si>
  <si>
    <t xml:space="preserve">Accidents non professionnels   </t>
  </si>
  <si>
    <t xml:space="preserve">Infortuni non professionali   </t>
  </si>
  <si>
    <t xml:space="preserve">Non-occupational accidents   </t>
  </si>
  <si>
    <t>Mediamatiker/-in</t>
  </si>
  <si>
    <t>Médiamaticien/ne</t>
  </si>
  <si>
    <t>mediamatici/che</t>
  </si>
  <si>
    <t>Mediamatics technician</t>
  </si>
  <si>
    <t>Personenverkehrsmarkt</t>
  </si>
  <si>
    <t>Marché du transport de voyageurs</t>
  </si>
  <si>
    <t>Mercato dei trasporti di persone</t>
  </si>
  <si>
    <t>Passenger transport market</t>
  </si>
  <si>
    <t>Pakete</t>
  </si>
  <si>
    <t>Colis</t>
  </si>
  <si>
    <t>Pacchi</t>
  </si>
  <si>
    <t>Parcels</t>
  </si>
  <si>
    <t>Unternehmensmehrwert</t>
  </si>
  <si>
    <t>Valeur ajoutée de l'entreprise</t>
  </si>
  <si>
    <t>Valore aggiunto aziendale</t>
  </si>
  <si>
    <t>Economic value added</t>
  </si>
  <si>
    <t>Filialen mit Partner</t>
  </si>
  <si>
    <t>Filiales en partenariat</t>
  </si>
  <si>
    <t>Filiali in partenariato</t>
  </si>
  <si>
    <t>Branches with partner</t>
  </si>
  <si>
    <t>Anteil an erneuerbarem Wasserstoff (innerhalb der Post)</t>
  </si>
  <si>
    <t>Part d'hydrogène renouvelable (au sein de la Poste)</t>
  </si>
  <si>
    <t>Quota di idrogeno da fonti rinnovabili (all'interno della Posta)</t>
  </si>
  <si>
    <t>Percentage of renewable hydrogen (within Swiss Post)</t>
  </si>
  <si>
    <t>Schiene</t>
  </si>
  <si>
    <t>Rail</t>
  </si>
  <si>
    <t>rotaia</t>
  </si>
  <si>
    <t>auslaufende Verträge</t>
  </si>
  <si>
    <t>Contrats arrivant à échéance</t>
  </si>
  <si>
    <t>contratti in scadenza</t>
  </si>
  <si>
    <t>Expiring contracts</t>
  </si>
  <si>
    <t>Verursachte Unfallkosten</t>
  </si>
  <si>
    <t>Coûts occasionnés par les accidents</t>
  </si>
  <si>
    <t>Costi legati agli infortuni</t>
  </si>
  <si>
    <t>Costs incurred as a result of accidents</t>
  </si>
  <si>
    <t>Automatiker/-in</t>
  </si>
  <si>
    <t>Automaticien/ne</t>
  </si>
  <si>
    <t>operatori/trici in automatica</t>
  </si>
  <si>
    <t>Automation technician</t>
  </si>
  <si>
    <t>Übrige</t>
  </si>
  <si>
    <t>Autres</t>
  </si>
  <si>
    <t>Altro</t>
  </si>
  <si>
    <t>Other</t>
  </si>
  <si>
    <t>Import und Export von Kurier, Express und Pakete</t>
  </si>
  <si>
    <t>Importation et exportation de coursier, express et colis</t>
  </si>
  <si>
    <t>Importazione ed esportazione di servici di corriere, espresso e pacchi</t>
  </si>
  <si>
    <t>Import and export of courier, express and parcels</t>
  </si>
  <si>
    <t>Nettoumsatz übrige Markenartikel</t>
  </si>
  <si>
    <t>Chiffre d'affaires net autres articles de marque</t>
  </si>
  <si>
    <t>fatturato netto altri articoli di marca</t>
  </si>
  <si>
    <t>Net sales – other brand-name items</t>
  </si>
  <si>
    <t>Hausservice</t>
  </si>
  <si>
    <t>Service à domicile</t>
  </si>
  <si>
    <t>Servizio a domicil</t>
  </si>
  <si>
    <t>Home delivery service</t>
  </si>
  <si>
    <t>Treibstoffverbauch (ausserhalb der Post)</t>
  </si>
  <si>
    <t>Consommation de carburants (en dehors de la Poste)</t>
  </si>
  <si>
    <t>Consumo di carburanti (al di fuori della Posta)</t>
  </si>
  <si>
    <t>Fuel consumption (outside Swiss Post)</t>
  </si>
  <si>
    <t>Luft</t>
  </si>
  <si>
    <t>Transport aérien</t>
  </si>
  <si>
    <t>aria</t>
  </si>
  <si>
    <t>Air</t>
  </si>
  <si>
    <t>Austritt vereinbart</t>
  </si>
  <si>
    <t>Départs négociés</t>
  </si>
  <si>
    <t>partenze convenute</t>
  </si>
  <si>
    <t>Departure agreed</t>
  </si>
  <si>
    <t>Fachmann/-frau Betriebsunterhalt EFZ</t>
  </si>
  <si>
    <t>Spécialiste de l'entretien CFC</t>
  </si>
  <si>
    <t>operatori/trici di edifici e infrastrutture AFC</t>
  </si>
  <si>
    <t>Operation maintenance employee</t>
  </si>
  <si>
    <t>Segmente</t>
  </si>
  <si>
    <t>Segments</t>
  </si>
  <si>
    <t>Segmenti</t>
  </si>
  <si>
    <t>Passivgeschäft</t>
  </si>
  <si>
    <t>Opérations passives</t>
  </si>
  <si>
    <t>Operazioni passive</t>
  </si>
  <si>
    <t>Deposit-taking business</t>
  </si>
  <si>
    <t>Aufgabe- und Abholstellen</t>
  </si>
  <si>
    <t>Points de dépôt et de retrait</t>
  </si>
  <si>
    <t>Uffici di impostazione e di ritiro</t>
  </si>
  <si>
    <t>Acceptance and collection points</t>
  </si>
  <si>
    <t>Brennstoffverbrauch</t>
  </si>
  <si>
    <t>Consommation de combustibles</t>
  </si>
  <si>
    <t>Consumo di combustibili</t>
  </si>
  <si>
    <t>Combustibles consumption</t>
  </si>
  <si>
    <t>Wasser</t>
  </si>
  <si>
    <t>Transport naval</t>
  </si>
  <si>
    <t>acqua</t>
  </si>
  <si>
    <t>Water</t>
  </si>
  <si>
    <t>Kündigung durch Arbeitgeber</t>
  </si>
  <si>
    <t>Licenciements par l'employeur</t>
  </si>
  <si>
    <t>licenziamenti da parte del datore di lavoro</t>
  </si>
  <si>
    <t>Notice given by employer</t>
  </si>
  <si>
    <t>Nichtberufsunfälle</t>
  </si>
  <si>
    <t>Accidents non professionnels</t>
  </si>
  <si>
    <t>Infortuni non professionali</t>
  </si>
  <si>
    <t>Non-occupational accidents</t>
  </si>
  <si>
    <t>Kinderbetreuer/-in</t>
  </si>
  <si>
    <t>Spécialiste petite enfance</t>
  </si>
  <si>
    <t>operatori/trici d'infanzia</t>
  </si>
  <si>
    <t>Child carer</t>
  </si>
  <si>
    <t>Logistik-Services</t>
  </si>
  <si>
    <t>Services logistiques</t>
  </si>
  <si>
    <t>Servizi logistici</t>
  </si>
  <si>
    <t>Logistics Services</t>
  </si>
  <si>
    <t>Marktanteil PostAuto gemäss Angebotskilometer RPV Bus (%)</t>
  </si>
  <si>
    <t>Part de marché de CarPostal en termes de kilomètres parcourus par le réseau TRV de bus (%)</t>
  </si>
  <si>
    <t>Quota di mercato AutoPostale in base ai chilometri offerti TRV bus (%)</t>
  </si>
  <si>
    <t>PostBus market share according to kilometres covered by bus-based regional passenger transport (%)</t>
  </si>
  <si>
    <t>My Post 24-Automaten</t>
  </si>
  <si>
    <t>Automates My Post 24</t>
  </si>
  <si>
    <t>Sportelli automatici My Post 24</t>
  </si>
  <si>
    <t>My Post 24 terminals</t>
  </si>
  <si>
    <t>Brennstoffverbrauch (innerhalb der Post)</t>
  </si>
  <si>
    <t>Consommation de combustibles (au sein de la Poste)</t>
  </si>
  <si>
    <t>Consumo di combustibili (all'interno della Posta)</t>
  </si>
  <si>
    <t>Combustibles consumption (within Swiss Post)</t>
  </si>
  <si>
    <t>Geschäftsreiseverkehr</t>
  </si>
  <si>
    <t>Déplacements professionnels</t>
  </si>
  <si>
    <t>Viaggi di lavoro</t>
  </si>
  <si>
    <t>Business travel</t>
  </si>
  <si>
    <t>aus wirtschaftlichen Gründen</t>
  </si>
  <si>
    <t>pour raisons économiques</t>
  </si>
  <si>
    <t>per motivi economici</t>
  </si>
  <si>
    <t>For business-related reasons</t>
  </si>
  <si>
    <t>Berufs- und Nichtberufsunfälle</t>
  </si>
  <si>
    <t>Accidents professionnels et non professionnels</t>
  </si>
  <si>
    <t>Infortuni professionali e non professionali</t>
  </si>
  <si>
    <t>Occupational and non-occupational accidents</t>
  </si>
  <si>
    <t>Ausbildungsquote</t>
  </si>
  <si>
    <t>Taux de formation</t>
  </si>
  <si>
    <t>Percentuale persone in formazione</t>
  </si>
  <si>
    <t>Ratio of trainees to employees</t>
  </si>
  <si>
    <t>Swiss Post Solutions</t>
  </si>
  <si>
    <t>Anzahl User</t>
  </si>
  <si>
    <t>Nombre d’utilisateurs</t>
  </si>
  <si>
    <t>Numero di utenti</t>
  </si>
  <si>
    <t>Number of users</t>
  </si>
  <si>
    <t>Geschäftskundenstellen</t>
  </si>
  <si>
    <t>Points clientèle commerciale</t>
  </si>
  <si>
    <t>Punit clienti commerciali</t>
  </si>
  <si>
    <t>Business customer points</t>
  </si>
  <si>
    <t>Anteil an erneuerbaren Brennstoffen (innerhalb der Post)</t>
  </si>
  <si>
    <t>Part de combustibles renouvelables (au sein de la Poste)</t>
  </si>
  <si>
    <t>Quota di combustibili da fonti rinnovabili (all'interno della Posta)</t>
  </si>
  <si>
    <t>Percentage of renewable combustibles (within Swiss Post)</t>
  </si>
  <si>
    <t>Arbeitspendlerverkehr</t>
  </si>
  <si>
    <t>Trafic pendulaire</t>
  </si>
  <si>
    <t>Trasporto pendolari</t>
  </si>
  <si>
    <t>Work commuting</t>
  </si>
  <si>
    <t>aus persönlichen Gründen</t>
  </si>
  <si>
    <t>pour raisons personnelles</t>
  </si>
  <si>
    <t>per motivi personali</t>
  </si>
  <si>
    <t>For personal reasons</t>
  </si>
  <si>
    <t>Krankheits- und unfallbedingte Aussetztage</t>
  </si>
  <si>
    <t>Absences par suite de maladie ou d'accident</t>
  </si>
  <si>
    <t>Giorni di assenza dovuti a malattie e infortuni</t>
  </si>
  <si>
    <t>Days lost to illness and accidents</t>
  </si>
  <si>
    <t>Neueinstellung von Lernpersonal</t>
  </si>
  <si>
    <t>Embauche de personnes en formation</t>
  </si>
  <si>
    <t>Assunzioni di persone in formazione</t>
  </si>
  <si>
    <t>Newly recruited trainees</t>
  </si>
  <si>
    <t>PostNetz</t>
  </si>
  <si>
    <t>RéseauPostal</t>
  </si>
  <si>
    <t>RetePostale</t>
  </si>
  <si>
    <t>PostalNetwork</t>
  </si>
  <si>
    <t xml:space="preserve">Anzahl Stammgemeinschaften </t>
  </si>
  <si>
    <t xml:space="preserve">Nombre de communautés de référence </t>
  </si>
  <si>
    <t xml:space="preserve">Numero di comunità di riferimento </t>
  </si>
  <si>
    <t xml:space="preserve">Number of core communities </t>
  </si>
  <si>
    <t>PostFinance-Filialen</t>
  </si>
  <si>
    <t>Filiales PostFinance</t>
  </si>
  <si>
    <t>Filiali PostFinance</t>
  </si>
  <si>
    <t>PostFinance branches</t>
  </si>
  <si>
    <t>Heizöl Extraleicht (innerhalb der Post)</t>
  </si>
  <si>
    <t>Mazout extra-léger (au sein de la Poste)</t>
  </si>
  <si>
    <t>Olio combustibile extra leggero (all'interno della Posta)</t>
  </si>
  <si>
    <t>Heating oil (extra light) (within Swiss Post)</t>
  </si>
  <si>
    <t>Nach Scopes und Energieträger</t>
  </si>
  <si>
    <t>Par scope et source d'énergie</t>
  </si>
  <si>
    <t>In base a scope e fonte energetica</t>
  </si>
  <si>
    <t>By scope and energy source</t>
  </si>
  <si>
    <t>Tod</t>
  </si>
  <si>
    <t>Décès</t>
  </si>
  <si>
    <t>decessi</t>
  </si>
  <si>
    <t>Death</t>
  </si>
  <si>
    <t>Medizinisch bedingte Aussetztage</t>
  </si>
  <si>
    <t>Absences pour raisons médicales</t>
  </si>
  <si>
    <t>Giorni di assenza per ragioni mediche</t>
  </si>
  <si>
    <t>Absentee days for medical reasons</t>
  </si>
  <si>
    <t>Anteil übernommener Lernpersonen</t>
  </si>
  <si>
    <t>Part des personnes en formation embauchées</t>
  </si>
  <si>
    <t>Quota di persone in formazione assunte</t>
  </si>
  <si>
    <t>Percentage of trainees taken on</t>
  </si>
  <si>
    <t>Kommunikations-Services</t>
  </si>
  <si>
    <t>Services de communication</t>
  </si>
  <si>
    <t>Servizi di comunicazione</t>
  </si>
  <si>
    <t>Communication Services</t>
  </si>
  <si>
    <t>Anzahl Poststellen</t>
  </si>
  <si>
    <t>Nombre d’offices de poste</t>
  </si>
  <si>
    <t>Numero di uffici postali</t>
  </si>
  <si>
    <t>Number of post offices</t>
  </si>
  <si>
    <t>Postomaten</t>
  </si>
  <si>
    <t>Postomat</t>
  </si>
  <si>
    <t>Postomats</t>
  </si>
  <si>
    <t>Treibhausgasemissonen (Scope 1−3)</t>
  </si>
  <si>
    <t>Emissions de gaz à effet de serre (scopes 1−3)</t>
  </si>
  <si>
    <t>Emissioni di gas a effetto terra (scope 1−3)</t>
  </si>
  <si>
    <t>Greenhouse gas emissions (scopes 1−3)</t>
  </si>
  <si>
    <t>Freiwillige Austritte</t>
  </si>
  <si>
    <t>Départs volontaires</t>
  </si>
  <si>
    <t>Partenze volontarie</t>
  </si>
  <si>
    <t>Voluntary departures</t>
  </si>
  <si>
    <t>Kurzabsenz</t>
  </si>
  <si>
    <t>Absences de courte durée</t>
  </si>
  <si>
    <t>assenza breve</t>
  </si>
  <si>
    <t>Short absences</t>
  </si>
  <si>
    <t>PostFinance</t>
  </si>
  <si>
    <t>Part de biogaz (au sein de la Poste)</t>
  </si>
  <si>
    <t>Quota di biogas (all'interno della Posta)</t>
  </si>
  <si>
    <t>Percentage of biogas (within Swiss Post)</t>
  </si>
  <si>
    <t>Direkte Treibhausgasemissionen (Scope 1)</t>
  </si>
  <si>
    <t>Emissions directes de gaz à effet de serre (scope 1)</t>
  </si>
  <si>
    <t>emissioni dirette di gas a effetto serra (scope 1)</t>
  </si>
  <si>
    <t>Direct greenhouse gas emissions (scope 1)</t>
  </si>
  <si>
    <t>Krankheit</t>
  </si>
  <si>
    <t>Maladie</t>
  </si>
  <si>
    <t>malattia</t>
  </si>
  <si>
    <t>Sickness</t>
  </si>
  <si>
    <t>PostAuto</t>
  </si>
  <si>
    <t>CarPostal</t>
  </si>
  <si>
    <t>AutoPostale</t>
  </si>
  <si>
    <t>PostBus</t>
  </si>
  <si>
    <t>Fernwärme (innerhalb der Post)</t>
  </si>
  <si>
    <t>Chaleur à distance (au sein de la Poste)</t>
  </si>
  <si>
    <t>Teleriscaldamento (all'interno della Posta)</t>
  </si>
  <si>
    <t>District heating (within Swiss Post)</t>
  </si>
  <si>
    <t>Verbrennung von Brennstoffen in stationären Quellen</t>
  </si>
  <si>
    <t>Consommation de combustibles dans des sources stationnaires</t>
  </si>
  <si>
    <t>Combustione di combustibili in fonti fisse</t>
  </si>
  <si>
    <t>Combustion of combustibles in stationary sources</t>
  </si>
  <si>
    <t>Berufsunfall</t>
  </si>
  <si>
    <t>infortunio professionale</t>
  </si>
  <si>
    <t>Funktionen und Management</t>
  </si>
  <si>
    <t>Fonctions et management</t>
  </si>
  <si>
    <t>Funzioni e management</t>
  </si>
  <si>
    <t>Functions and management</t>
  </si>
  <si>
    <t>Bilanzsumme</t>
  </si>
  <si>
    <t>Total du bilan</t>
  </si>
  <si>
    <t>Totale di bilancio</t>
  </si>
  <si>
    <t>Total assets</t>
  </si>
  <si>
    <t>Anteil an erneuerbarer Fernwärme (innerhalb der Post)</t>
  </si>
  <si>
    <t>Part de chaleur à distance renouvelable (au sein de la Poste)</t>
  </si>
  <si>
    <t>Quota di teleriscaldamento da fonti rinnovabili (all'interno della Posta)</t>
  </si>
  <si>
    <t>Percentage of renewable district heating (within Swiss Post)</t>
  </si>
  <si>
    <t>Heizöl</t>
  </si>
  <si>
    <t>Mazout</t>
  </si>
  <si>
    <t>olio combustibile</t>
  </si>
  <si>
    <t>Heating oil</t>
  </si>
  <si>
    <t>Nichtberufsunfall</t>
  </si>
  <si>
    <t>infortunio non professionale</t>
  </si>
  <si>
    <t>Muttersprache Deutsch</t>
  </si>
  <si>
    <t>Langue maternelle allemande</t>
  </si>
  <si>
    <t>Madrelingua tedesca</t>
  </si>
  <si>
    <t>German native speakers</t>
  </si>
  <si>
    <t>103 – Managementansatz</t>
  </si>
  <si>
    <t>103 – Approche managériale</t>
  </si>
  <si>
    <t>103 – Approccio di gestione</t>
  </si>
  <si>
    <t>103 – Management Approach</t>
  </si>
  <si>
    <t>Kundengelder PostFinance</t>
  </si>
  <si>
    <t>Fonds des clients PostFinance</t>
  </si>
  <si>
    <t>depositi dei clienti PostFinance</t>
  </si>
  <si>
    <t>PostFinance customer deposits</t>
  </si>
  <si>
    <t>Deckungsgrad Pensionskasse Post nach BVG</t>
  </si>
  <si>
    <t>Degré de couverture de la Caisse de pensions Poste selon la LPP</t>
  </si>
  <si>
    <t>Grado di copertura della Cassa pensioni Posta secondo la LPP</t>
  </si>
  <si>
    <t>Level of cover under Swiss Post pension fund in accordance with the Swiss Federal Law on Occupational Old-age, Survivors' and Disability Pension Plans (BVG)</t>
  </si>
  <si>
    <t>Holz (innerhalb der Post)</t>
  </si>
  <si>
    <t>Bois (au sein de la Poste)</t>
  </si>
  <si>
    <t>Legna (all'interno della Posta)</t>
  </si>
  <si>
    <t>Wood (within Swiss Post)</t>
  </si>
  <si>
    <t>Erdgas</t>
  </si>
  <si>
    <t>Gaz naturel</t>
  </si>
  <si>
    <t>gas naturale</t>
  </si>
  <si>
    <t>Natural gas</t>
  </si>
  <si>
    <t>Aussetztage</t>
  </si>
  <si>
    <t>Absences</t>
  </si>
  <si>
    <t>Giorni di assenza</t>
  </si>
  <si>
    <t>Absentee days</t>
  </si>
  <si>
    <t>Muttersprache Französisch</t>
  </si>
  <si>
    <t>Langue maternelle française</t>
  </si>
  <si>
    <t>Madrelingua francese</t>
  </si>
  <si>
    <t>French native speakers</t>
  </si>
  <si>
    <t>Immobilien</t>
  </si>
  <si>
    <t>Immobilier</t>
  </si>
  <si>
    <t>Immobili</t>
  </si>
  <si>
    <t>Real Estate</t>
  </si>
  <si>
    <t>Anteil an Bilanzsumme</t>
  </si>
  <si>
    <t>Part au total du bilan</t>
  </si>
  <si>
    <t>percentuale del totale di bilancio</t>
  </si>
  <si>
    <t>Share of total assets</t>
  </si>
  <si>
    <t>Strom verwendet als Brennstoff (innerhalb der Post)</t>
  </si>
  <si>
    <t>Electricité de chauffage (au sein de la Poste)</t>
  </si>
  <si>
    <t>Energia elettrica utilizzata come combustibile (all'interno della Posta)</t>
  </si>
  <si>
    <t>Electricity used as combustibles (within Swiss Post)</t>
  </si>
  <si>
    <t>Holz</t>
  </si>
  <si>
    <t>Bois</t>
  </si>
  <si>
    <t>Legna</t>
  </si>
  <si>
    <t>Wood</t>
  </si>
  <si>
    <t>Ausfalllohnkosten</t>
  </si>
  <si>
    <t>Coûts salariaux occasionnés par les absences</t>
  </si>
  <si>
    <t>costi salariali dovuti alle assenze</t>
  </si>
  <si>
    <t>Absentee wage costs</t>
  </si>
  <si>
    <t>Muttersprache Italienisch</t>
  </si>
  <si>
    <t>Langue maternelle italienne</t>
  </si>
  <si>
    <t>Madrelingua italiana</t>
  </si>
  <si>
    <t>Italian native speakers</t>
  </si>
  <si>
    <t>Informationstechnologie</t>
  </si>
  <si>
    <t>Technologies de l'information</t>
  </si>
  <si>
    <t>Tecnologia dell'informazione</t>
  </si>
  <si>
    <t>Information Technology</t>
  </si>
  <si>
    <t>Eigenkapital</t>
  </si>
  <si>
    <t>Fonds propres</t>
  </si>
  <si>
    <t>Capitale proprio</t>
  </si>
  <si>
    <t>Equity</t>
  </si>
  <si>
    <t>Anteil an erneuerbarem Strom verwendet als Brennstoff (innerhalb der Post)</t>
  </si>
  <si>
    <t>Part d'électricité renouvelable uitlisée pour le chauffage (au sein de la Poste)</t>
  </si>
  <si>
    <t>Quota di energia elettrica da fonti rinnovabili utilizzata come combustibile (all'interno della Posta)</t>
  </si>
  <si>
    <t>Percentage of renewable electricity used as combustibles (within Swiss Post)</t>
  </si>
  <si>
    <t>Verbrennung von Treibstoffen in mobilen Quellen</t>
  </si>
  <si>
    <t>Consommation de combustibles dans des sources mobiles</t>
  </si>
  <si>
    <t>Combustione di carburanti in fonti mobili</t>
  </si>
  <si>
    <t>Combustion of fuels in mobile sources</t>
  </si>
  <si>
    <t>Vertretung Personalkommission zur Überwachung Gesundheitsschutz / Arbeitssicherheit</t>
  </si>
  <si>
    <t>Représentation au sein de la commission du personnel pour la surveillance de la protection de la santé / sécurité au travail</t>
  </si>
  <si>
    <t>Rappresentanti nella commissione del personale per il controllo della sicurezza sul lavoro e protezione della salute</t>
  </si>
  <si>
    <t>Representation on the staff committee for the monitoring of health protection / occupational safety</t>
  </si>
  <si>
    <t>Muttersprache Rätoromanisch</t>
  </si>
  <si>
    <t>Langue maternelle romanche</t>
  </si>
  <si>
    <t>Madrelingua romancia</t>
  </si>
  <si>
    <t>Romansh native speakers</t>
  </si>
  <si>
    <t>Mobilitäts-Services</t>
  </si>
  <si>
    <t>Services de mobilité</t>
  </si>
  <si>
    <t>Servizi di mobilità</t>
  </si>
  <si>
    <t>Mobility Services</t>
  </si>
  <si>
    <t>Umweltwärme und -kälte (innerhalb der Post)</t>
  </si>
  <si>
    <t>Chaleur et froid de l'environnement (au sein de la Poste)</t>
  </si>
  <si>
    <t>Calore ambientale (caldo/freddo) (all'interno della Posta)</t>
  </si>
  <si>
    <t>Ambient heat and cooling (within Swiss Post)</t>
  </si>
  <si>
    <t>Diesel</t>
  </si>
  <si>
    <t>diesel</t>
  </si>
  <si>
    <t>Vertretungen in Personalkommission</t>
  </si>
  <si>
    <t>Représentations au sein de la commission du personnel</t>
  </si>
  <si>
    <t>Rappresentanti nella commissione del personale</t>
  </si>
  <si>
    <t>Representation on staff committee</t>
  </si>
  <si>
    <t>andere Muttersprache</t>
  </si>
  <si>
    <t>Autre langue maternelle</t>
  </si>
  <si>
    <t>Altre madrelingue</t>
  </si>
  <si>
    <t>Other native speakers</t>
  </si>
  <si>
    <t>Brennstoffverbrauch (ausserhalb der Post)</t>
  </si>
  <si>
    <t>Consommation de combustibles (en dehors de la Poste)</t>
  </si>
  <si>
    <t>Consumo di combustibili (al di fuori della Posta)</t>
  </si>
  <si>
    <t>Combustibles consumption (outside Swiss Post)</t>
  </si>
  <si>
    <t>Benzin</t>
  </si>
  <si>
    <t>Essence</t>
  </si>
  <si>
    <t>benzina</t>
  </si>
  <si>
    <t>Petrol</t>
  </si>
  <si>
    <t xml:space="preserve">Energia elettrica </t>
  </si>
  <si>
    <t>Gesamtaustrittsrate</t>
  </si>
  <si>
    <t>Taux de départ global</t>
  </si>
  <si>
    <t>Tasso complessivo di partenze</t>
  </si>
  <si>
    <t>Overall departure rate</t>
  </si>
  <si>
    <t>Stromverbrauch (ohne Verwendung als Treibstoffe und Brennstoffe)</t>
  </si>
  <si>
    <t>Consommation d'électricité (sans carburant, ni chaleur)</t>
  </si>
  <si>
    <t>Consumo di energia elettrica (utilizzo come carburante e combustibile escluso)</t>
  </si>
  <si>
    <t>Electricity consumption (excluding use as fuels and combustibles)</t>
  </si>
  <si>
    <t>Wasserstoff</t>
  </si>
  <si>
    <t>Hydrogène</t>
  </si>
  <si>
    <t>idrogeno</t>
  </si>
  <si>
    <t>Hydrogen</t>
  </si>
  <si>
    <t>Fluktuationsrate (freiwillige Austritte)</t>
  </si>
  <si>
    <t>Taux de fluctuation (départs volontaires)</t>
  </si>
  <si>
    <t>Tasso di fluttuazione (partenze volontarie)</t>
  </si>
  <si>
    <t>Turnover rate (voluntary departures)</t>
  </si>
  <si>
    <t>Stromverbrauch (innerhalb der Post)</t>
  </si>
  <si>
    <t>Consommation d'électricité (au sein de la Poste)</t>
  </si>
  <si>
    <t>Consumo di energia elettrica (all'interno della Posta)</t>
  </si>
  <si>
    <t>Electricity consumption (within Swiss Post)</t>
  </si>
  <si>
    <t>Flüchtige Emissionen</t>
  </si>
  <si>
    <t>Emissions fugitives</t>
  </si>
  <si>
    <t>Emissioni volatili</t>
  </si>
  <si>
    <t>Fugitive emissions</t>
  </si>
  <si>
    <t>Anteil an erneuerbarem Strom (innerhalb der Post)</t>
  </si>
  <si>
    <t>Part d'électricité renouvelable (au sein de la Poste)</t>
  </si>
  <si>
    <t>Quota di energia elettrica da fonti rinnovabili (all'interno della Posta)</t>
  </si>
  <si>
    <t>Percentage of renewable electricity (within Swiss Post)</t>
  </si>
  <si>
    <t>Kältemittel</t>
  </si>
  <si>
    <t>Climatisation</t>
  </si>
  <si>
    <t>refrigeranti</t>
  </si>
  <si>
    <t>Refrigerants</t>
  </si>
  <si>
    <t>Erarbeitete Wertschöpfung</t>
  </si>
  <si>
    <t>Valeur ajoutée</t>
  </si>
  <si>
    <t>Creazione di valore aggiunto</t>
  </si>
  <si>
    <t>Added value generated</t>
  </si>
  <si>
    <t>Arbeitsplätze nach Kantonen</t>
  </si>
  <si>
    <t>Emplois par canton</t>
  </si>
  <si>
    <t>Posti di lavoro per Cantone</t>
  </si>
  <si>
    <t>Jobs by canton</t>
  </si>
  <si>
    <t>Stromverbrauch (ausserhalb der Post)</t>
  </si>
  <si>
    <t>Consommation d'électricité (en dehors de la Poste)</t>
  </si>
  <si>
    <t>Consumo di energia elettrica (al di fuori della Posta)</t>
  </si>
  <si>
    <t>Electricity consumption (outside Swiss Post)</t>
  </si>
  <si>
    <t>Indirekte energiebezogene Treibhausgasemissionen (Scope 2)</t>
  </si>
  <si>
    <t>Emissions indirectes de gaz à effet de serre liées à l'énergie (scope 2)</t>
  </si>
  <si>
    <t>Emissioni indirette da consumo energetico di gas a effetto serra (scope 2)</t>
  </si>
  <si>
    <t>Indirect energy-related greenhouse gas emissions (scope 2)</t>
  </si>
  <si>
    <t>Investitionen</t>
  </si>
  <si>
    <t>Investissements</t>
  </si>
  <si>
    <t>Investimenti</t>
  </si>
  <si>
    <t>Investments</t>
  </si>
  <si>
    <t>davon an: Mitarbeitende</t>
  </si>
  <si>
    <t>dont aux collaborateurs</t>
  </si>
  <si>
    <t>di cui a: Collaboratori</t>
  </si>
  <si>
    <t>Of which paid to: Employees</t>
  </si>
  <si>
    <t>Mitarbeitende Post auf 100 Beschäftigte nach Kantonen</t>
  </si>
  <si>
    <t>Personnel Poste sur 100 employés par canton</t>
  </si>
  <si>
    <t>Collaboratori della Posta ogni 100 lavoratori per Cantone</t>
  </si>
  <si>
    <t>Swiss Post employees per 100 employees by canton</t>
  </si>
  <si>
    <t>Energiebedarf</t>
  </si>
  <si>
    <t>Besoins énergétiques</t>
  </si>
  <si>
    <t>Fabbisogno energetico</t>
  </si>
  <si>
    <t>Energy consumption</t>
  </si>
  <si>
    <t>Energia elettrica</t>
  </si>
  <si>
    <t>Trainee-Programm</t>
  </si>
  <si>
    <t>Programme Trainee</t>
  </si>
  <si>
    <t>Programma Trainee</t>
  </si>
  <si>
    <t>Trainee programme</t>
  </si>
  <si>
    <t>übrige Sachanlagen, immatrielle Anlagen</t>
  </si>
  <si>
    <t>Autres immobilisations corporelles, immobilisations incorporelles</t>
  </si>
  <si>
    <t>altre immobilizzazioni materiali e immateriali</t>
  </si>
  <si>
    <t>Other tangible fixed assets, intangible assets</t>
  </si>
  <si>
    <t>davon an: Fremdkapitalgeber</t>
  </si>
  <si>
    <t>dont aux bailleurs de fonds externes</t>
  </si>
  <si>
    <t>di cui a: investitori esterni</t>
  </si>
  <si>
    <t>Of which paid to: creditors</t>
  </si>
  <si>
    <t>Aargau</t>
  </si>
  <si>
    <t>Argovie</t>
  </si>
  <si>
    <t>Argovia</t>
  </si>
  <si>
    <t>standortbasierte Emissionen</t>
  </si>
  <si>
    <t>Emissions basées sur les sites</t>
  </si>
  <si>
    <t>Emissioni per sede</t>
  </si>
  <si>
    <t>location-based emissions</t>
  </si>
  <si>
    <t>Praktikanten</t>
  </si>
  <si>
    <t>Stagiaires</t>
  </si>
  <si>
    <t>Stagisti</t>
  </si>
  <si>
    <t>Interns</t>
  </si>
  <si>
    <t>Betriebsliegenschaften</t>
  </si>
  <si>
    <t>Immeubles d'exploitation</t>
  </si>
  <si>
    <t>stabilimenti</t>
  </si>
  <si>
    <t>Operating property</t>
  </si>
  <si>
    <t>davon an: öffentliche Hand</t>
  </si>
  <si>
    <t>dont aux pouvoirs publics</t>
  </si>
  <si>
    <t>di cui per: amministrazione pubblica</t>
  </si>
  <si>
    <t>OF which paid to: public sector</t>
  </si>
  <si>
    <t>Appenzell Innerrhoden</t>
  </si>
  <si>
    <t>Appenzell Rhodes-Intérieures</t>
  </si>
  <si>
    <t>Appenzello interno</t>
  </si>
  <si>
    <t>Energiebedarf (innerhalb der Post)</t>
  </si>
  <si>
    <t>Besoins énergétiques (au sein de la Poste)</t>
  </si>
  <si>
    <t>Fabbisogno energetico (all'interno della Posta)</t>
  </si>
  <si>
    <t>Energy consumption (within Swiss Post)</t>
  </si>
  <si>
    <t>marktbasierte Emissionen</t>
  </si>
  <si>
    <t>Emissions basées sur le marché</t>
  </si>
  <si>
    <t>emissioni basate sul mercato</t>
  </si>
  <si>
    <t>market-based emissions</t>
  </si>
  <si>
    <t>als Finanzinvestition gehaltene Immobilien</t>
  </si>
  <si>
    <t>Immeubles de placement</t>
  </si>
  <si>
    <t>immobili mantenuti come immobilizzazioni finanziarie</t>
  </si>
  <si>
    <t>Investment property</t>
  </si>
  <si>
    <t>davon an: Eigentümer</t>
  </si>
  <si>
    <t>dont au propriétaire</t>
  </si>
  <si>
    <t>di cui a: proprietaria</t>
  </si>
  <si>
    <t>Of which paid to: owner</t>
  </si>
  <si>
    <t>Appenzell Ausserrhoden</t>
  </si>
  <si>
    <t>Appenzell Rhodes-Extérieures</t>
  </si>
  <si>
    <t>Appenzello esterno</t>
  </si>
  <si>
    <t>Erneuerbarer Anteil am Energiebedarf (innerhalb der Post)</t>
  </si>
  <si>
    <t>Part d'énergie renouvelable dans les besoins énergétiques (au sein de la Poste)</t>
  </si>
  <si>
    <t>Quota di fonti rinnovabili rispetto al fabbisogno energetico (all'interno della Posta)</t>
  </si>
  <si>
    <t>Renewable percentage of energy consumption (within Swiss Post)</t>
  </si>
  <si>
    <t>Fernwärme</t>
  </si>
  <si>
    <t>Chaleur à distance</t>
  </si>
  <si>
    <t>Teleriscaldamento</t>
  </si>
  <si>
    <t>District heating</t>
  </si>
  <si>
    <t>Beteiligungen</t>
  </si>
  <si>
    <t>Participations</t>
  </si>
  <si>
    <t>partecipazioni</t>
  </si>
  <si>
    <t>davon an: Unternehmen</t>
  </si>
  <si>
    <t>dont à l'entreprise</t>
  </si>
  <si>
    <t>di cui a: aziende</t>
  </si>
  <si>
    <t>Of which paid to: company</t>
  </si>
  <si>
    <t>Bern</t>
  </si>
  <si>
    <t>Berne</t>
  </si>
  <si>
    <t>Berna</t>
  </si>
  <si>
    <t>Energiebedarf (ausserhalb der Post)</t>
  </si>
  <si>
    <t>Besoins énergétiques (en dehors de la Poste)</t>
  </si>
  <si>
    <t>Fabbisogno energetico (al di fuori della Posta)</t>
  </si>
  <si>
    <t>Energy consumption (outside Swiss Post)</t>
  </si>
  <si>
    <t>Weitere relevante indirekte Treibhausgasemissionen (Scope 3)</t>
  </si>
  <si>
    <t>Autres émissions indirectes importantes de gaz à effet de serre (scope 3)</t>
  </si>
  <si>
    <t>Altre emissioni indirette rilevanti di gas a effetto serra (scope 3)</t>
  </si>
  <si>
    <t>Other relevant indirect greenhouse gas emissions (scope 3)</t>
  </si>
  <si>
    <t>Grad der eigenfinanzierten Investitionen</t>
  </si>
  <si>
    <t>Ratio des investissements autofinancés</t>
  </si>
  <si>
    <t>Quota di investimenti autofinanziati</t>
  </si>
  <si>
    <t>Degree of self-financed investment</t>
  </si>
  <si>
    <t>davon für: Abschreibungen</t>
  </si>
  <si>
    <t>dont pour amortissements</t>
  </si>
  <si>
    <t>di cui per: ammortamenti</t>
  </si>
  <si>
    <t>Of which for: Amortization</t>
  </si>
  <si>
    <t>Basel-Landschaft</t>
  </si>
  <si>
    <t>Bâle-Campagne</t>
  </si>
  <si>
    <t>Basilea Campagna</t>
  </si>
  <si>
    <t>Basel-Land</t>
  </si>
  <si>
    <t>Eingekaufte Güter und Dienstleistungen (Scope 3.1)</t>
  </si>
  <si>
    <t>davon für: Stärkung der Pensionskasse Post</t>
  </si>
  <si>
    <t>dont pour renforcement de la Caisse de pensions Poste</t>
  </si>
  <si>
    <t>di cui per: consolidamento della Cassa pensioni Posta</t>
  </si>
  <si>
    <t>Of which for: bolstering the Swiss Post pension fund</t>
  </si>
  <si>
    <t>Basel-Stadt</t>
  </si>
  <si>
    <t>Bâle-Ville</t>
  </si>
  <si>
    <t>Basilea Città</t>
  </si>
  <si>
    <t>Brennstoff- und energiebezogene Aktivitäten (Scope 3.3)</t>
  </si>
  <si>
    <t>davon für: Aufbau Eigenkapital</t>
  </si>
  <si>
    <t>dont pour constitution de fonds propres</t>
  </si>
  <si>
    <t>di cui per: costituzione capitale proprio</t>
  </si>
  <si>
    <t>Of which for: building up equity</t>
  </si>
  <si>
    <t>Freiburg</t>
  </si>
  <si>
    <t>Fribourg</t>
  </si>
  <si>
    <t>Friburgo</t>
  </si>
  <si>
    <t>Transport und -Verteilung, vorgelagert (Scope 3.4)</t>
  </si>
  <si>
    <t>Briefe</t>
  </si>
  <si>
    <t>Lettres</t>
  </si>
  <si>
    <t>Lettere</t>
  </si>
  <si>
    <t>Letters</t>
  </si>
  <si>
    <t>davon für: Übrige</t>
  </si>
  <si>
    <t>dont pour Autres</t>
  </si>
  <si>
    <t>di cui per: Altri</t>
  </si>
  <si>
    <t>Of which for: Other</t>
  </si>
  <si>
    <t>Genf</t>
  </si>
  <si>
    <t>Genève</t>
  </si>
  <si>
    <t>Ginevra</t>
  </si>
  <si>
    <t>Geneva</t>
  </si>
  <si>
    <t>Abfall (Scope 3.5)</t>
  </si>
  <si>
    <t>Adressierte Briefe</t>
  </si>
  <si>
    <t>Lettres adressées</t>
  </si>
  <si>
    <t>Lettere indirizzate</t>
  </si>
  <si>
    <t>Addressed letters</t>
  </si>
  <si>
    <t>Glarus</t>
  </si>
  <si>
    <t>Glaris</t>
  </si>
  <si>
    <t>Glarona</t>
  </si>
  <si>
    <t>Geschäftsreisen (Scope 3.6)</t>
  </si>
  <si>
    <t>Elternzeitbezüger/-innen</t>
  </si>
  <si>
    <t>Bénéficiaires du congé parental</t>
  </si>
  <si>
    <t>Beneficiari del congedo parentale</t>
  </si>
  <si>
    <t>Beneficiaries of parental leave</t>
  </si>
  <si>
    <t>Schweiz</t>
  </si>
  <si>
    <t>Suisse</t>
  </si>
  <si>
    <t>Svizzera</t>
  </si>
  <si>
    <t>Switzerland</t>
  </si>
  <si>
    <t>prioritäre Sendungen</t>
  </si>
  <si>
    <t>Envois prioritaires</t>
  </si>
  <si>
    <t>Invii prioritari</t>
  </si>
  <si>
    <t>Priority items</t>
  </si>
  <si>
    <t>Graubünden</t>
  </si>
  <si>
    <t>Grisons</t>
  </si>
  <si>
    <t>Grigioni</t>
  </si>
  <si>
    <t>Pendeln der Angestellten (Scope 3.7)</t>
  </si>
  <si>
    <t>Ausland</t>
  </si>
  <si>
    <t>Etranger</t>
  </si>
  <si>
    <t>Estero</t>
  </si>
  <si>
    <t>Abroad</t>
  </si>
  <si>
    <t>nicht prioritäre Sendungen</t>
  </si>
  <si>
    <t>Envois non prioritaires</t>
  </si>
  <si>
    <t>Invii non prioritari</t>
  </si>
  <si>
    <t>Non-priority items</t>
  </si>
  <si>
    <t>Jura</t>
  </si>
  <si>
    <t>Giura</t>
  </si>
  <si>
    <t>Upstream-Angemietete oder geleaste Sachanlagen (Scope 3.8)</t>
  </si>
  <si>
    <t>Italien</t>
  </si>
  <si>
    <t>Italie</t>
  </si>
  <si>
    <t>Italia</t>
  </si>
  <si>
    <t>Italy</t>
  </si>
  <si>
    <t>Sendungen ohne Adresse</t>
  </si>
  <si>
    <t>Envois non adressés</t>
  </si>
  <si>
    <t>Invii non indirizzati</t>
  </si>
  <si>
    <t>Unaddressed items</t>
  </si>
  <si>
    <t>Luzern</t>
  </si>
  <si>
    <t>Lucerne</t>
  </si>
  <si>
    <t>Lucerna</t>
  </si>
  <si>
    <t>Vermietete oder verleaste Sachanlagen (Scope 3.13)</t>
  </si>
  <si>
    <t>Deutschland</t>
  </si>
  <si>
    <t>Allemagne</t>
  </si>
  <si>
    <t>Germania</t>
  </si>
  <si>
    <t>Germany</t>
  </si>
  <si>
    <t>Zeitungen</t>
  </si>
  <si>
    <t>Journaux</t>
  </si>
  <si>
    <t>Giornali</t>
  </si>
  <si>
    <t>Newspapers</t>
  </si>
  <si>
    <t>Neuenburg</t>
  </si>
  <si>
    <t>Neuchâtel</t>
  </si>
  <si>
    <t>Fahrzeugleasing</t>
  </si>
  <si>
    <t>Spanien</t>
  </si>
  <si>
    <t>Espagne</t>
  </si>
  <si>
    <t>Spagna</t>
  </si>
  <si>
    <t>Spain</t>
  </si>
  <si>
    <t>Briefe Export</t>
  </si>
  <si>
    <t>Lettres, exportation</t>
  </si>
  <si>
    <t>Lettere export</t>
  </si>
  <si>
    <t>Letter exports</t>
  </si>
  <si>
    <t>Nidwalden</t>
  </si>
  <si>
    <t>Nidwald</t>
  </si>
  <si>
    <t>Nidvaldo</t>
  </si>
  <si>
    <t>Treibstoffverkauf</t>
  </si>
  <si>
    <t>Portugal</t>
  </si>
  <si>
    <t>Portogallo</t>
  </si>
  <si>
    <t>Briefe Import</t>
  </si>
  <si>
    <t>Lettres, importation</t>
  </si>
  <si>
    <t>Lettere import</t>
  </si>
  <si>
    <t>Letter imports</t>
  </si>
  <si>
    <t>Obwalden</t>
  </si>
  <si>
    <t>Obwald</t>
  </si>
  <si>
    <t>Obvaldo</t>
  </si>
  <si>
    <t>PostShops</t>
  </si>
  <si>
    <t>Türkei</t>
  </si>
  <si>
    <t>Turquie</t>
  </si>
  <si>
    <t>Turchia</t>
  </si>
  <si>
    <t>Turkey</t>
  </si>
  <si>
    <t>Zeitungen Export</t>
  </si>
  <si>
    <t>Journaux, exportation</t>
  </si>
  <si>
    <t>Giornali export</t>
  </si>
  <si>
    <t>Newspaper exports</t>
  </si>
  <si>
    <t>St. Gallen</t>
  </si>
  <si>
    <t>Saint-Gall</t>
  </si>
  <si>
    <t>San Gallo</t>
  </si>
  <si>
    <t>Frankreich</t>
  </si>
  <si>
    <t>France</t>
  </si>
  <si>
    <t>Francia</t>
  </si>
  <si>
    <t>Zeitungen Import</t>
  </si>
  <si>
    <t>Journaux, importation</t>
  </si>
  <si>
    <t>Giornali import</t>
  </si>
  <si>
    <t>Newspaper imports</t>
  </si>
  <si>
    <t>Schaffhausen</t>
  </si>
  <si>
    <t>Schaffhouse</t>
  </si>
  <si>
    <t>Sciaffusa</t>
  </si>
  <si>
    <t>Eingekaufte Güter und Dienstleistungen</t>
  </si>
  <si>
    <t>übrige Länder</t>
  </si>
  <si>
    <t>Autres pays</t>
  </si>
  <si>
    <t>Altri paesi</t>
  </si>
  <si>
    <t>Other countries</t>
  </si>
  <si>
    <t>Solothurn</t>
  </si>
  <si>
    <t>Soleure</t>
  </si>
  <si>
    <t>Soletta</t>
  </si>
  <si>
    <t>Kapitalgüter</t>
  </si>
  <si>
    <t>Vertretene Nationen</t>
  </si>
  <si>
    <t>Nationalités représentées</t>
  </si>
  <si>
    <t>Nazioni rappresentate</t>
  </si>
  <si>
    <t>Nationalities represented</t>
  </si>
  <si>
    <t>Inland Priority</t>
  </si>
  <si>
    <t>domestiques Economy</t>
  </si>
  <si>
    <t>domestici Priority</t>
  </si>
  <si>
    <t>Domestic Priority</t>
  </si>
  <si>
    <t>Schwyz</t>
  </si>
  <si>
    <t>Svitto</t>
  </si>
  <si>
    <t>Energieeffizienzsteigerung seit 2006</t>
  </si>
  <si>
    <t>Amélioration de l'efficacité énergétique depuis 2006</t>
  </si>
  <si>
    <t>Incremento dell'efficienza energetica dal 2006</t>
  </si>
  <si>
    <t>Increase in energy efficiency since 2006</t>
  </si>
  <si>
    <t>CO2e-Intensität der Wertschöpfung</t>
  </si>
  <si>
    <t>Intensité en CO2 de la création de valeur</t>
  </si>
  <si>
    <t>Intensità di CO2 del valore aggiunto</t>
  </si>
  <si>
    <t>CO2 intensity of added value</t>
  </si>
  <si>
    <t>Nettorücklauf der Umfrage</t>
  </si>
  <si>
    <t>Taux de réponse net de l'enquête</t>
  </si>
  <si>
    <t>Percentuale netta di questionari restituiti</t>
  </si>
  <si>
    <t>Net response rate to survey</t>
  </si>
  <si>
    <t>Individuelle Beratungen durch Laufbahnzentrum</t>
  </si>
  <si>
    <t>Conseils individuels par le Centre de carrière</t>
  </si>
  <si>
    <t>Consulenze individuali del centro carriera</t>
  </si>
  <si>
    <t>Individual consultations by careers center</t>
  </si>
  <si>
    <t>Inland Economy</t>
  </si>
  <si>
    <t>domestiques Priority</t>
  </si>
  <si>
    <t>domestici Economy</t>
  </si>
  <si>
    <t>Domestic Economy</t>
  </si>
  <si>
    <t>Thurgau</t>
  </si>
  <si>
    <t>Thurgovie</t>
  </si>
  <si>
    <t>Turgovia</t>
  </si>
  <si>
    <t>Eingekaufte Herkunftsnachweise für Strom aus erneuerbaren Energien</t>
  </si>
  <si>
    <t>Achat de certificats d’origine pour l’électricité produite à partir d’énergies renouvelables</t>
  </si>
  <si>
    <t>Acquisto di garanzie di origine per energia elettrica prodotta da energie rinnovabili</t>
  </si>
  <si>
    <t>Purchased guarantees of origin for electricity from renewable resources</t>
  </si>
  <si>
    <t>CO2e-Intensität des Betriebsertrags (Scopes 1 und 2)</t>
  </si>
  <si>
    <t>Meine Arbeit</t>
  </si>
  <si>
    <t>Mon travail</t>
  </si>
  <si>
    <t>Il mio lavoro</t>
  </si>
  <si>
    <t>My work</t>
  </si>
  <si>
    <t>Workshops Laufbahnzentrum</t>
  </si>
  <si>
    <t>Séminaires du Centre de carrière</t>
  </si>
  <si>
    <t>Seminari del Centro carriera</t>
  </si>
  <si>
    <t>Job Center workshops</t>
  </si>
  <si>
    <t>Export</t>
  </si>
  <si>
    <t>Exportation</t>
  </si>
  <si>
    <t>Exports</t>
  </si>
  <si>
    <t>Tessin</t>
  </si>
  <si>
    <t>Ticino</t>
  </si>
  <si>
    <t>Eingekaufte Herkunftsnachweise für zertifizierten Ökostrom</t>
  </si>
  <si>
    <t>Achat de garanties d'origine pour l'électricité verte certifiée</t>
  </si>
  <si>
    <t>Acquisto delle garanzie di origine per l'elettricità verde certificata</t>
  </si>
  <si>
    <t>Purchased guarantees of origin for certified green electricity</t>
  </si>
  <si>
    <t>CO2e-Intensität der Arbeitsplätze (Scopes 1 und 2)</t>
  </si>
  <si>
    <t>Mein Team</t>
  </si>
  <si>
    <t>Mon équipe</t>
  </si>
  <si>
    <t>Il mio team</t>
  </si>
  <si>
    <t>My team</t>
  </si>
  <si>
    <t>Import</t>
  </si>
  <si>
    <t>Importation</t>
  </si>
  <si>
    <t>Imports</t>
  </si>
  <si>
    <t>Uri</t>
  </si>
  <si>
    <t>Eingekaufte Herkunftsnachweise für zertifiziertes Biogas</t>
  </si>
  <si>
    <t>Achat de garanties d'origine pour le biogaz certifié</t>
  </si>
  <si>
    <t>Acquisto delle garanzie di origine per biogas certificato</t>
  </si>
  <si>
    <t>Purchased guarantees of origin for certified biogas</t>
  </si>
  <si>
    <t>Kapitalgüter (Scope 3.2)</t>
  </si>
  <si>
    <t>Meine direkte Führung</t>
  </si>
  <si>
    <t>Mes supérieurs directs</t>
  </si>
  <si>
    <t>Il mio superiore diretto / La mia superiore diretta</t>
  </si>
  <si>
    <t>My direct manager</t>
  </si>
  <si>
    <t>Swiss Express Geschäftskunden</t>
  </si>
  <si>
    <t>Swiss-Express clients commerciaux</t>
  </si>
  <si>
    <t>Swiss-Express clienti commerciali</t>
  </si>
  <si>
    <t>Swiss Express, business customers</t>
  </si>
  <si>
    <t>Waadt</t>
  </si>
  <si>
    <t>Vaud</t>
  </si>
  <si>
    <t>Nutzung der verkauften Produkte (Scope 3.11)</t>
  </si>
  <si>
    <t>Unsere Unternehmenskultur</t>
  </si>
  <si>
    <t>Notre culture d’entreprise</t>
  </si>
  <si>
    <t>La nostra cultura aziendale</t>
  </si>
  <si>
    <t>Our corporate culture</t>
  </si>
  <si>
    <t>Courier Export (über TNT Swiss Post AG)</t>
  </si>
  <si>
    <t>Courrier rapide, exportation (via TNT Swiss Post SA)</t>
  </si>
  <si>
    <t>Corriere export (via TNT Swiss Post AG)</t>
  </si>
  <si>
    <t>Courier exports (via TNT Swiss Post AG)</t>
  </si>
  <si>
    <t>Wallis</t>
  </si>
  <si>
    <t>Valais</t>
  </si>
  <si>
    <t>Vallese</t>
  </si>
  <si>
    <t>Investitionen (Scope 3.15)</t>
  </si>
  <si>
    <t>Unsere Post</t>
  </si>
  <si>
    <t>Notre Poste</t>
  </si>
  <si>
    <t>La nostra Posta</t>
  </si>
  <si>
    <t>Our Swiss Post</t>
  </si>
  <si>
    <t>Bearbeitete Vorgänge</t>
  </si>
  <si>
    <t>Cas traités</t>
  </si>
  <si>
    <t>Casi trattati (Customer Care)</t>
  </si>
  <si>
    <t>Cases handled</t>
  </si>
  <si>
    <t>Zug</t>
  </si>
  <si>
    <t>Zoug</t>
  </si>
  <si>
    <t>Zugo</t>
  </si>
  <si>
    <t>Mein Engagement</t>
  </si>
  <si>
    <t>Mon engagement</t>
  </si>
  <si>
    <t>Il mio impegno</t>
  </si>
  <si>
    <t>My commitment</t>
  </si>
  <si>
    <t>Gescannte Seiten (Document Solutions)</t>
  </si>
  <si>
    <t>Pages scannées (Document Solutions)</t>
  </si>
  <si>
    <t>Pagine scansionate (Document Solutions)</t>
  </si>
  <si>
    <t>Scanned pages (Document Solutions)</t>
  </si>
  <si>
    <t>Zürich</t>
  </si>
  <si>
    <t>Zurich</t>
  </si>
  <si>
    <t>Zurigo</t>
  </si>
  <si>
    <t>CO2e-Intensität des Betriebsertrags (Scope 3)</t>
  </si>
  <si>
    <t>Zukunft meines Arbeitsplatzes</t>
  </si>
  <si>
    <t>Notre sondage du personnel</t>
  </si>
  <si>
    <t>Il nostro sondaggio del personale</t>
  </si>
  <si>
    <t>Our employee survey</t>
  </si>
  <si>
    <t>Personalisierter Karten (Cards)</t>
  </si>
  <si>
    <t>Cartes personnalisées (Cards)</t>
  </si>
  <si>
    <t>Carte personalizzate (Cards)</t>
  </si>
  <si>
    <t>Personalized cards (Cards)</t>
  </si>
  <si>
    <t>CO2e-Intensität der Arbeitsplätze (Scope 3)</t>
  </si>
  <si>
    <t>Unsere Personalumfrage</t>
  </si>
  <si>
    <t>Unpersonalisierter Karten (Cards)</t>
  </si>
  <si>
    <t>Cartes non personnalisées (Cards)</t>
  </si>
  <si>
    <t>Carte non personalizzate (Cards)</t>
  </si>
  <si>
    <t>Non-personalized cards (Cards)</t>
  </si>
  <si>
    <t>Étranger</t>
  </si>
  <si>
    <t>Produzierte Sendungen (Document Output)</t>
  </si>
  <si>
    <t>Envois produits (Document Output)</t>
  </si>
  <si>
    <t>Invii prodotti (Document Output)</t>
  </si>
  <si>
    <t>Consignments produced (Document Output)</t>
  </si>
  <si>
    <t>CO2-Kompensationen</t>
  </si>
  <si>
    <t>Compensations des émissions de CO2</t>
  </si>
  <si>
    <t>Compensazioni di CO2</t>
  </si>
  <si>
    <t>Carbon offsetting</t>
  </si>
  <si>
    <t>Altersgruppe</t>
  </si>
  <si>
    <t>Classe d'âge</t>
  </si>
  <si>
    <t>Fascia di età</t>
  </si>
  <si>
    <t>Age group</t>
  </si>
  <si>
    <t>Abgeschlossenes Auftragsvolumen</t>
  </si>
  <si>
    <t>Volume des mandats clôturés</t>
  </si>
  <si>
    <t>Volume di contratti conclusi</t>
  </si>
  <si>
    <t>Completed order volumes</t>
  </si>
  <si>
    <t>Kompensierte Sendungen</t>
  </si>
  <si>
    <t>Envois compensés</t>
  </si>
  <si>
    <t>Invii compensati</t>
  </si>
  <si>
    <t>Offset consignments</t>
  </si>
  <si>
    <t>unter 20</t>
  </si>
  <si>
    <t>Moins de 20 ans</t>
  </si>
  <si>
    <t>Meno di 20</t>
  </si>
  <si>
    <t>Under 20</t>
  </si>
  <si>
    <t>Fatturato netto altri articoli di marca</t>
  </si>
  <si>
    <t>Annahme Einzahlungen</t>
  </si>
  <si>
    <t>Versements</t>
  </si>
  <si>
    <t>Accettazione versamenti</t>
  </si>
  <si>
    <t>Inpayments accepted</t>
  </si>
  <si>
    <t>30–39</t>
  </si>
  <si>
    <t>30-39</t>
  </si>
  <si>
    <t>Kundenvermögensentwicklung</t>
  </si>
  <si>
    <t>Évolution du patrimoine des clients</t>
  </si>
  <si>
    <t>Andamento dei patrimoni dei clienti</t>
  </si>
  <si>
    <t>Growth in customer assets</t>
  </si>
  <si>
    <t>40–49</t>
  </si>
  <si>
    <t>40-49</t>
  </si>
  <si>
    <t>Anzahl Kundenkonten</t>
  </si>
  <si>
    <t>Nombres de comptes clients</t>
  </si>
  <si>
    <t>Numero di conti dei clienti</t>
  </si>
  <si>
    <t>Number of customer accounts</t>
  </si>
  <si>
    <t>50–59</t>
  </si>
  <si>
    <t>50-59</t>
  </si>
  <si>
    <t>Durchschnittsbestand Kundenvermögen (Monats-Ø)</t>
  </si>
  <si>
    <t>Moyenne du patrimoine des clients (Ø mensuelle)</t>
  </si>
  <si>
    <t>Consistenza media dei patrimoni dei clienti (Ø mensile)</t>
  </si>
  <si>
    <t>Average balance of customer assets (monthly avg.)</t>
  </si>
  <si>
    <t>60 und älter</t>
  </si>
  <si>
    <t>60 ans et plus</t>
  </si>
  <si>
    <t>dai 60 anni in su</t>
  </si>
  <si>
    <t>60 and older</t>
  </si>
  <si>
    <t>Durchschnittsbestand Kundengelder (Monats-Ø)</t>
  </si>
  <si>
    <t>Moyenne des fonds des clients (Ø mensuelle)</t>
  </si>
  <si>
    <t>Consistenza media dei depositi dei clienti (Ø mensile)</t>
  </si>
  <si>
    <t>Average balance of customer deposits (monthly avg.)</t>
  </si>
  <si>
    <t>Durchschnittsalter</t>
  </si>
  <si>
    <t>Age moyen</t>
  </si>
  <si>
    <t>Età media</t>
  </si>
  <si>
    <t>Average age</t>
  </si>
  <si>
    <t>Anzahl Transaktionen</t>
  </si>
  <si>
    <t>Nombre de transactions</t>
  </si>
  <si>
    <t>Transazioni</t>
  </si>
  <si>
    <t>Number of transactions</t>
  </si>
  <si>
    <t>E-Finance-Teilnehmer</t>
  </si>
  <si>
    <t>Adhérents e-finance</t>
  </si>
  <si>
    <t>Utenti e-finance</t>
  </si>
  <si>
    <t>E-finance subscribers</t>
  </si>
  <si>
    <t>Fondsvolumen (PostFinance-Fonds ohne Drittfonds)</t>
  </si>
  <si>
    <t>Volume des fonds (fonds PostFinance sans fonds émis par des tiers)</t>
  </si>
  <si>
    <t>Volume fondi (PostFinance Fonds senza fondi emessi da terzi)</t>
  </si>
  <si>
    <t>Fund volume (PostFinance Fonds excl. third-party funds)</t>
  </si>
  <si>
    <t>Arbeitsplätze in ländlichen Gemeinden</t>
  </si>
  <si>
    <t>Emplois dans les communes rurales</t>
  </si>
  <si>
    <t>Posti di lavoro nei comuni rurali</t>
  </si>
  <si>
    <t>Jobs in rural communities</t>
  </si>
  <si>
    <t>CO2-Effizienzsteigerung 2010-2020</t>
  </si>
  <si>
    <t>Amélioration de l'efficacité en matière de CO2 2010-2020</t>
  </si>
  <si>
    <t>Incremento dell'efficienza in termini di di CO2 2010-2020</t>
  </si>
  <si>
    <t>CO2 efficiency improvement 2010-2020</t>
  </si>
  <si>
    <t>Fondsvolumen (PostFinance-Fonds und Drittfonds)</t>
  </si>
  <si>
    <t>Volume des fonds (émis par PostFinance et par des tiers)</t>
  </si>
  <si>
    <t>Volume fondi (PostFinance Fonds e fondi emessi da terzi)</t>
  </si>
  <si>
    <t>Fund volume (PostFinance Fonds and third-party funds)</t>
  </si>
  <si>
    <t>Änderung der Treibhausgasemissionen Scope 1+2</t>
  </si>
  <si>
    <t xml:space="preserve">Changement concernant les émissions de gaz à effet de serre des scopes 1 et 2 </t>
  </si>
  <si>
    <t xml:space="preserve">Variazione delle emissioni di gas serra Scope 1 e 2 </t>
  </si>
  <si>
    <t xml:space="preserve">Change in greenhouse gas emissions scope 1+2 </t>
  </si>
  <si>
    <t>Volumen Ausleihungen Geschäftskunden</t>
  </si>
  <si>
    <t>Volume des prêts clients commerciaux</t>
  </si>
  <si>
    <t>Volume prestiti alla clientela commerciale</t>
  </si>
  <si>
    <t>Volume of loans to business customers</t>
  </si>
  <si>
    <t>Änderung der Treibhausgasemissionen Scope 3</t>
  </si>
  <si>
    <t xml:space="preserve">Changement concernant les émissions de gaz à effet de serre du scope 3 </t>
  </si>
  <si>
    <t xml:space="preserve">Variazione delle emissioni di gas serra Scope 3 </t>
  </si>
  <si>
    <t xml:space="preserve">Change in greenhouse gas emissions scope 3 </t>
  </si>
  <si>
    <t>Volumen Hypotheken Privatkunden</t>
  </si>
  <si>
    <t>Volume des hypothèques clients privés</t>
  </si>
  <si>
    <t>Volume ipoteche alla clientela privata</t>
  </si>
  <si>
    <t>Volume of mortgages for private customers</t>
  </si>
  <si>
    <t>Anteil aller Arbeitsplätze</t>
  </si>
  <si>
    <t>Part de tous les emplois</t>
  </si>
  <si>
    <t>Quota di tutti i posti di lavoro</t>
  </si>
  <si>
    <t>Share of all jobs</t>
  </si>
  <si>
    <t>Verkaufte Emissionsreduktionen (Stiftung KliK)</t>
  </si>
  <si>
    <t>Anzahl Reisende (PostAuto)</t>
  </si>
  <si>
    <t>Nombre de voyageurs (CarPostal)</t>
  </si>
  <si>
    <t>Viaggiatori (AutoPostale)</t>
  </si>
  <si>
    <t>Number of passengers (PostBus)</t>
  </si>
  <si>
    <t>Jahresleistung (PostAuto)</t>
  </si>
  <si>
    <t>Prestation annuelle (CarPostal)</t>
  </si>
  <si>
    <t>Prestazione annua (AutoPostale)</t>
  </si>
  <si>
    <t>Vehicle kilometres (PostBus)</t>
  </si>
  <si>
    <t>Fahrzeuge (PostAuto)</t>
  </si>
  <si>
    <t>Véhicules (CarPostal)</t>
  </si>
  <si>
    <t>Veicoli (AutoPostale)</t>
  </si>
  <si>
    <t>Vehicles (PostBus)</t>
  </si>
  <si>
    <t>Liniennetz (PostAuto)</t>
  </si>
  <si>
    <t>Réseau (CarPostal)</t>
  </si>
  <si>
    <t>Rete (AutoPostale)</t>
  </si>
  <si>
    <t>Network (PostBus)</t>
  </si>
  <si>
    <t>Liegenschaften</t>
  </si>
  <si>
    <t>Immeubles</t>
  </si>
  <si>
    <t>Properties</t>
  </si>
  <si>
    <t>eigene</t>
  </si>
  <si>
    <t>propres</t>
  </si>
  <si>
    <t>di proprietà</t>
  </si>
  <si>
    <t>Owned</t>
  </si>
  <si>
    <t>gemietete</t>
  </si>
  <si>
    <t>loués</t>
  </si>
  <si>
    <t>in affitto</t>
  </si>
  <si>
    <t>Rented</t>
  </si>
  <si>
    <t>Briefpostindex wechselkursbereinigt</t>
  </si>
  <si>
    <t>Indice du prix des lettres corrigé du taux de change</t>
  </si>
  <si>
    <t>Indice della posta-lettere rettificato in base al corso di cambio</t>
  </si>
  <si>
    <t>Letter post index adjusted for exchange rate</t>
  </si>
  <si>
    <t>Fluorchlorkohlenwasserstoffäquivalente (FCKW-11-Äquivalente)</t>
  </si>
  <si>
    <t>Equivalents chlorofluorocarbones (équivalent CFC 11)</t>
  </si>
  <si>
    <t>Equivalenti fluoro-cloro-idrocarburi (HCFC-11 equiv.)</t>
  </si>
  <si>
    <t>Chlorofluorocarbon hydrogen equivalents (CFC-11 equivalents)</t>
  </si>
  <si>
    <t>Bewirtschaftete Fläche</t>
  </si>
  <si>
    <t>Surface gérée</t>
  </si>
  <si>
    <t>Superficie gestita</t>
  </si>
  <si>
    <t>Managed space</t>
  </si>
  <si>
    <t>Briefpostindex kaufkraftbereinigt</t>
  </si>
  <si>
    <t>Indice du prix des lettres en parité de pouvoir d'achat</t>
  </si>
  <si>
    <t>Indice della posta-lettere rettificato in base al potere d'acquisto</t>
  </si>
  <si>
    <t>Letter post index adjusted for purchasing power</t>
  </si>
  <si>
    <t>Stickoxide (NOx)</t>
  </si>
  <si>
    <t>Oxydes d'azote (NOx)</t>
  </si>
  <si>
    <t>Ossidi di azoto (NOx)</t>
  </si>
  <si>
    <t>Nitrogen oxide (NOx)</t>
  </si>
  <si>
    <t>angemietete Fläche</t>
  </si>
  <si>
    <t>Surface louée</t>
  </si>
  <si>
    <t>Superficie in locazione</t>
  </si>
  <si>
    <t>Rented space</t>
  </si>
  <si>
    <t>Paketpostindex wechselkursbereinigt</t>
  </si>
  <si>
    <t>Indice du prix des colis corrigé du taux de change</t>
  </si>
  <si>
    <t>Indice della posta-pacchi rettificato in base al corso del cambio</t>
  </si>
  <si>
    <t>Parcel post index adjusted for exchange rate</t>
  </si>
  <si>
    <t>Schwefeloxide (SOx)</t>
  </si>
  <si>
    <t>Oxydes de soufre (SOx)</t>
  </si>
  <si>
    <t>Ossidi di zolfo (SOx)</t>
  </si>
  <si>
    <t>Sulphur oxides (SOx)</t>
  </si>
  <si>
    <t>Paketpostindex kaufkraftbereinigt</t>
  </si>
  <si>
    <t>Indice du prix des colis en parité de pouvoir d'achat</t>
  </si>
  <si>
    <t>Indice della posta-pacchi rettificato in base al potere d'acquisto</t>
  </si>
  <si>
    <t>Parcel post index adjusted for purchasing power</t>
  </si>
  <si>
    <t>Nicht-Methan Kohlenwasserstoffe (NMVOC)</t>
  </si>
  <si>
    <t>Hydrocarbures non méthaniques (HCNM)</t>
  </si>
  <si>
    <t>Idrocarburi non metanici (NMHC)</t>
  </si>
  <si>
    <t>Non-methane hydrocarbons (NMVOC)</t>
  </si>
  <si>
    <t>Anlagewert</t>
  </si>
  <si>
    <t>Valeur d'investissement</t>
  </si>
  <si>
    <t>Valore d'investimento</t>
  </si>
  <si>
    <t>Investment value</t>
  </si>
  <si>
    <t>Österreich</t>
  </si>
  <si>
    <t>Autriche</t>
  </si>
  <si>
    <t>Austria</t>
  </si>
  <si>
    <t>Feinstaub (PM10)</t>
  </si>
  <si>
    <t>Matières particulaires (PM10)</t>
  </si>
  <si>
    <t>Particolato (PM10)</t>
  </si>
  <si>
    <t>Particulate matter (PM10)</t>
  </si>
  <si>
    <t>Mietertrag intern</t>
  </si>
  <si>
    <t>Produits locatifs internes</t>
  </si>
  <si>
    <t>Reddito da locazioni interno</t>
  </si>
  <si>
    <t>Rental income – internal</t>
  </si>
  <si>
    <t>Belgien</t>
  </si>
  <si>
    <t>Belgique</t>
  </si>
  <si>
    <t>Belgio</t>
  </si>
  <si>
    <t>Belgium</t>
  </si>
  <si>
    <t>Mietertrag extern</t>
  </si>
  <si>
    <t>Produits locatifs externes</t>
  </si>
  <si>
    <t>Reddito da locazioni esterno</t>
  </si>
  <si>
    <t>Rental income – external</t>
  </si>
  <si>
    <t>Investitionsvolumen</t>
  </si>
  <si>
    <t>Volume d'investissements</t>
  </si>
  <si>
    <t>Volume investimenti</t>
  </si>
  <si>
    <t>Investment volume</t>
  </si>
  <si>
    <t>Unterhaltsvolumen</t>
  </si>
  <si>
    <t>Volume d'entretien</t>
  </si>
  <si>
    <t>Volume manutenzioni</t>
  </si>
  <si>
    <t>Maintenance volume</t>
  </si>
  <si>
    <t>Dänemark</t>
  </si>
  <si>
    <t>Danemark</t>
  </si>
  <si>
    <t>Danimarca</t>
  </si>
  <si>
    <t>Denmark</t>
  </si>
  <si>
    <t>Laufende Projekte</t>
  </si>
  <si>
    <t>Projets en cours</t>
  </si>
  <si>
    <t>Progetti in corso</t>
  </si>
  <si>
    <t>Current projects</t>
  </si>
  <si>
    <t xml:space="preserve">Kontakte User Help Desk </t>
  </si>
  <si>
    <t xml:space="preserve">Contacts User Help Desk </t>
  </si>
  <si>
    <t xml:space="preserve">Contatti User Help Desk </t>
  </si>
  <si>
    <t xml:space="preserve">Contacts on User Help Desk </t>
  </si>
  <si>
    <t>Finnland</t>
  </si>
  <si>
    <t>Finlande</t>
  </si>
  <si>
    <t>Finlandia</t>
  </si>
  <si>
    <t>Finland</t>
  </si>
  <si>
    <t>Betreute Geräte</t>
  </si>
  <si>
    <t>Appareils gérés</t>
  </si>
  <si>
    <t>Apparecchi sotto assistenza</t>
  </si>
  <si>
    <t>Monitored items of equipment</t>
  </si>
  <si>
    <t>Anzahl verschiedene Anwendungen</t>
  </si>
  <si>
    <t>Nombre d'applications différentes</t>
  </si>
  <si>
    <t>Quantità di applicazioni diverse</t>
  </si>
  <si>
    <t>Number of different applications</t>
  </si>
  <si>
    <t>Grossbritanien</t>
  </si>
  <si>
    <t>Royaume-Uni</t>
  </si>
  <si>
    <t>Gran Bretagna</t>
  </si>
  <si>
    <t>United Kingdom</t>
  </si>
  <si>
    <t>Datensicherungsmenge pro Jahr</t>
  </si>
  <si>
    <t>Volume de données sauvegardées par année</t>
  </si>
  <si>
    <t>Quantità di dati salvati all'anno</t>
  </si>
  <si>
    <t>Volume of data saved per year</t>
  </si>
  <si>
    <t>Irland</t>
  </si>
  <si>
    <t>Irlande</t>
  </si>
  <si>
    <t>Irlanda</t>
  </si>
  <si>
    <t>Ireland</t>
  </si>
  <si>
    <t>Erstlösungsrate</t>
  </si>
  <si>
    <t>Taux de résolution à la 1re intervention</t>
  </si>
  <si>
    <t>Tasso di risoluzione immediata</t>
  </si>
  <si>
    <t>First-level resolution rate</t>
  </si>
  <si>
    <t>1) Keine rückwirkenden Änderungen, da Wertschöpfung, Betriebsertrag und Arbeitsplätze nicht rückwirkend geändert werden (z.B. bei Akquisitionen)</t>
  </si>
  <si>
    <t>1) Pas de modifications rétroactives, car la valeur ajoutée, les produits d’exploitation et les postes de travail ne sont pas modifiés rétroactivement (p. ex. lors d’acquisitions)</t>
  </si>
  <si>
    <t>1) Nessuna modifica con effetto retroattivo in quanto creazione di valore, ricavi d’esercizio e posti di lavoro non subiscono modifiche retroattive (ad es. in caso di acquisizioni)</t>
  </si>
  <si>
    <t>1) No retroactive changes, as value creation, operating income and jobs are not changed retroactively (e.g. in the event of acquisitions)</t>
  </si>
  <si>
    <t>Supporteinsätze</t>
  </si>
  <si>
    <t>Assistance</t>
  </si>
  <si>
    <t>Missioni di supporto</t>
  </si>
  <si>
    <t>Support calls</t>
  </si>
  <si>
    <t>Niederlande</t>
  </si>
  <si>
    <t>Pays-Bas</t>
  </si>
  <si>
    <t>Paesi Bassi</t>
  </si>
  <si>
    <t>Netherlands</t>
  </si>
  <si>
    <t xml:space="preserve">2) Ab 2022 werden die CO2e-Intensitäten getrennt rapportiert: Scopes 1 und 2 (im eigenen Betrieb) und Scope 3 (in der restlichen Wertschöpfungskette) </t>
  </si>
  <si>
    <t>Fondsvolumen</t>
  </si>
  <si>
    <t>Volume de fonds</t>
  </si>
  <si>
    <t>Volume fondi</t>
  </si>
  <si>
    <t>Fund volumes</t>
  </si>
  <si>
    <t>Norwegen</t>
  </si>
  <si>
    <t>Norvège</t>
  </si>
  <si>
    <t>Norvegia</t>
  </si>
  <si>
    <t>Norway</t>
  </si>
  <si>
    <t>Weitere Paketprodukte</t>
  </si>
  <si>
    <t>Autres produits colis</t>
  </si>
  <si>
    <t>Altri prodotti della posta-pacchi</t>
  </si>
  <si>
    <t>Other parcel products</t>
  </si>
  <si>
    <t>Swiss Express Privatkunden</t>
  </si>
  <si>
    <t>Clientèle privée Swiss Express</t>
  </si>
  <si>
    <t>Swiss-Express clienti privati</t>
  </si>
  <si>
    <t>Swiss-Express private customers</t>
  </si>
  <si>
    <t>Schweden</t>
  </si>
  <si>
    <t>Suède</t>
  </si>
  <si>
    <t>Svezia</t>
  </si>
  <si>
    <t>Sweden</t>
  </si>
  <si>
    <t>Kurier- und Expresssendungen</t>
  </si>
  <si>
    <t>Envois coursier et express</t>
  </si>
  <si>
    <t>Invii per corriere e invii espresso</t>
  </si>
  <si>
    <t>Courier and express items</t>
  </si>
  <si>
    <t>Einzahlungs- und Überweisungsvolumen</t>
  </si>
  <si>
    <t>Volume des versements et des virements</t>
  </si>
  <si>
    <t>Volume di versamenti e bonifici</t>
  </si>
  <si>
    <t>Inpayments and transfers</t>
  </si>
  <si>
    <t>1) Entschädigung Verwaltungsrat = Honorar plus Nebenleistungen,  Entschädigung Konzernleitung = Grundlohn plus variable Entlöhnung</t>
  </si>
  <si>
    <t>1) Indemnités du Conseil d'administration = honoraires plus prestations accessoires; indemnités de la Direction du groupe = salaire de base plus part variable.</t>
  </si>
  <si>
    <t>1) Indennità per Consiglio di amministrazione = onorario più prestazioni accessorie; indennità per Direzione del gruppo = salario di base più compenso variabile.</t>
  </si>
  <si>
    <t>1) Remuneration paid to BoD = fee plus fringe benefits, to Executive Management = base salary plus performance component.</t>
  </si>
  <si>
    <t>1) Standards, Methoden und Umrechnungsfaktoren: GHG Protocol, Revised Edition (2004). Die Umrechnungsfaktoren stammen aus der DEFRA (2021) Datenbank, dem GLEC Framework oder dem Mobitool 2.1</t>
  </si>
  <si>
    <t>1) Standards, méthodes et facteurs de conversion: protocole GHG, édition révisée (2004). Les facteurs de conversion proviennent de la banque de données du DEFRA (2021), du GLEC Framework ou de Mobiltool 2.1.</t>
  </si>
  <si>
    <t>1) Standard, metodi e fattori di conversione: GHG Protocol, Revised Edition (2004). I fattori di conversione sono desunti dalla banca dati del DEFRA (2021), dal GLEC Framework o da Mobitool 2.1.</t>
  </si>
  <si>
    <t>1) Standards, methods and conversion factors: GHG Protocol, Revised Edition (2004). The conversion factors are taken from the DEFRA (2021) database, the GLEC Framework or Mobitool 2.1.</t>
  </si>
  <si>
    <t>1) ohne Lernpersonal</t>
  </si>
  <si>
    <t>1) Sans les apprentis</t>
  </si>
  <si>
    <t>1) Escluso il personale in formazione</t>
  </si>
  <si>
    <t>1) Excluding trainees</t>
  </si>
  <si>
    <t>1) Eine Personaleinheit entspricht einer Vollzeitstelle.</t>
  </si>
  <si>
    <t>1) Une unité de personnel correspond à un poste à plein temps.</t>
  </si>
  <si>
    <t>1) Un'unità di personale corrisponde a un impiego a tempo pieno.</t>
  </si>
  <si>
    <t>1) A full-time equivalent equates to one full-time position.</t>
  </si>
  <si>
    <t>1) Konzern Schweiz: Daten aus dem Personalsystem, aktuell ohne Daten zu 1’402 Personaleinheiten bzw. 5’582 Personen der Konzerngesellschaften B-Sped Logistics (Suisse) SA, Epsilon SA, Direct Mail Company AG, PubliBike AG, DESTINAS AG, KLARA Business AG, Relatra AG, BPS Speditions-Service AG, Arlesheim, BPS Speditions-Service AG, Pfungen, Walli-Trans AG, ASMIQ AG, notime AG, notime (Schweiz) AG, Dialog Verwaltungs-Data AG, SwissSign AG, Tresorit AG, Bring! Labs AG, Livesystems Group AG, Livesystems AG, Livesystems dooh AG, Iemoli Trasporti SA, InTraLog Hermes AG, InTraLog Overseas AG, Otto Schmidt AG, Steriplus AG, Stericenter SA, Mediwar AG, Marcel Blanc et Cie SA, Unblu Inc., Groupe T2i Suisse SA, Hacknowledge SA, Stella Brandenberger AG, axsana AG, eoscop AG, H. Bucher Internationale Transporte AG, adiacom AG, Kickbag GmbH</t>
  </si>
  <si>
    <t>1) Jahresdurchschnittswerte</t>
  </si>
  <si>
    <t>1) Valeurs annuelles moyennes</t>
  </si>
  <si>
    <t>1) Valori medi annuali</t>
  </si>
  <si>
    <t>1) Annual averages</t>
  </si>
  <si>
    <t>Überweisungen E-Finance (elektronischer Kanal)</t>
  </si>
  <si>
    <t>Virements e-finance (canal électronique)</t>
  </si>
  <si>
    <t>Bonifici e-finance (canale elettronico)</t>
  </si>
  <si>
    <t>E-finance transfers (electronic channel)</t>
  </si>
  <si>
    <t>2) Der reservierte Dienst ist die Dienstleistung der postalischen Grundversorgung, die ausschliesslich von der Schweizerischen Post angeboten wird und zu deren Erbringung die Post verpflichtet ist. Der reservierte Dienst entspricht dem Monopolbereich.</t>
  </si>
  <si>
    <t>2) Les services réservés sont des services faisant partie du service universel postal. Ils sont proposés exclusivement par la Poste, qui est tenue de les fournir. Ils relèvent du monopole.</t>
  </si>
  <si>
    <t>2) Il servizio riservato consiste nelle prestazioni del servizio postale di base offerte esclusivamente dalla Posta e che essa è tenuta ad erogare. Il servizio riservato corrisponde al settore protetto da monopolio.</t>
  </si>
  <si>
    <t>2) The reserved service is the universal postal service that is offered exclusively by Swiss Post and which Swiss Post must provide. The reserved service is the monopoly.</t>
  </si>
  <si>
    <t>2) ohne VR-Präsident</t>
  </si>
  <si>
    <t>2) sans le président/la présidente</t>
  </si>
  <si>
    <t>2) Presidente escluso</t>
  </si>
  <si>
    <t>2) excluding Chairman</t>
  </si>
  <si>
    <t>2) «naturemade star»-zertifizierter Ökostrom.</t>
  </si>
  <si>
    <t>3) Die Sachdaten von akquirierten Konzerngesellschaften werden rückwirkend für das Jahr 2021 und folgende Jahre nacherfasst, da 2021 als Basisjahr für die Ziele 2030/2040 dient.</t>
  </si>
  <si>
    <t>3) Les données concernant les sociétés du groupe acquises seront saisies rétroactivement pour 2021 et les années ultérieures, car l’année 2021 fait office d’année de référence pour les objectifs à l’horizon 2030-2040.</t>
  </si>
  <si>
    <t>3) I dati specifici delle società del gruppo acquisite vengono registrati a posteriori con effetto retroattivo per il 2021 e gli anni a seguire, in quanto il 2021 funge da anno di riferimento per gli obiettivi 2030/2040.</t>
  </si>
  <si>
    <t>3) Data for subsidiaries acquired was re-entered retroactively for 2021 onwards, as 2021 is used as the base year for the 2030/2040 targets.</t>
  </si>
  <si>
    <t>2) Gesamtaustrittsrate = Personen im Monatslohn, die die Post innerhalb eines Kalenderjahres insgesamt verlassen haben, ausgedrückt in % des durchschnittlichen Personalbestandes</t>
  </si>
  <si>
    <t>2) Taux de départ global = personnes rétribuées au mois qui ont quitté la Poste au cours d'une année civile, exprimé en pourcentage de l'effectif moyen.</t>
  </si>
  <si>
    <t>2) Tasso complessivo di partenze: complesso delle persone con salario mensile che nel corso di un anno civile hanno lasciato la Posta, espresso in % dell'organico medio</t>
  </si>
  <si>
    <t>2) Overall departure rate = total number of persons on a monthly salary who leave Swiss Post within a period of one calendar year, expressed as % of average headcount.</t>
  </si>
  <si>
    <t>2) Konzern Schweiz: Daten aus dem Personalsystem, aktuell ohne Daten zu 1’402 Personaleinheiten bzw. 5’582 Personen der Konzerngesellschaften B-Sped Logistics (Suisse) SA, Epsilon SA, Direct Mail Company AG, PubliBike AG, DESTINAS AG, KLARA Business AG, Relatra AG, BPS Speditions-Service AG, Arlesheim, BPS Speditions-Service AG, Pfungen, Walli-Trans AG, ASMIQ AG, notime AG, notime (Schweiz) AG, Dialog Verwaltungs-Data AG, SwissSign AG, Tresorit AG, Bring! Labs AG, Livesystems Group AG, Livesystems AG, Livesystems dooh AG, Iemoli Trasporti SA, InTraLog Hermes AG, InTraLog Overseas AG, Otto Schmidt AG, Steriplus AG, Stericenter SA, Mediwar AG, Marcel Blanc et Cie SA, Unblu Inc., Groupe T2i Suisse SA, Hacknowledge SA, Stella Brandenberger AG, axsana AG, eoscop AG, H. Bucher Internationale Transporte AG, adiacom AG, Kickbag GmbH</t>
  </si>
  <si>
    <t>2) Jahresdurchschnittswerte</t>
  </si>
  <si>
    <t>2) Valeurs annuelles moyennes</t>
  </si>
  <si>
    <t>2) Valori medi annuali</t>
  </si>
  <si>
    <t>2) Annual averages</t>
  </si>
  <si>
    <t>Überweisungen EFT/POS (Handel, PST, Agenturen)</t>
  </si>
  <si>
    <t>Virements EFT/POS (commerces, offices de poste, agences)</t>
  </si>
  <si>
    <t>Bonifici EFT/POS (negozi, uffici postali e agenzie)</t>
  </si>
  <si>
    <t>EFT/POS transfers (retail, post offices, agencies)</t>
  </si>
  <si>
    <t>3) Der Value Added (VA) der Post ist eine absolute Masszahl (Mio. CHF) und zeigt an, welchen Mehrwert das Gesamtunternehmen bzw. ein Segment erwirtschaftet. Ein Mehrwert entsteht, wenn das um die Steuern angepasste Betriebsergebnis die geforderte Verzinsung des investierten Kapitals übersteigt.</t>
  </si>
  <si>
    <t>3) La valeur ajoutée de la Poste s’exprime en valeur absolue (millions de CHF) et rend compte de la plus-value dégagée par l’ensemble de l’entreprise ou par un segment. Il y a plus-value lorsque le résultat d’exploitation après impôt est supérieur à la rémunération exigée du capital investi.</t>
  </si>
  <si>
    <t>3) Il valore aggiunto (value added, VA) della Posta è un’unità di misura assoluta (in mln di CHF) che indica quale valore aggiunto ha raggiunto l’intera azienda o un segmento. Un valore aggiunto si genera quando il risultato aziendale adeguato delle imposte supera la remunerazione degli interessi del capitale investito.</t>
  </si>
  <si>
    <t>3) Swiss Post Value Added (PVA) is an absolute figure (CHF million) indicating how much added value the company as a whole or a specific segment generates. Value added is created when, after being adjusted for tax, operating profit exceeds the required interest on invested capital.</t>
  </si>
  <si>
    <t>3) 2012: Jürg Bucher 8 Monate, Susanne Ruoff 7 Monate, annualisiert CHF 847'581</t>
  </si>
  <si>
    <t>3) 2012: Jürg Bucher 8 mois, Susanne Ruoff 7 mois, annualisation CHF 847'581.</t>
  </si>
  <si>
    <t>3) 2012: Jürg Bucher otto mesi, Susanne Ruoff sette mesi, annualizzato CHF 847'581.</t>
  </si>
  <si>
    <t>3) 2012: Jürg Bucher 8 months, Susanne Ruoff 7 months, annualized CHF 847,581</t>
  </si>
  <si>
    <t>3) Strom aus erneuerbaren Quellen aus dem Land, wo der Stromverbrauch anfällt. Wo sie keinen erneuerbaren Strom aus der Grundversorgung beschafft, kauft sie Herkunftsnachweise ein.  Im Jahr 2022 wurde ausnahmsweise ein Teil des Strombedarfs durch europäischen Strom aus erneuerbaren Quellen gedeckt, da aufgrund des trockenen Sommers kein Strom aus erneuerbaren Energien mit Herkunftsnachweis aus der Schweiz mehr verfügbar war.</t>
  </si>
  <si>
    <t>4) Daten werden ab dem Jahr 2018 erhoben</t>
  </si>
  <si>
    <t>3) Konzern Schweiz: Daten aus dem Personalsystem, aktuell ohne Daten zu 1’402 Personaleinheiten bzw. 5’582 Personen der Konzerngesellschaften B-Sped Logistics (Suisse) SA, Epsilon SA, Direct Mail Company AG, PubliBike AG, DESTINAS AG, KLARA Business AG, Relatra AG, BPS Speditions-Service AG, Arlesheim, BPS Speditions-Service AG, Pfungen, Walli-Trans AG, ASMIQ AG, notime AG, notime (Schweiz) AG, Dialog Verwaltungs-Data AG, SwissSign AG, Tresorit AG, Bring! Labs AG, Livesystems Group AG, Livesystems AG, Livesystems dooh AG, Iemoli Trasporti SA, InTraLog Hermes AG, InTraLog Overseas AG, Otto Schmidt AG, Steriplus AG, Stericenter SA, Mediwar AG, Marcel Blanc et Cie SA, Unblu Inc., Groupe T2i Suisse SA, Hacknowledge SA, Stella Brandenberger AG, axsana AG, eoscop AG, H. Bucher Internationale Transporte AG, adiacom AG, Kickbag GmbH</t>
  </si>
  <si>
    <t>3) ohne Lernpersonal</t>
  </si>
  <si>
    <t>3) Sans les apprentis</t>
  </si>
  <si>
    <t>3) Escluso il personale in formazione</t>
  </si>
  <si>
    <t>3) excluding trainees</t>
  </si>
  <si>
    <t>3) Eine Personaleinheit entspricht einer Vollzeitstelle</t>
  </si>
  <si>
    <t>3) Une unité de personnel correspond à un poste à plein temps.</t>
  </si>
  <si>
    <t>3) Un’unità di personale corrisponde a un impiego a tempo pieno</t>
  </si>
  <si>
    <t>3) One person corresponds to a full-time equivalent.</t>
  </si>
  <si>
    <t>3) Kader sind Mitarbeitende mit Leitungs-, Spezialisten- und höheren Sachbearbeitungsfunktionen.</t>
  </si>
  <si>
    <t>3) Les cadres sont des collaborateurs qui exercent des fonctions de direction ou de spécialistes ou d'autres fonctions supérieures.</t>
  </si>
  <si>
    <t>3) I quadri sono collaboratori con funzioni direttive, specialistiche o altamente qualificate.</t>
  </si>
  <si>
    <t>3) Members of management are employees with managerial, specialist and higher-level technical/clerical roles.</t>
  </si>
  <si>
    <t>Überweisungen Papier</t>
  </si>
  <si>
    <t>Virements papier</t>
  </si>
  <si>
    <t>Bonifici su carta</t>
  </si>
  <si>
    <t>Paper transfers</t>
  </si>
  <si>
    <t>4) Ab 01.01.2016 wurde die Produkteverantwortung für Privatkunden-Produkte von PostNetz an PostMail und PostLogistics übergeben, welche ab dem 1.1.2021 in das neue Segment Logistik-Services zusammengeführt wurden. PostNetz weist deshalb keinen Betriebsertrag reservierte Dienste mehr aus; er findet sich ausschliesslich im Betriebsertrag von Logistik-Services wieder.</t>
  </si>
  <si>
    <t>4) La responsabilité des produits pour la clientèle privée a été transférée de RéseauPostal à PostMail et à PostLogistics, unités rattachées au nouveau segment Services logistiques depuis le 1er janvier 2021. RéseauPostal ne présente donc plus de produits d’exploitation provenant des services réservés; ceux-ci figurent désormais exclusivement dans les produits d’exploitation de Services logistiques.</t>
  </si>
  <si>
    <t>4) A partire dal 1º gennaio 2016 la responsabilità dei prodotti per la clientela privata è stata trasferita da RetePostale a PostMail e PostLogistics, che dal 1º gennaio 2021 sono state accorpate nel nuovo segmento Servizi logistici. Di conseguenza RetePostale non presenta più la voce «Ricavi d’esercizio servizi riservati», che si trova esclusivamente nei ricavi d’esercizio di Servizi logistici.</t>
  </si>
  <si>
    <t>4) As of 1 January 2016, product responsibility for private customer products was transferred from PostalNetwork to PostMail and PostLogistics, which were merged into the new Logistics Services segment on 1 January 2021. PostalNetwork therefore no longer reports any operating income from reserved services; this is recognized solely in the operating income from Logistics Services.</t>
  </si>
  <si>
    <t>4) ohne Konzernleiter/-in</t>
  </si>
  <si>
    <t>4) sans le directeur général/la directrice générale</t>
  </si>
  <si>
    <t>4) direttore/direttrice escluso/a</t>
  </si>
  <si>
    <t>4) excluding CEO</t>
  </si>
  <si>
    <t>4) Wärmestrom ist im Gebäudestrom enthalten</t>
  </si>
  <si>
    <t>4) L'électricité thermique est comprise dans l'électricité des bâtiments.</t>
  </si>
  <si>
    <t>4) Il flusso termico è contenuto nella corrente dell'edificio.</t>
  </si>
  <si>
    <t>4) Electricity for heating is included in building electricity.</t>
  </si>
  <si>
    <t>1) Ab 2021 werden alle Sendungen der Post CO2-kompensiert unter dem «pro clima» Label versendet. Sämtliche anfallenden Zuschläge für die CO2-Kompensation übernimmt die Post vollumfänglich.</t>
  </si>
  <si>
    <t>1) Depuis 2021, tous les envois de la Poste sont expédiés avec le label «pro clima», qui fait l’objet d’une compensation des émissions de CO2. Tous les suppléments pour la compensation du CO2 sont entièrement pris en charge par la Poste.</t>
  </si>
  <si>
    <t>1) Dal 2021 tutti gli invii della Posta sono spediti con l’etichetta «pro clima» compensando le emissioni di CO₂ prodotte. Tutti i supplementi previsti per la compensazione di CO₂ sono interamente a carico della Posta.</t>
  </si>
  <si>
    <t>1) As of 2021, all Swiss Post consignments are carbon offset and sent with the “pro clima” label. The surcharges for the carbon offsetting are covered in full by Swiss Post.</t>
  </si>
  <si>
    <t>4) Anpassung Wert 2018 aufgrund nachträglicher Mutationen</t>
  </si>
  <si>
    <t>4) Ajustement de la valeur 2018 en raison de mutations ultérieures</t>
  </si>
  <si>
    <t>4) Adeguamento del valore 2018 a seguito di mutazioni successive</t>
  </si>
  <si>
    <t>4) Adjustment to the 2018 figure due to subsequent changes</t>
  </si>
  <si>
    <t xml:space="preserve">4) Ab dem Jahr 2012 besteht Swiss Post International nicht mehr als eigenständiges Segment. Die Werte wurden ab dem 1. Januar 2012 auf die Geschäftsbereiche PostMail und PostLogistics überführt, welche ab dem 1.1.2021 in das Segment Logistik-Services zusammengefasst wurden. </t>
  </si>
  <si>
    <t xml:space="preserve">4) Depuis 2012, Swiss Post International ne constitue plus un segment autonome. Les valeurs la concernant ont été répercutées à partir du 1er janvier 2012 sur les unités d’affaires PostMail et PostLogistics, lesquelles sont rattachées au segment Services logistiques depuis le 1er janvier 2021. </t>
  </si>
  <si>
    <t xml:space="preserve">4) Dall’anno 2012 Swiss Post International non è più un segmento a sé stante. Dal 1º gennaio 2012 i valori sono stati trasferiti alle unità PostMail e PostLogistics, che sono state raggruppate nel segmento Servizi logistici dal 1º gennaio 2021. </t>
  </si>
  <si>
    <t xml:space="preserve">4) As of 2012, Swiss Post International no longer exists as an independent segment. From 1 January 2012, the figures were transferred to the business units PostMail and PostLogistics, which were merged into the Logistics Services segment on 1 January 2021. </t>
  </si>
  <si>
    <t>4) Anpassung Wert 2018 aufgrund Änderung der Berechnungsmethode</t>
  </si>
  <si>
    <t>4) Ajustement de la valeur 2018 en raison de changement de la méthode de calcul</t>
  </si>
  <si>
    <t>4) Adeguamento del valore 2018 a seguito della modifica del metodo di calcolo</t>
  </si>
  <si>
    <t>4) Adjustment of the 2018 figure due to a change in the calculation method</t>
  </si>
  <si>
    <t>Überweisungen Diverse</t>
  </si>
  <si>
    <t>Virements divers</t>
  </si>
  <si>
    <t>Bonifici (altro)</t>
  </si>
  <si>
    <t>Miscellaneous transfers</t>
  </si>
  <si>
    <t>5) Im Jahr 2007 wurden Konzerngesellschaften der Segmente PostMail (DocumentServices AG, SwissSign AG) und PostLogistics (yellowworld AG) neu dem Segment Swiss Post Solutions zugeordnet.</t>
  </si>
  <si>
    <t>5) En 2007, des sociétés du groupe des segments PostMail (DocumentServices SA, SwissSign SA) et PostLogistics (yellowworld SA) ont été transférées au segment Swiss Post Solutions.</t>
  </si>
  <si>
    <t>5) Nel 2007 alcune società del gruppo dei segmenti PostMail (DocumentServices AG, SwissSign AG) e PostLogistics (yellowworld AG) sono state assegnate al segmento Swiss Post Solutions.</t>
  </si>
  <si>
    <t>5) In 2007, subsidiaries in the PostMail (DocumentServices AG, SwissSign AG) and PostLogistics (yellowworld AG) segments were assigned to the Swiss Post Solutions segment.</t>
  </si>
  <si>
    <t>5) Konzern Schweiz: Daten aus dem Personalsystem, aktuell ohne Daten zu 1’402 Personaleinheiten bzw. 5’582 Personen der Konzerngesellschaften B-Sped Logistics (Suisse) SA, Epsilon SA, Direct Mail Company AG, PubliBike AG, DESTINAS AG, KLARA Business AG, Relatra AG, BPS Speditions-Service AG, Arlesheim, BPS Speditions-Service AG, Pfungen, Walli-Trans AG, ASMIQ AG, notime AG, notime (Schweiz) AG, Dialog Verwaltungs-Data AG, SwissSign AG, Tresorit AG, Bring! Labs AG, Livesystems Group AG, Livesystems AG, Livesystems dooh AG, Iemoli Trasporti SA, InTraLog Hermes AG, InTraLog Overseas AG, Otto Schmidt AG, Steriplus AG, Stericenter SA, Mediwar AG, Marcel Blanc et Cie SA, Unblu Inc., Groupe T2i Suisse SA, Hacknowledge SA, Stella Brandenberger AG, axsana AG, eoscop AG, H. Bucher Internationale Transporte AG, adiacom AG, Kickbag GmbH</t>
  </si>
  <si>
    <t>4) Die Sachdaten von akquirierten Konzerngesellschaften werden rückwirkend für das Jahr 2021 und folgende Jahre nacherfasst, da 2021 als Basisjahr für die Ziele 2030/2040 dient.</t>
  </si>
  <si>
    <t>4) Les données concernant les sociétés du groupe acquises seront saisies rétroactivement pour 2021 et les années ultérieures, car l’année 2021 fait office d’année de référence pour les objectifs à l’horizon 2030-2040.</t>
  </si>
  <si>
    <t>4) I dati specifici delle società del gruppo acquisite vengono registrati a posteriori con effetto retroattivo per il 2021 e gli anni a seguire, in quanto il 2021 funge da anno di riferimento per gli obiettivi 2030/2040.</t>
  </si>
  <si>
    <t>4) Data for subsidiaries acquired was re-entered retroactively for 2021 onwards, as 2021 is used as the base year for the 2030/2040 targets.</t>
  </si>
  <si>
    <t>1) CO2-Effizienzsteigerung wird als Änderung der CO2-Äquivalente pro Kerndienstleistung im Geschäftsjahr verglichen zum Basisjahr gemessen. Die Kerndienstleistung ist je nach Bereich unterschiedlich definiert (Sendung, Transaktion, Personenkilometer/Kilometer, Personaleinheit etc.).</t>
  </si>
  <si>
    <t>1) L'amélioration de l'efficacité en matière de CO2 est mesurée en tant que variation des équivalents de CO2 par prestation de base au cours de l'exercice en comparaison avec l'année de référence.  La prestation de base est définie de manière différente selon les unités du groupe (envoi, transaction, kilomètre-voyageur/kilomètre, unité de personnel, etc.).</t>
  </si>
  <si>
    <t>1) L'incremento dell'efficienza in termini di CO2 è misurato come variazione degli equivalenti CO2 per ogni servizio di base nell'anno d'esercizio, rispetto all'anno di riferimento.  Il servizio di base è definito in modo diverso a seconda dell'unità (invio, transazione, passeggeri-chilometro/chilometri, unità di personale ecc.).</t>
  </si>
  <si>
    <t>1) CO2 efficiency improvement is measured as the change in energy consumption per core service in the financial year compared with the base year.  The core service is defined differently for each unit (item, transaction, passenger kilometres/kilometres, full-time equivalent, etc.)</t>
  </si>
  <si>
    <t>5) L'unité du groupe Swiss Post Solutions n'existant que depuis le 1er octobre 2007, aucune valeur ne peut être présentée pour les années précédentes.</t>
  </si>
  <si>
    <t>5) Poiché l'unità del gruppo Swiss Post Solutions esiste solo dal 1o ottobre 2007, non è possibile indicare nessun valore per gli anni precedenti.</t>
  </si>
  <si>
    <t>5) The Swiss Post Solutions Group unit has only existed since 1 October 2007, which is why no figures are reported for the preceding years.</t>
  </si>
  <si>
    <t>5) Wert 2018 angepasst</t>
  </si>
  <si>
    <t>5) Valeur 2018 ajustée</t>
  </si>
  <si>
    <t>5) Valore 2018 adattato</t>
  </si>
  <si>
    <t>5) 2018 figure adjusted</t>
  </si>
  <si>
    <t>Einzahlungen</t>
  </si>
  <si>
    <t>Versamenti</t>
  </si>
  <si>
    <t>Inpayments</t>
  </si>
  <si>
    <t>6) normaliserte Werte 2021, 2017, 2015 und 2013</t>
  </si>
  <si>
    <t>6) Valeurs normalisées 2021, 2017, 2015 et 2013.</t>
  </si>
  <si>
    <t>6) Valori 2021, 2017, 2015 e 2013 normalizzati</t>
  </si>
  <si>
    <t>6) Normalized figures for 2021, 2017, 2015 and 2013.</t>
  </si>
  <si>
    <t>6) Durchschnittslohn ohne Konzernleitung, Verwaltungsrat und Lernpersonal</t>
  </si>
  <si>
    <t>6) Salaire moyen sans Direction du groupe, Conseil d'administration et apprentis</t>
  </si>
  <si>
    <t>6) Salario medio senza Direzione del gruppo, Consiglio di amministrazione e personale in formazione.</t>
  </si>
  <si>
    <t>6) Average salary excluding Executive Management, the Board of Directors and trainees.</t>
  </si>
  <si>
    <t>5) Für den Stromverbrauch von akquirierten Gesellschaften werden keine HKN für vergangene Geschäftsjahre beschafft. Der Anteil an erneuerbarem Strom bei Treib- und Brennstoffen ist daher in den Jahren mit Nacherfassung nicht bei 100%, obwohl im entsprechenden Geschäftsjahr 100% des Stromverbrauchs innerhalb der Post aus erneuerbaren Quellen gedeckt wurde.</t>
  </si>
  <si>
    <t>5) Pour la consommation d’électricité des sociétés acquises, aucune garantie d’origine (GO) ne sera acquise pour les exercices précédents. Par conséquent, la part d’électricité renouvelable dans les carburants et combustibles d’origine fossile pour les années saisies après coup n’est pas égale à 100%, bien que les besoins en électricité au sein de la Poste aient été couverts exclusivement à partir d’énergies renouvelables durant l’exercice concerné.</t>
  </si>
  <si>
    <t>5) Per il consumo di energia elettrica delle società acquisite non vengono acquistate garanzie di origine per gli anni d’esercizio passati. Pertanto, per gli anni oggetto di rilevamento a posteriori, la quota di energia rinnovabile relativa a carburanti e combustibili fossili non è pari al 100%, anche se nel rispettivo anno d’esercizio il fabbisogno elettrico presso la Posta è stato coperto al 100% da energia proveniente da fonti rinnovabili.</t>
  </si>
  <si>
    <t>5) For electricity consumed by companies acquired, no guarantees of origin are purchased for past financial years. The total share of renewable electricity for fuels and combustibles is therefore not 100% in the years with subsequent data entries, even though 100% of electricity consumed within Swiss Post in the financial year in question was covered by renewable sources.</t>
  </si>
  <si>
    <t>2) Die konzernweite CO2-Effizienzsteigerung wird ab dem 2021 nicht mehr gemessen.</t>
  </si>
  <si>
    <t>2) L’augmentation de l’efficacité en matière de CO₂ à l’échelle du groupe n’est plus mesurée depuis 2021.</t>
  </si>
  <si>
    <t>2) L’incremento dell’efficienza di CO₂ a livello di gruppo non viene più misurato dal 2021.</t>
  </si>
  <si>
    <t>2) Group-wide CO2 efficiency improvements will no longer be measured from 2021.</t>
  </si>
  <si>
    <t>6) Die Kosten sind mit Durchschnittskosten pro Fall berechnet. Anzahl Berufsunfälle und Anzahl Bagatell-Unfälle multipliziert mit den durchschnittlichen Unfallkosten gemäss Berechnungen SUVA.</t>
  </si>
  <si>
    <t>6) Les coûts sont calculés à l'aide des coûts moyens par cas. Nombre d'accidents professionnels et nombre d'accidents-bagatelle, multipliés par les coûts moyens liés aux accidents selon calculs de la SUVA.</t>
  </si>
  <si>
    <t>6) Le spese sono calcolate sulla base dei costi medi per caso. Numero degli infortuni professionali e degli infortuni minori moltiplicato per i costi medi degli infortuni secondo i calcoli della SUVA.</t>
  </si>
  <si>
    <t>6) Costs are calculated based on the average costs per case. Number of occupational accidents and number of minor accidents multiplied by the average accident costs as per SUVA calculations.</t>
  </si>
  <si>
    <t>6) Konzern Schweiz mit Lehrvertrag Berufsbildung Post</t>
  </si>
  <si>
    <t>6) Groupe Suisse avec contrat d'apprentissage Formation professionnelle Poste</t>
  </si>
  <si>
    <t>6) Gruppo Svizzera contratto di tirocinio Formazione professionale Posta</t>
  </si>
  <si>
    <t>6) Switzerland Group with Swiss Post vocational training contract</t>
  </si>
  <si>
    <t>Summe</t>
  </si>
  <si>
    <t>Montant</t>
  </si>
  <si>
    <t>Totale</t>
  </si>
  <si>
    <t>Total</t>
  </si>
  <si>
    <t>7) Vorjahreswerte teilweise angepasst.</t>
  </si>
  <si>
    <t>7) Valeurs de l'exercice précédent partiellement adaptées.</t>
  </si>
  <si>
    <t>7) Valori dell'anno precedente in parte adattati.</t>
  </si>
  <si>
    <t>7) Previous year figures partly adjusted.</t>
  </si>
  <si>
    <t>7) Bis 2020 wurde der Minimallohn nach Gesamtarbeitsvertrag Post für einen 18 Jahre alten Mitarbeitenden ohne abgeschlossene Berufslehre ausgewiesen. Ab 2021 wird neu der Minimallohn zentrumsferner Gemeinden (Region D) ausgewiesen.</t>
  </si>
  <si>
    <t>7) Salaire minimal selon la CCT Poste pour un collaborateur de 18 ans n'ayant pas suivi d'apprentissage.</t>
  </si>
  <si>
    <t>7) Salario minimo secondo il Contratto collettivo di lavoro Posta per un collaboratore di 18 anni, senza apprendistato professionale concluso.</t>
  </si>
  <si>
    <t>7) Minimum salary under the Swiss Post collective employment contract for an 18-year-old employee who has not completed vocational training.</t>
  </si>
  <si>
    <t>3) Das Jahr 2021 dient als Basisjahr.</t>
  </si>
  <si>
    <t>3) L’année 2021 fait office de référence.</t>
  </si>
  <si>
    <t>3) Il 2021 funge da anno di riferimento.</t>
  </si>
  <si>
    <t>3) 2021 serves as base year.</t>
  </si>
  <si>
    <t>7) Gemäss Gesamtarbeitsvertrag (GAV) bleibt das Arbeitsverhältnis bei Krankheit oder Unfall während zwei Jahren bestehen. Bei Arbeitsverträgen gemäss Obligationenrecht kann das Arbeitsverhältnis nach sechs Monaten aufgelöst werden. Die Zahlen sind folglich nicht mit anderen Unternehmen vergleichbar.</t>
  </si>
  <si>
    <t>7) Selon la CCT, les rapports de travail sont maintenus durant 2 ans en cas de maladie ou d'accident. Pour les contrats de travail relevant du Code des obligations, les rapports de travail peuvent être résiliés après 6 mois. Ces chiffres ne peuvent donc pas être comparés avec ceux d'autres entreprises.</t>
  </si>
  <si>
    <t>7) In base al contratto collettivo di lavoro (CCL), in caso di malattia o infortunio il rapporto di lavoro rimane in essere per due anni. Nei rapporti di lavoro in base al Codice delle obbligazioni il contratto può essere disdetto dopo sei mesi. Quindi le cifre non sono paragonabili a quelle di altri datori di lavoro.</t>
  </si>
  <si>
    <t>7) Under the collective employment contract (CEC), the person concerned continues to be employed for a period of two years in the event of sickness or an accident. For employment contracts in accordance with the Swiss Code of Obligations, the employment relationship can be terminated after six months. As a result, the figures are not comparable with other companies.</t>
  </si>
  <si>
    <t>7) Anteil übernommene Lernende, die eine Anstellung wünschen</t>
  </si>
  <si>
    <t>7) Part des apprentis repris qui souhaitent être embauchés</t>
  </si>
  <si>
    <t>7) Percentuale di apprendisti ripresi che desiderano essere assunti.</t>
  </si>
  <si>
    <t>7) Percentage of trainees taken on who wish to be employed by the company</t>
  </si>
  <si>
    <t>Auszahlungsvolumen</t>
  </si>
  <si>
    <t>Volume des paiements</t>
  </si>
  <si>
    <t>Volume di pagamenti</t>
  </si>
  <si>
    <t>Outpayments</t>
  </si>
  <si>
    <t>8) Die Segmente Logistik-Services, Kommunikations-Services und Mobilitäts-Services wurden per 1.1.2021 neu gebildet. Funktionen und Management wurde ebenfalls neu gebildet (bis 2020 als Übrige bezeichnet). Für die Vorjahreswerte 2019 und früher bestehen keine Vergleichswerte.</t>
  </si>
  <si>
    <t>8) Les segments Services logistiques, Services de communication et Services de mobilité existent depuis le 1er janvier 2021. Les fonctions et le management ont également été nouvellement créés (désignés comme autres jusqu’en 2020). Il n’existe aucune valeur de comparaison pour les exercices 2019 et antérieurs.</t>
  </si>
  <si>
    <t>8) I segmenti Servizi logistici, Servizi di comunicazione e Servizi di mobilità sono stati creati il 1º gennaio 2021, come anche Funzioni e management (che assumeva la designazione di «Altro» fino al 2020). Non sussistono valori comparativi per i valori dell’anno precedente relativi al 2019 e agli esercizi precedenti.</t>
  </si>
  <si>
    <t>8) The Logistics Services, Communication Services and Mobility Services segments were newly created on 1 January 2021. “Functions and management” was also newly created (reported as “Other” until 2020). No comparative values are available for the previous years 2019 and earlier.</t>
  </si>
  <si>
    <t>8) Durchschnittliche Entschädigung Konzernleitungsmitglieder zu Durchschnittslohn Mitarbeitende.</t>
  </si>
  <si>
    <t>8) Indemnités moyennes des membres de la Direction du groupe par rapport au salaire moyen du personnel.</t>
  </si>
  <si>
    <t>8) Indennità medie dei membri della Direzione del gruppo rispetto al salario medio dei collaboratori.</t>
  </si>
  <si>
    <t>8) Average remuneration for members of Executive Management to average salary for employees.</t>
  </si>
  <si>
    <t>4) Zahlen für 2022 sind Erwartungswerte. Der definitive Wert wird erst im Q4-2023 verfügbar und im Folgejahr rapportiert.</t>
  </si>
  <si>
    <t>8) Ab 1.1.2016 ist die Personalkommission aufgehoben.</t>
  </si>
  <si>
    <t>8) La commission du personnel a été supprimée avec effet au 1er janvier 2016.</t>
  </si>
  <si>
    <t>8) La commissione del personale è stata soppressa a decorrere dal 1o gennaio 2016.</t>
  </si>
  <si>
    <t>8) The staff committee no longer exists as of 1 January 2016.</t>
  </si>
  <si>
    <t>8) Verschiebung der Funktion "Praxisintegriertes Bachelor-Studium" von Kaufm. Praktikum zu Informatiker/in ab 2020.</t>
  </si>
  <si>
    <t>8) Déplacement de la fonction «Cursus de bachelor avec pratique intégrée» vers stage commercial pratique d’informaticien/informaticienne depuis 2020.</t>
  </si>
  <si>
    <t>8) Trasferimento della funzione «Bachelor con integrazione pratica» da stage pratico di commercio a informatico/a dal 2020.</t>
  </si>
  <si>
    <t>8) “Bachelor’s degree with integrated practical training” function moved from “Commercial apprenticeship” to “IT technician” from 2020.</t>
  </si>
  <si>
    <t>Bezüge am Postomat (ohne Bancomat)</t>
  </si>
  <si>
    <t>Retraits au Postomat (sans Bancomat)</t>
  </si>
  <si>
    <t>Prelievi al Postomat (Bancomat escluso)</t>
  </si>
  <si>
    <t>Withdrawals at Postomats (excl. Bancomats)</t>
  </si>
  <si>
    <t>9) 2017 und 2018: Über die Freigabe (Anspruch und Bemessung) des Leistungsanteils der Konzernleiterin und des ehemaligen Leiter PostAuto wird erst nach Abschluss der Untersuchungen zu den Verletzungen des Subventionsrechts in der Sparte des regionalen Personenverkehrs entschieden.»</t>
  </si>
  <si>
    <t>9) 2017 et 2018: la décision relative à la part liée à la prestation de la directrice générale et de l’ancien responsable CarPostal (droit et calcul du montant) ne sera prise qu’au terme de l’enquête en cours sur les violations du droit des subventions commises dans le secteur du transport régional de voyageurs.</t>
  </si>
  <si>
    <t>9) 2017 e 2018: la decisione (diritto e calcolo dell’importo) circa la componente legata al rendimento della direttrice generale e dell’ex responsabile AutoPostale verrà assunta solo al termine delle indagini sulle violazioni del diritto alle sovvenzioni nell’ambito del traffico regionale viaggiatori.</t>
  </si>
  <si>
    <t>9) 2017 and 2018: A decision regarding the approval (entitlement and calculation) of the performance-related component for the former CEO and the former Head of PostBus will not be reached until the investigations into the subsidy law breaches in the regional passenger transport segment have been completed.</t>
  </si>
  <si>
    <t>2) Für die CO2-Emissionen von akquirierten Gesellschaften werden keine CO2-Kompensationszertifikate für vergangene Geschäftsjahre beschafft. Die Emissionen aus Gütertrasport können daher in den Jahren mit Nacherfassung grösser als die kompensierten Mengen sein, obwohl im entsprechenden Geschäftsjahr 100% der Emissionen des Gütertransports kompensiert wurden.</t>
  </si>
  <si>
    <t>9) Die Segmente Logistik-Services, Kommunikations-Services und Mobilitäts-Services sind seit dem 1.1.2021 operativ. Es bestehen keine Vorjahresvergleichswerte.</t>
  </si>
  <si>
    <t>9) Les segments Services logistiques, Services de communication et Services de mobilité sont opérationnels depuis le 1er janvier 2021. Il n’existe aucune valeur comparative des exercices précédents.</t>
  </si>
  <si>
    <t>9) I segmenti Servizi logistici, Servizi di comunicazione e Servizi di mobilità sono operativi dal 1º gennaio 2021. Non sussiste alcun valore comparativo per gli anni precedenti.</t>
  </si>
  <si>
    <t>9) The Logistics Services, Communication Services and Mobility Services segments have been operational since 1 January 2021. No comparative values are available for previous years.</t>
  </si>
  <si>
    <t>Auszahlungen in Poststellen/Agenturen</t>
  </si>
  <si>
    <t>Paiements dans les offices de poste/agences</t>
  </si>
  <si>
    <t>Pagamenti presso uffici postali / agenzie</t>
  </si>
  <si>
    <t>Outpayments at post offices/agencies</t>
  </si>
  <si>
    <t>ASR, ASR+, AS</t>
  </si>
  <si>
    <t>BPR, BPR+, BP</t>
  </si>
  <si>
    <t>PPR, PPR+, PP</t>
  </si>
  <si>
    <t>OSR, OSR+, OS</t>
  </si>
  <si>
    <t>1) Deckung gemäss IFRS (siehe Finanzbericht)</t>
  </si>
  <si>
    <t>1) Couverture selon les normes IFRS (voir rapport financier)</t>
  </si>
  <si>
    <t>1) Copertura secondo gli IFRS (cfr. Rapporto finanziario)</t>
  </si>
  <si>
    <t>1) Coverage in accordance with IFRS (see Financial Report).</t>
  </si>
  <si>
    <t>Rechtzeitig beim Empfänger ankommende Briefe Inland</t>
  </si>
  <si>
    <t>Lettres domestiques distribués dans les délais au destinataire</t>
  </si>
  <si>
    <t>Consegna puntuale dei lettere domestici al destinatario</t>
  </si>
  <si>
    <t>Domestic letters delivered punctually to the recipient</t>
  </si>
  <si>
    <t>1) Die konzernweite Energieeffizienzsteigerung wird ab dem 2021 nicht mehr gemessen.</t>
  </si>
  <si>
    <t>1) L’augmentation de l’efficacité énergétique à l’échelle du groupe n’est plus mesurée depuis 2021.</t>
  </si>
  <si>
    <t>1) L’aumento dell’efficienza energetica a livello di gruppo non viene più misurato dal 2021.</t>
  </si>
  <si>
    <t>1) Group-wide energy efficiency improvements will no longer be measured from 2021.</t>
  </si>
  <si>
    <t>1) Die Emissionszahlen sind mittels Emissionsfaktoren aus der Transportleistung bzw. dem Energieträgerverbrauch berechnet. Sie umfassen auch die Vorstufen der Energiebereitstellung.</t>
  </si>
  <si>
    <t>1) Les chiffres des émissions sont calculés à l'aide de coefficients d'émission propres aux prestations de transport et aux différentes sources d'énergie. Ils englobent les étapes préalables de la production d'énergie.</t>
  </si>
  <si>
    <t>1) Le emissioni sono calcolate per mezzo di fattori di emissione derivanti dai trasporti o dal consumo energetico. Esse comprendono anche i livelli precedenti della preparazione dell'energia.</t>
  </si>
  <si>
    <t>1) The emissions figures are calculated using emissions factors from transport services and energy consumption. They also include the upstream stages of the energy provision process</t>
  </si>
  <si>
    <t>1) Umfasst Personen in Elternschaft aufgrund von Mutterschutz, Elternurlaub, Geburt, Mutterschaftsurlaub und Adoption</t>
  </si>
  <si>
    <t>1) Comprend les personnes en congé de maternité, en congé parental, en congé d'accouchement, en congé de maternité et en adoption.</t>
  </si>
  <si>
    <t>1) Comprende le persone in congedo di maternità, congedo parentale, congedo per parto, congedo di maternità e adozione.</t>
  </si>
  <si>
    <t>1) Includes persons on maternity leave, parental leave, childbirth, maternity leave and adoption.</t>
  </si>
  <si>
    <t>Zahlungsanweisung</t>
  </si>
  <si>
    <t>Mandats de paiement</t>
  </si>
  <si>
    <t>Vaglia di pagamento</t>
  </si>
  <si>
    <t>Outpayment order</t>
  </si>
  <si>
    <t>2) Deckungsgrad gemäss. Art. 44 der Verordnung über die berufliche Alters-, Hinterlassenen- und Invalidenvorsorge (BVV2)</t>
  </si>
  <si>
    <t>2) Degré de couverture conformément à l'art. 44 de l'ordonnance sur la prévoyance professionnelle vieillesse, survivants et invalidité (OPP 2)</t>
  </si>
  <si>
    <t>2) Grado di copertura secondo l'art. 44 dell'Ordinanza sulla previdenza professionale per la vecchiaia, i superstiti e l'invalidità (OPP2)</t>
  </si>
  <si>
    <t>2) Level of cover in accordance with Art. 44 of the Ordinance on Occupational Retirement, Survivors' and Disability Pension Plans (BVV2).</t>
  </si>
  <si>
    <t>A-Post</t>
  </si>
  <si>
    <t>Courrier A</t>
  </si>
  <si>
    <t>Posta A</t>
  </si>
  <si>
    <t>A Mail</t>
  </si>
  <si>
    <t>2) Die Post stellt sicher, dass ihr gesamter Strombedarf innerhalb der Post durch Energien aus erneuerbaren Quellen gedeckt ist. Wo sie keinen erneuerbaren Strom aus der Grundversorgung beschafft oder selber produziert, kauft sie Herkunftsnachweise ein. Im Jahr 2022 wurde ausnahmsweise ein Teil des Strombedarfs durch europäischen Strom aus erneuerbaren Quellen gedeckt, da aufgrund des trockenen Sommers kein Strom aus erneuerbaren Energien mit Herkunftsnachweis aus der Schweiz mehr verfügbar war.</t>
  </si>
  <si>
    <t xml:space="preserve">2) Standards, Methoden und Emissionsfaktoren: Emissionsfaktoren stammen aus HBEFA 3.1, Mobitool Version 2010, ecoinvent 2.2 und weiteren statistischen Quellen. </t>
  </si>
  <si>
    <t xml:space="preserve">2) Normes, méthodes et coefficients d'émission: les coefficients d'émission sont tirés de HBEFA 3.1, Mobitool Version 2010, ecoinvent 2.2 et d'autres sources statistiques. </t>
  </si>
  <si>
    <t xml:space="preserve">2) Standard, metodi e fattori di emissione: i fattori di emissione provengono da HBEFA 3.1, Mobitool Version 2010, ecoinvent 2.2 e altre fonti statistiche. </t>
  </si>
  <si>
    <t xml:space="preserve">2) Standards, methods and emission factors: Emission factors are taken from HBEFA 3.1, Mobitool version 2010, ecoinvent 2.2 and other statistical sources. </t>
  </si>
  <si>
    <t>Check</t>
  </si>
  <si>
    <t>Chèques</t>
  </si>
  <si>
    <t>Assegni</t>
  </si>
  <si>
    <t>Cheque</t>
  </si>
  <si>
    <t>3) Deckungsgrad ungeprüft</t>
  </si>
  <si>
    <t xml:space="preserve">3) Degré de couverture non vérifié </t>
  </si>
  <si>
    <t xml:space="preserve">3) Grado di copertura non verificato </t>
  </si>
  <si>
    <t>3) Level of cover unaudited.</t>
  </si>
  <si>
    <t>B-Post</t>
  </si>
  <si>
    <t>Courrier B</t>
  </si>
  <si>
    <t>Posta B</t>
  </si>
  <si>
    <t>B Mail</t>
  </si>
  <si>
    <t>3) Herkunftsnachweise des CNG-Verbrauchs im Geschäftsreiseverkehr innerhalb der Post in der Schweiz.</t>
  </si>
  <si>
    <t>3) Certificats d’origine de la consommation de GNV pour les déplacements professionnels internes à la Poste en Suisse.</t>
  </si>
  <si>
    <t>3) Garanzie di origine per il consumo di CNG nei viaggi di lavoro presso la Posta in Svizzera.</t>
  </si>
  <si>
    <t>3) Guarantees of origin for CNG consumption relating to business travel conducted by Swiss Post within Switzerland.</t>
  </si>
  <si>
    <t>3) Das Basisjahr 2021 wird bei Akquisitionen / Verkäufen von Konzerngesellschaften oder bei Veränderungen in der Datenqualität rückwirkend neu berechnet, da das Jahr 2021 als Basisjahr für die Klimaziele 2030/2040 dient.</t>
  </si>
  <si>
    <t>Baranweisung</t>
  </si>
  <si>
    <t>Mandats en espèces</t>
  </si>
  <si>
    <t>Vaglia postale</t>
  </si>
  <si>
    <t>Cash outpayment order</t>
  </si>
  <si>
    <t>Rechtzeitig beim Empfänger ankommende Pakete Inland</t>
  </si>
  <si>
    <t>Colis domestiques distribués dans les délais au destinataire</t>
  </si>
  <si>
    <t>Consegna puntuale dei pacchi domestici al destinatario</t>
  </si>
  <si>
    <t>Domestic parcels delivered punctually to the recipient</t>
  </si>
  <si>
    <t>PostPac Priority</t>
  </si>
  <si>
    <t>PostPac PRIORITY</t>
  </si>
  <si>
    <t>PostPac Economy</t>
  </si>
  <si>
    <t>PostPac ECONOMY</t>
  </si>
  <si>
    <t xml:space="preserve">1) Erneuerbarer Strom und «naturemade star»-zertifizierter Strom ist für die Treibhausgasbilanz klimaneutral im Scope 2 bilanziert. </t>
  </si>
  <si>
    <t xml:space="preserve">1) L’électricité renouvelable et certifiée «naturemade star» portée au bilan des émissions de gaz à effet de serre du scope 2 est comptabilisée sans impact sur le climat. </t>
  </si>
  <si>
    <t xml:space="preserve">1) L’energia elettrica rinnovabile e certificata «naturemade star» è iscritta nel bilancio delle emissioni di gas serra dello Scope 2 con impatto climatico zero. </t>
  </si>
  <si>
    <t xml:space="preserve">1) Renewable electricity and “naturemade star”-certified electricity is reported as carbon neutral under scope 2 for greenhouse gas performance. </t>
  </si>
  <si>
    <t>Energiemix für den Fahrzeugantrieb</t>
  </si>
  <si>
    <t>Mix énergétique pour la propulsion du véhicule</t>
  </si>
  <si>
    <t>Mix energetico per l’azionamento dei veicoli</t>
  </si>
  <si>
    <t>Energy mix for vehicle propulsion</t>
  </si>
  <si>
    <t>2) Standards, Methoden und Emissionsfaktoren: GHG Protocol, Revised Edition (2004), ISO 14064–1. Als Konsolidierungsansatz wurde der Financial Control Approach gewählt. Die Emissionsfaktoren stammen aus der DEFRA (2021) oder IEA (2021) Datenbank</t>
  </si>
  <si>
    <t>2) Standards, méthodes et facteurs d’émission: protocole GHG, édition révisée (2004), ISO 14064–1. L’approche du contrôle financier (Financial Control Approach) a été choisie comme approche de consolidation. Les facteurs d’émission proviennent de la banque de données du DEFRA (2021) ou de l’AIE (2021).</t>
  </si>
  <si>
    <t>2) Standards, metodi e fattori di emissione; GHG Protocol, Revised Edition (2004), ISO 14064–1. Per il consolidamento è stato seguito il Financial Control Approach. I fattori di conversione sono desunti dalla banca dati del DEFRA (2021) o dell’IEA (2021).</t>
  </si>
  <si>
    <t>2) Standards, methods and emissions factors: GHG Protocol, Revised Edition (2004), ISO 14064–1. The Financial Control Approach was chosen as the consolidation approach. The emissions factors are taken from the DEFRA (2021) or IEA (2021) database.</t>
  </si>
  <si>
    <t>4) Daten werden ab dem Jahr 2018 erhoben.</t>
  </si>
  <si>
    <t>Headcount at Swiss Post Group</t>
  </si>
  <si>
    <t>1) Wertschöpfung = Betriebsergebnis + Personalaufwand + Abschreibungen – Ergebnis aus Verkauf von Sachanlagen, immatriellen Anlagen und Beteiligungen</t>
  </si>
  <si>
    <t>1) Valeur ajoutée = résultat d'exploitation + charges de personnel + amortissements – résultat de la vente d'immobilisations corporelles, d'immobilisations incorporelles et de participations</t>
  </si>
  <si>
    <t>1) Creazione di valore aggiunto = risultato d'esercizio + costi per il personale + ammortamenti – risultato dalla vendita di immobilizzazioni materiali, immateriali e partecipazioni.</t>
  </si>
  <si>
    <t>1) Value added = operating profit + personnel expenses + depreciation – gain/loss on the sale of tangible fixed assets, intangible assets and participations.</t>
  </si>
  <si>
    <t>Wartezeiten am Schalter bis zur Bedienung</t>
  </si>
  <si>
    <t>Temps d'attente au guichet</t>
  </si>
  <si>
    <t>Tempi di attesa allo sportello prima di essere serviti</t>
  </si>
  <si>
    <t>Waiting times at the counter until served</t>
  </si>
  <si>
    <t>5) Daten werden ab dem Jahr 2019 erhoben.</t>
  </si>
  <si>
    <t>1) Die Personalumfrage wurde per 2021 neu konzipiert. Das Bewertungsschema ist wie folgt: 0-49 Punkte; negative Bewertung; 50-64 Punkte: gering positive Bewertung; 65-84 Punkte: mittlere positive Bewertung; 85-100 Punkte: hohe positive Bewertung.</t>
  </si>
  <si>
    <t>1) Le sondage du personnel a été remanié en 2021. Le schéma d’évaluation est le suivant:                0 à 49 points: évaluation négative; 50 à 64 points: évaluation positive faible; 65 à 84 points: évaluation positive moyenne; 85 à 100 points: évaluation positive élevée.</t>
  </si>
  <si>
    <t>1) Nel 2021 il sondaggio del personale è stato rielaborato. Lo schema di valutazione è il seguente: 0–49 punti: valutazione negativa; 50–64 punti: valutazione sufficientemente positiva; 65–84 punti: valutazione mediamente positiva; 85–100 punti: valutazione molto positiva.</t>
  </si>
  <si>
    <t>1) The employee survey was redesigned in 2021. The rating scheme is as follows: 0–49 points: negative score; 50–64 points: low positive score; 65–84 points: average positive score; 85–100 points: high positive score.</t>
  </si>
  <si>
    <t>unbefristet</t>
  </si>
  <si>
    <t>permanent</t>
  </si>
  <si>
    <t>permanente</t>
  </si>
  <si>
    <t>2) Löhne, Gehälter, gesetzliche und freiwillige Sozialabgabe, Personalvorsorgeleistungen, Aus- und Weiterbildung</t>
  </si>
  <si>
    <t>2) Salaires, appointements, charges sociales légales et volontaires, prestations de prévoyance en faveur du personnel, formation et perfectionnement</t>
  </si>
  <si>
    <t>2) Salari, stipendi, oneri sociali legali e facoltativi, prestazioni previdenziali, formazione e perfezionamento.</t>
  </si>
  <si>
    <t>2) Wages, salaries, statutory and voluntary social security contributions, employee benefit payments, basic and advanced training.</t>
  </si>
  <si>
    <t>Anteil der Kundinnen und Kunden, die innerhalb 7 Minuten bedient werden</t>
  </si>
  <si>
    <t>Part de clients qui attendent moins de 7 minutes</t>
  </si>
  <si>
    <t>Percentuale dei clienti che attendono fino a 7 minuti</t>
  </si>
  <si>
    <t>Percentage of customers served within 7 minutes</t>
  </si>
  <si>
    <t>befristet</t>
  </si>
  <si>
    <t>temporaire</t>
  </si>
  <si>
    <t>temporaneo</t>
  </si>
  <si>
    <t xml:space="preserve">temporary </t>
  </si>
  <si>
    <t>3) Zinsen und ähnliche Aufwendungen</t>
  </si>
  <si>
    <t>3) Intérêts et charges similaires</t>
  </si>
  <si>
    <t>3) Interessi e altri oneri.</t>
  </si>
  <si>
    <t>3) Interest and similar expenses.</t>
  </si>
  <si>
    <t>Anteil der Kundinnen und Kunden, die innerhalb 10 Minuten bedient werden</t>
  </si>
  <si>
    <t>Part de clients qui attendent moins de 10 minutes</t>
  </si>
  <si>
    <t>Percentuale dei clienti che attendono fino a 10 minuti</t>
  </si>
  <si>
    <t>Percentage of customers served within 10 minutes</t>
  </si>
  <si>
    <t>7) Daten werden ab dem Jahr 2021 erhoben.</t>
  </si>
  <si>
    <t>3) keine Zeitvergleich möglich aufgrund Anpassung des Index</t>
  </si>
  <si>
    <t>4) Ertragssteuern</t>
  </si>
  <si>
    <t>4) Impôts sur le bénéfice</t>
  </si>
  <si>
    <t>4) Imposte sull'utile.</t>
  </si>
  <si>
    <t>4) Income taxes.</t>
  </si>
  <si>
    <t>8) Die Emissionen von eingekauften Gütern und Dienstleistungen wurden im Jahr 2022 erstmals mittels Emissionsfaktoren pro Warengruppen berechnet (Sekundärdaten) und für das Jahr 2021 rückwirkend nacherfasst. Mit der zu erwartenden Veränderung der Datengrundlage (z.B. Primärdaten) werden die Emissionen regelmässig neu berechnet und mögliche Unschärfen korrigiert, die auf eingeschränkte Datenqualität bzw. -verfügbarkeit zum Zeitpunkt der Berechnung zurückzuführen sind.</t>
  </si>
  <si>
    <t>4) 2022 neuer Index zum Thema "Zukunft des Arbeitsplatzes"</t>
  </si>
  <si>
    <t>Anteil Ausland</t>
  </si>
  <si>
    <t>Part à l'étranger</t>
  </si>
  <si>
    <t>Quota all' estero</t>
  </si>
  <si>
    <t>Share abroad</t>
  </si>
  <si>
    <t>5) Gewinnabführung an den Bund</t>
  </si>
  <si>
    <t>5) Versement du bénéfice à la Confédération</t>
  </si>
  <si>
    <t>5) Versamento dell'utile alla Confederazione.</t>
  </si>
  <si>
    <t>5) Profit transferred to the Confederation.</t>
  </si>
  <si>
    <t>9) Kopierpapier und Druckererzeugnisse werden ab 2021 unter "Eingekaufte Güter und Dienstleistungen" erfasst</t>
  </si>
  <si>
    <t>Logistik und Produktion</t>
  </si>
  <si>
    <t>Logistique et Production</t>
  </si>
  <si>
    <t>Logistica e produzione</t>
  </si>
  <si>
    <t>Logistics and production</t>
  </si>
  <si>
    <t>6) Die Position «Übrige» beinhaltet den Gewinn aus Verkauf von Sachanlagen, den Ertrag aus assozierten Gesellschaften, den Finanzertrag und die latenten Steuern.</t>
  </si>
  <si>
    <t>6) Le poste «Autres» comprend le bénéfice de la vente d'immobilisations corporelles, les produits des sociétés associées, les produits financiers et les impôts latents.</t>
  </si>
  <si>
    <t>6) La voce «altro» comprende gli utili conseguiti dalla vendita di beni materiali, i ricavi derivanti dalle società associate, i ricavi finanziari e le imposte latenti.</t>
  </si>
  <si>
    <t>6) The item “Other” includes the balance from disposals of tangible fixed assets, income from associates, financial income and deferred taxes.</t>
  </si>
  <si>
    <t>Zustellung</t>
  </si>
  <si>
    <t>Distribution</t>
  </si>
  <si>
    <t>Recapito</t>
  </si>
  <si>
    <t>Delivery</t>
  </si>
  <si>
    <t>7) Beantragte Gewinnverwendung der Post (siehe auch Geschäftsbericht Jahresabschluss Die Schweizerische Post AG)</t>
  </si>
  <si>
    <t>7) Proposition d'affectation des bénéfices de la Poste (voir aussi le rapport de gestion, comptes annuels de La Poste Suisse SA).</t>
  </si>
  <si>
    <t>7) Destinazione richiesta degli utili della Posta (vedi anche rapporto di gestione chiusura annuale La Posta Svizzera SA).</t>
  </si>
  <si>
    <t>7) Proposed appropriation of profit for Swiss Post (see also Swiss Post Ltd annual financial statements in Annual Report).</t>
  </si>
  <si>
    <t>Sortierung</t>
  </si>
  <si>
    <t>Tri</t>
  </si>
  <si>
    <t>Spartizione</t>
  </si>
  <si>
    <t>Sorting</t>
  </si>
  <si>
    <t>8) normaliserte Werte 2021, 2017, 2015 und 2013</t>
  </si>
  <si>
    <t>8) Valeurs normalisées 2017, 2015 et 2013</t>
  </si>
  <si>
    <t>8) Valori 2017, 2015 e 2013 normalizzati.</t>
  </si>
  <si>
    <t>8) Normalized figures for 2017, 2015 and 2013.</t>
  </si>
  <si>
    <t>Abwicklung Finanzdienstleistungen</t>
  </si>
  <si>
    <t>Fourniture de services financiers</t>
  </si>
  <si>
    <t>Esecuzione servizi finanziari</t>
  </si>
  <si>
    <t>Handling of financial services</t>
  </si>
  <si>
    <t>9) Vorjahreswerte teilweise angepasst.</t>
  </si>
  <si>
    <t>9) Valeurs de l'exercice précédent partiellement adaptées.</t>
  </si>
  <si>
    <t>9) Valori dell'anno precedente in parte adattati.</t>
  </si>
  <si>
    <t>9) Previous year figures partly adjusted.</t>
  </si>
  <si>
    <t>Trasporto persone</t>
  </si>
  <si>
    <t>Warentransport</t>
  </si>
  <si>
    <t>Trasporto merci</t>
  </si>
  <si>
    <t>Transport of goods</t>
  </si>
  <si>
    <t>Taggerechte Verarbeitung von Zahlungsbelegen von Filialen</t>
  </si>
  <si>
    <t>Traitement des justificatifs des filiales le jour prévu</t>
  </si>
  <si>
    <t>Trattamento puntuale di ricevute di pagamento di filiali</t>
  </si>
  <si>
    <t>Timely processing of payment slips at branches</t>
  </si>
  <si>
    <t>Weitere</t>
  </si>
  <si>
    <t>altri</t>
  </si>
  <si>
    <t>Taggerechte Verarbeitung von Zahlungsbelegen aus Zahlungsaufträgen</t>
  </si>
  <si>
    <t>Traitement des justificatifs des ordres de paiement le jour prévu</t>
  </si>
  <si>
    <t>Trattamento puntuale di ricevute di ordini di pagamento</t>
  </si>
  <si>
    <t>Timely processing of payment slips from payment orders</t>
  </si>
  <si>
    <t>Verkauf</t>
  </si>
  <si>
    <t>Vente</t>
  </si>
  <si>
    <t>Vendita</t>
  </si>
  <si>
    <t>Sales</t>
  </si>
  <si>
    <t>Taggerechte Verarbeitung von Zahlungsbelegen von Filialen (SCHAPO)</t>
  </si>
  <si>
    <t>Traitement des justificatifs des filiales (SCHAPO) le jour prévu</t>
  </si>
  <si>
    <t>Trattamento puntuale di ricevute di pagamento di filiali (SCHAPO)</t>
  </si>
  <si>
    <t>Timely processing of payment slips at branches (SCHAPO)</t>
  </si>
  <si>
    <t>Verkauf operativ</t>
  </si>
  <si>
    <t>Vente opérationnelle</t>
  </si>
  <si>
    <t>Vendite (livello operativo)</t>
  </si>
  <si>
    <t>Sales operations</t>
  </si>
  <si>
    <t>Marketing</t>
  </si>
  <si>
    <t>Informatik</t>
  </si>
  <si>
    <t>Informatique</t>
  </si>
  <si>
    <t>Informatica</t>
  </si>
  <si>
    <t>Infrastruktur und Sicherheit</t>
  </si>
  <si>
    <t>Infrastructure et sécurité</t>
  </si>
  <si>
    <t>Infrastruttura e sicurezza</t>
  </si>
  <si>
    <t>Infrastructure and security</t>
  </si>
  <si>
    <t>Betrieb und Unterhalt, Hausdienst</t>
  </si>
  <si>
    <t>Exploitation et entretien, service domestique</t>
  </si>
  <si>
    <t>Esercizio e manutenzione, servizio di manutenzione</t>
  </si>
  <si>
    <t>Operation and maintenance, facility services</t>
  </si>
  <si>
    <t>Management- und Konzernfunktionen</t>
  </si>
  <si>
    <t>Fonctions de gestion et fonctions Groupe</t>
  </si>
  <si>
    <t>Funzioni direttive e Funzioni Gruppo</t>
  </si>
  <si>
    <t>Management and Group functions</t>
  </si>
  <si>
    <t>Diverse Funktionen</t>
  </si>
  <si>
    <t>Autres fonctions</t>
  </si>
  <si>
    <t>Varie funzioni</t>
  </si>
  <si>
    <t>Miscellaneous functions</t>
  </si>
  <si>
    <t>User E-Post</t>
  </si>
  <si>
    <t>Aktive User Business KLARA</t>
  </si>
  <si>
    <t>Utilisateurs actifs KLARA Business</t>
  </si>
  <si>
    <t>Utenti attivi KLARA Business</t>
  </si>
  <si>
    <t>Active KLARA Business users</t>
  </si>
  <si>
    <t>Anzahl aktiver Stammgemeinschaften EPD</t>
  </si>
  <si>
    <t>Nombre de communautés de référence actives dans les DEP</t>
  </si>
  <si>
    <t>Numero di comunità di riferimento CIP attive</t>
  </si>
  <si>
    <t>Number of active EPR core communities</t>
  </si>
  <si>
    <t>Anzahl Poststellen mit Möglichkeit zur EPD-Eröffnung</t>
  </si>
  <si>
    <t>Nombre d’offices de poste offrant la possibilité d’ouvrir un DEP</t>
  </si>
  <si>
    <t>Numero di uffici postali con possibilità di apertura della CIP</t>
  </si>
  <si>
    <t>Number of post offices with the capacity to open an EPR</t>
  </si>
  <si>
    <t>Anzahl User IncaMail</t>
  </si>
  <si>
    <t>Nombre d’utilisateurs IncaMail</t>
  </si>
  <si>
    <t>Numero di utenti IncaMail</t>
  </si>
  <si>
    <t>Number of IncaMail users</t>
  </si>
  <si>
    <t>Männer</t>
  </si>
  <si>
    <t>Uomini</t>
  </si>
  <si>
    <t>Frauen</t>
  </si>
  <si>
    <t>Donne</t>
  </si>
  <si>
    <t>Beschäftigungsgrad</t>
  </si>
  <si>
    <t>Taux d'occupation</t>
  </si>
  <si>
    <t>Grado di occupazione</t>
  </si>
  <si>
    <t>Level of employment</t>
  </si>
  <si>
    <t>Beschäftigungsgrad unter 50%, gesamt</t>
  </si>
  <si>
    <t>Taux d'occupation inférieur à 50%, total</t>
  </si>
  <si>
    <t>Grado di occupazione inferiore al 50%, complessivo</t>
  </si>
  <si>
    <t>Less than 50% of regular working hours, total</t>
  </si>
  <si>
    <t>Beschäftigungsgrad 50% bis 89%, gesamt</t>
  </si>
  <si>
    <t>Taux d'occupation entre 50% et 89%, total</t>
  </si>
  <si>
    <t>Grado di occupazione dal 50% all'89%, complessivo</t>
  </si>
  <si>
    <t>50% to 89% of regular working hours, total</t>
  </si>
  <si>
    <t>Beschäftigungsgrad ab 90% (Vollzeit), gesamt</t>
  </si>
  <si>
    <t>Taux d'occupation égal ou supérieur à 90% (plein temps), total</t>
  </si>
  <si>
    <t>Grado di occupazione dal 90% (tempo pieno), complessivo</t>
  </si>
  <si>
    <t>90% of regular working hours and over (full time), total</t>
  </si>
  <si>
    <t>Beschäftigungsgrad Männer</t>
  </si>
  <si>
    <t>Taux d'occupation des hommes</t>
  </si>
  <si>
    <t>Grado di occupazione, uomini</t>
  </si>
  <si>
    <t>Level of employment, men</t>
  </si>
  <si>
    <t>Beschäftigungsgrad unter 50%, Männer</t>
  </si>
  <si>
    <t>Taux d'occupation inférieur à 50%, hommes</t>
  </si>
  <si>
    <t>Grado di occupazione inferiore al 50%, uomini</t>
  </si>
  <si>
    <t>Less than 50% of regular working hours, men</t>
  </si>
  <si>
    <t>Beschäftigungsgrad 50% bis 89%, Männer</t>
  </si>
  <si>
    <t>Taux d'occupation entre 50% et 89%, hommes</t>
  </si>
  <si>
    <t>Grado di occupazione dal 50% all'89%, uomini</t>
  </si>
  <si>
    <t>50% to 89% of regular working hours, men</t>
  </si>
  <si>
    <t>Beschäftigungsgrad ab 90% (Vollzeit), Männer</t>
  </si>
  <si>
    <t>Taux d'occupation égal ou supérieur à 90% (plein temps), hommes</t>
  </si>
  <si>
    <t>Grado di occupazione dal 90% (tempo pieno), uomini</t>
  </si>
  <si>
    <t>90% of regular working hours and over (full time), men</t>
  </si>
  <si>
    <t>Beschäftigungsgrad Frauen</t>
  </si>
  <si>
    <t>Taux d'occupation des femmes</t>
  </si>
  <si>
    <t>Grado di occupazione, donne</t>
  </si>
  <si>
    <t>Level of employment, women</t>
  </si>
  <si>
    <t>Beschäftigungsgrad unter 50%, Frauen</t>
  </si>
  <si>
    <t>Taux d'occupation inférieur à 50%, femmes</t>
  </si>
  <si>
    <t>Grado di occupazione inferiore al 50%, donne</t>
  </si>
  <si>
    <t>Less than 50% of regular working hours, women</t>
  </si>
  <si>
    <t>Beschäftigungsgrad 50% bis 89%, Frauen</t>
  </si>
  <si>
    <t>Taux d'occupation entre 50% et 89%, femmes</t>
  </si>
  <si>
    <t>Grado di occupazione dal 50% all'89%, donne</t>
  </si>
  <si>
    <t>50% to 89% of regular working hours, women</t>
  </si>
  <si>
    <t>1) Ab 1.1.2015 ist das Wirtschaftssponsoring expliziter Bestandteil des Sponsoring der Schweizerischen Post.</t>
  </si>
  <si>
    <t>1) Depuis le 1er janvier 2015, le sponsoring économique fait explicitement partie du sponsoring de la Poste.</t>
  </si>
  <si>
    <t>1) Dal 1o gennaio 2015 lo sponsoring nel settore economico fa esplicitamente parte dell'attività di sponsoring della Posta.</t>
  </si>
  <si>
    <t>1) Business sponsoring has been an explicit part of sponsoring at Swiss Post since 1 January 2015.</t>
  </si>
  <si>
    <t>Beschäftigungsgrad ab 90% (Vollzeit), Frauen</t>
  </si>
  <si>
    <t>Taux d'occupation égal ou supérieur à 90% (plein temps), femmes</t>
  </si>
  <si>
    <t>Grado di occupazione dal 90% (tempo pieno), donne</t>
  </si>
  <si>
    <t>90% of regular working hours and over (full time), women</t>
  </si>
  <si>
    <t>Beschäftigungsgrad Kader</t>
  </si>
  <si>
    <t>Taux d'occupation des cadres</t>
  </si>
  <si>
    <t>Grado di occupazione, quadri</t>
  </si>
  <si>
    <t>Level of employment, management</t>
  </si>
  <si>
    <t>Beschäftigungsgrad unter 90% (Teilzeit), Kader</t>
  </si>
  <si>
    <t>Taux d'occupation inférieur à 90% (temps partiel), cadres</t>
  </si>
  <si>
    <t>Grado di occupazione inferiore al 90% (tempo parziale), quadri</t>
  </si>
  <si>
    <t>Less than 90% of regular working hours (part-time), management</t>
  </si>
  <si>
    <t>1) Die Berechnungsmethode zur Ermittlung der Anzahl Orte mit Hausservice wurde 2019 angepasst. Die Werte 2016 - 2018 wurden vergleichbar gemacht.</t>
  </si>
  <si>
    <t>1) La méthode de calcul du nombre de localités proposant le service à domicile a été adaptée en 2019. Les valeurs 2016 - 2018 ont été rendues comparables.</t>
  </si>
  <si>
    <t>1) Il metodo di calcolo per determinare il numero di località con servizio a domicilio è stato modificato nel 2019. I valori 2016 - 2018 sono stati resi raffrontabili.</t>
  </si>
  <si>
    <t>1) The method for calculating the number of locations with home delivery service was changed in 2019. The figures for 2016 to 2018 were made comparable.</t>
  </si>
  <si>
    <t>Beschäftigungsgrad unter 90% (Teilzeit), Kader, Männer</t>
  </si>
  <si>
    <t>Taux d'occupation inférieur à 90% (temps partiel), cadres, hommes</t>
  </si>
  <si>
    <t>Grado di occupazione inferiore al 90% (tempo parziale), quadri, uomini</t>
  </si>
  <si>
    <t>Less than 90% of regular working hours (part-time), management, men</t>
  </si>
  <si>
    <t>2) Ab 2017 werden bei den Geschäftskundenstellen auch die von PostMail und PostLogistics mitberücksichtigt.</t>
  </si>
  <si>
    <t>2) Y compris les points clientèle commerciale de PostMail et de PostLogistics à compter de 2017</t>
  </si>
  <si>
    <t>2) Dal 2017 nei punti clienti commerciali sono considerati anche quelli di PostMail e PostLogistics.</t>
  </si>
  <si>
    <t>2) From 2017 the PostMail and PostLogistics counters for business customers are also taken into consideration.</t>
  </si>
  <si>
    <t>Beschäftigungsgrad unter 90% (Teilzeit), Kader, Frauen</t>
  </si>
  <si>
    <t>Taux d'occupation inférieur à 90% (temps partiel), cadres, femmes</t>
  </si>
  <si>
    <t>Grado di occupazione inferiore al 90% (tempo parziale), quadri, donne</t>
  </si>
  <si>
    <t>Less than 90% of regular working hours (part-time), management, women</t>
  </si>
  <si>
    <t>Befristet</t>
  </si>
  <si>
    <t>Provisoire</t>
  </si>
  <si>
    <t>Temporaneo</t>
  </si>
  <si>
    <t>Temporary</t>
  </si>
  <si>
    <t>Unbefristet</t>
  </si>
  <si>
    <t>Permanente</t>
  </si>
  <si>
    <t>Permanent</t>
  </si>
  <si>
    <t>Bundespersonalgesetz</t>
  </si>
  <si>
    <t>Loi sur le personnel de la Confédération</t>
  </si>
  <si>
    <t>Legge sul personale federale</t>
  </si>
  <si>
    <t>Public Officials Act</t>
  </si>
  <si>
    <t>1) Excluding trainees.</t>
  </si>
  <si>
    <t>GAV Post</t>
  </si>
  <si>
    <t>CCT Poste</t>
  </si>
  <si>
    <t>CCL Posta</t>
  </si>
  <si>
    <t>Swiss Post collective employment contract (CEC)</t>
  </si>
  <si>
    <t>2) Eine Personaleinheit entspricht einer Vollzeitstelle.</t>
  </si>
  <si>
    <t>2) Une unité de personnel correspond à un poste à plein temps.</t>
  </si>
  <si>
    <t>2) Un'unità di personale corrisponde a un impiego a tempo pieno.</t>
  </si>
  <si>
    <t>2) A full-time equivalent equates to one full-time position.</t>
  </si>
  <si>
    <t>Obligationenrecht</t>
  </si>
  <si>
    <t>Code des obligations</t>
  </si>
  <si>
    <t>Codice delle obbligazioni</t>
  </si>
  <si>
    <t>Swiss Code of Obligations</t>
  </si>
  <si>
    <t>3) Jahresdurchschnittswerte</t>
  </si>
  <si>
    <t>3) Valeurs annuelles moyennes</t>
  </si>
  <si>
    <t>3) Valori medi annuali.</t>
  </si>
  <si>
    <t>3) Annual averages.</t>
  </si>
  <si>
    <t>GAV Aushilfen</t>
  </si>
  <si>
    <t>CCT Auxiliaires</t>
  </si>
  <si>
    <t>CCL per il personale ausiliario</t>
  </si>
  <si>
    <t>CEC, auxiliary staff</t>
  </si>
  <si>
    <t>4) Die Anzahl Beschäftigte in den Kantonen basiert ab 2015 auf der STATENT-Auswertung.</t>
  </si>
  <si>
    <t>4) Depuis 2015, le nombre d'employés dans les cantons se fonde sur l'analyse STATENT.</t>
  </si>
  <si>
    <t>4) Dal 2015 il numero di collaboratori nei Cantoni si basa sul rilevamento STATENT.</t>
  </si>
  <si>
    <t>4) From 2015, the number of employees in the cantons is based on the STATENT report.</t>
  </si>
  <si>
    <t>GAV Konzerngesellschaften</t>
  </si>
  <si>
    <t>CCT sociétés du groupe</t>
  </si>
  <si>
    <t>CCL società del gruppo</t>
  </si>
  <si>
    <t>CEC, subsidiaries</t>
  </si>
  <si>
    <t>5) Die Definition der ländlichen Gemeinden wurde gemäss neuer Erhebung ab 2022 und rückwirkend für 2021 angepasst und richtet sich nach der Verordnung über Regionalpolitik des Seco. Die Werte 2004 bis 2020 sind nicht mit den Werten 2021 und 2022 vergleichbar.</t>
  </si>
  <si>
    <t>Post CH AG</t>
  </si>
  <si>
    <t>Poste CH SA</t>
  </si>
  <si>
    <t>Posta CH SA</t>
  </si>
  <si>
    <t>Post CH Ltd</t>
  </si>
  <si>
    <t>6) Konzern Schweiz: Daten aus dem Personalsystem, aktuell ohne Daten zu 1’402 Personaleinheiten bzw. 5’582 Personen der Konzerngesellschaften B-Sped Logistics (Suisse) SA, Epsilon SA, Direct Mail Company AG, PubliBike AG, DESTINAS AG, KLARA Business AG, Relatra AG, BPS Speditions-Service AG, Arlesheim, BPS Speditions-Service AG, Pfungen, Walli-Trans AG, ASMIQ AG, notime AG, notime (Schweiz) AG, Dialog Verwaltungs-Data AG, SwissSign AG, Tresorit AG, Bring! Labs AG, Livesystems Group AG, Livesystems AG, Livesystems dooh AG, Iemoli Trasporti SA, InTraLog Hermes AG, InTraLog Overseas AG, Otto Schmidt AG, Steriplus AG, Stericenter SA, Mediwar AG, Marcel Blanc et Cie SA, Unblu Inc., Groupe T2i Suisse SA, Hacknowledge SA, Stella Brandenberger AG, axsana AG, eoscop AG, H. Bucher Internationale Transporte AG, adiacom AG, Kickbag GmbH</t>
  </si>
  <si>
    <t>PostFinance AG</t>
  </si>
  <si>
    <t>PostFinance SA</t>
  </si>
  <si>
    <t>PostFinance Ltd</t>
  </si>
  <si>
    <t>7) Im Segment PostMail (ab 1.1.2021 neu Logistik-Services) wurde bei zwei Tochtergesellschaften die Berechnung des Durchschnittbestands auf Vollzeitstellen (ohne Lernpersonal) überarbeitet, was zur Anpassung des Werts 2018 führte. Im Segment PostAuto (ab 1.1.2021 neu Mobilitäts-Services) wurde das Jahr 2018 aufgrund der Klassifizierung der CarPostal-France-Gruppe als zur Veräusserung gehaltene Abgangsgruppe und aufgegebener Geschäftsbereich angepasst.</t>
  </si>
  <si>
    <t>7) Dans le segment PostMail (désormais rattaché à Services logistiques depuis le 1er janvier 2021), le calcul de l’effectif moyen en équivalents plein temps (hors apprentis) de deux filiales a été remanié, ce qui a entraîné l’ajustement de la valeur de 2018. Dans le segment CarPostal (désormais rattaché à Services logistiques depuis le 1er janvier 2021), la valeur de 2018 a été ajustée suite à la classification du groupe CarPostal France comme groupe sortant détenu en vue de la vente et activité abandonnée.</t>
  </si>
  <si>
    <t>7) Nel segmento PostMail (dal 1º gennaio 2021 Servizi logistici) il calcolo dell’organico medio di due società affiliate in impieghi a tempo pieno (escluso il personale in formazione) è stato modificato con un conseguente adeguamento del valore relativo al 2018. Nel segmento AutoPostale (dal 1º gennaio 2021 Servizi di mobilità) il 2018 è stato adattato per tenere conto della classificazione del gruppo CarPostal France come gruppo alienabile disponibile per la vendita e attività operativa cessata.</t>
  </si>
  <si>
    <t>7) In the PostMail segment (“Logistics Services” from 1 January 2021), the calculation of average FTEs (excluding trainees) was revised for two subsidiaries, resulting in the adjustment of the figure for 2018. In the PostBus segment (“Mobility Services” from 1 January 2021), the figures for 2018 have been adjusted due to the classification of the CarPostal France Group as a disposal group held for sale and a discontinued operation.</t>
  </si>
  <si>
    <t>Konzerngesellschaften Schweiz</t>
  </si>
  <si>
    <t>Sociétés du groupe en Suisse</t>
  </si>
  <si>
    <t>società del gruppo Svizzera</t>
  </si>
  <si>
    <t>Swiss subsidiaries</t>
  </si>
  <si>
    <t>8) Da die Betriebsstätten von SPS in Deutschland und Österreich keine eigenständige Rechtsform haben, werden die Mitarbeiter der Betriebsstätten zum Total Arbeitsplätze der Schweiz gerechnet. Die Anpassung erfolgt rückwirkend per 2019.</t>
  </si>
  <si>
    <t>8) Comme les sites de SPS en Allemagne et en Autriche n’ont pas de forme juridique autonome, les collaborateurs des sites d’exploitation sont comptabilisés dans le total des emplois en Suisse. L’adaptation a lieu avec effet rétroactif depuis 2019.</t>
  </si>
  <si>
    <t>8) Dato che i centri d’esercizio di SPS siti in Germania e Austria non hanno forma giuridica autonoma, il personale dei centri d’esercizio rientra nel computo totale degli impieghi in Svizzera. L’adeguamento si applica con effetto retroattivo al 2019.</t>
  </si>
  <si>
    <t>8) As the SPS operating facilities in Germany and Austria do not have an independent legal form, the employees of these operating facilities are included in the total number of jobs in Switzerland. The adjustment will be retroactive from 2019.</t>
  </si>
  <si>
    <t>Ausländisches Arbeitsrecht</t>
  </si>
  <si>
    <t>Droit du travail étranger</t>
  </si>
  <si>
    <t>Diritto del lavoro estero</t>
  </si>
  <si>
    <t>Foreign labour law</t>
  </si>
  <si>
    <t>Anzahl Lieferanten Schweiz</t>
  </si>
  <si>
    <t>Nombre de fournisseurs Suisse</t>
  </si>
  <si>
    <t>Numero di fornitori (Svizzera)</t>
  </si>
  <si>
    <t>Number of suppliers in Switzerland</t>
  </si>
  <si>
    <t>1) Der Briefpostindex beruht auf einem Warenkorb von A- und B-Post-Briefen bis 1 kg (ohne höherwertige Sendungen und Zusatzleistungen). Die Briefe werden nach der Häufigkeit gewichtet, wie sie die Schweizer Konsumentinnen und Konsumenten verschicken. Für den Vergleich werden in den einzelnen Ländern die Preise des (ehemaligen) staatlichen Postunternehmens herangezogen (Stichtag: 1. November 2021). Schweiz = 100 (definitionsgemäss).</t>
  </si>
  <si>
    <t>1) L'indice du prix des lettres repose sur un panier de prestations incluant les envois du courrier A et du courrier B jusqu'à 1 kg (sans les envois de grande valeur ni les prestations complémentaires). Les lettres sont pondérées selon la fréquence avec laquelle les consommateurs suisses les expédient. Pour la comparaison, on se fonde dans chaque pays sur les prix de l'actuel (ou ancien) opérateur national (jour de référence: 1er novembre 2018). Suisse = 100 (par définition).</t>
  </si>
  <si>
    <t>1) L'indice della posta-lettere si basa su un paniere di lettere della posta A e B fino a 1 kg (invii di valore superiore e prestazioni complementari esclusi), ovvero pondera le singole lettere a seconda della frequenza con cui i consumatori svizzeri le spediscono. Per il confronto nei singoli paesi si fa riferimento ai prezzi dell'(ex) azienda postale statale (giorno di riferimento: 1o novembre 2018). Svizzera = 100 (per definizione)</t>
  </si>
  <si>
    <t>1) The letter post index is based on a basket of A and B Mail letters up to 1 kg (excluding higher-valued items and value-added services). Letters are weighted according to the frequency with which they are actually sent by Swiss consumers. For the purpose of comparison, the prices of the (former) state-run postal company in the individual countries are used (reference date: 1 November 2018). Switzerland = 100 (by definition).</t>
  </si>
  <si>
    <t>Anzahl Lieferanten Ausland</t>
  </si>
  <si>
    <t>Nombre de fournisseurs Etranger</t>
  </si>
  <si>
    <t>Numero di fornitori (estero)</t>
  </si>
  <si>
    <t>Number of suppliers abroad</t>
  </si>
  <si>
    <t>2) Dem Paketpostindex liegen Pakete der Kategorien «PostPac Priority» und «PostPac Economy» der Gewichtsstufen 1 bis 20 kg zugrunde (ohne Zusatzleistungen). Die Pakete werden nach der Häufigkeit gewichtet, wie sie die Schweizer Konsumentinnen und Konsumenten verschicken. Für den Vergleich werden in den einzelnen Ländern die Preise des (ehemaligen) staatlichen Postunternehmens herangezogen (Stichtag: 1. November 2021). Schweiz = 100 (definitionsgemäss).</t>
  </si>
  <si>
    <t>2) L'indice du prix des colis repose sur les catégories «PostPac Priority» et «PostPac Economy» de 1 à 20 kg (sans les prestations complémentaires). Les colis de chaque catégorie sont pondérés selon la fréquence avec laquelle les consommateurs suisses les expédient. Pour la comparaison, on se fonde dans chaque pays sur les prix de l'actuel (ou ancien) opérateur national (jour de référence: 1er novembre 2018). Suisse = 100 (par définition).</t>
  </si>
  <si>
    <t>2) L'indice della posta-pacchi contempla pacchi delle categorie «PostPac Priority» e «PostPac Economy» delle classi di peso da 1 a 20 kg (senza prestazioni complementari). Esso pondera le singole tipologie di pacchi a seconda della frequenza con cui i consumatori svizzeri li spediscono. Per il confronto nei singoli paesi si fa riferimento ai prezzi dell'(ex) azienda postale statale (giorno di riferimento: 1o novembre 2018). Svizzera = 100 (per definizione)</t>
  </si>
  <si>
    <t>2) The parcel post index is based on parcels in the “PostPac Priority” and “PostPac Economy” categories with weight classes of 1–20 kg (excluding value-added services). The individual parcel categories are weighted according to the frequency with which they are actually used by Swiss consumers. For the purpose of comparison, the prices of the (former) state-run postal company in the individual countries are used (reference date: 1 November 2018). Switzerland = 100 (by definition).</t>
  </si>
  <si>
    <t>Beschaffungsvolumen Konzern</t>
  </si>
  <si>
    <t>Volume d'achats du groupe</t>
  </si>
  <si>
    <t>Volumi d'acquisto del gruppo</t>
  </si>
  <si>
    <t>Group procurement volumes</t>
  </si>
  <si>
    <t>3) Vorjahreswerte teilweise angepasst.</t>
  </si>
  <si>
    <t>3) Valeurs de l'exercice précédent partiellement adaptées.</t>
  </si>
  <si>
    <t>3) Valori dell'anno precedente in parte adattati.</t>
  </si>
  <si>
    <t>3) Previous year figures partly adjusted.</t>
  </si>
  <si>
    <t>Geschäftsfeld Kommunikation &amp; Logistik</t>
  </si>
  <si>
    <t>Grosskunden</t>
  </si>
  <si>
    <t>Kleine/Mittlere Kunden</t>
  </si>
  <si>
    <t>Privatkunden</t>
  </si>
  <si>
    <t>Geschäftsfeld Finanzdienstleistungen</t>
  </si>
  <si>
    <t>Geschäftsfeld Personenverkehr</t>
  </si>
  <si>
    <t>Clients privés</t>
  </si>
  <si>
    <t>Clienti privati</t>
  </si>
  <si>
    <t>Private customers</t>
  </si>
  <si>
    <t>1) Rechtzeitig beim Empfänger bedeutet bei der A-Post (Priority) am Folgetag und bei der B-Post (Economy) spätestens am dritten Arbeitstag nach Aufgabe.</t>
  </si>
  <si>
    <t>1) Distribué dans les délais au destinataire signifie, pour le courrier A (Priority), le jour ouvrable suivant le dépôt et, pour le courrier B (Economy), au plus tard trois jours ouvrables après le dépôt.</t>
  </si>
  <si>
    <t>1) Gli invii giungono al destinatario puntualmente quando vengono recapitati il giorno successivo nel caso della Posta A (Priority) o entro il terzo giorno lavorativo successivo all'impostazione nel caso della Posta B (Economy).</t>
  </si>
  <si>
    <t>1) Punctual delivery means the next day for A Mail (Priority) and no later than the third working day after mailing for B Mail (Economy).</t>
  </si>
  <si>
    <t>Kleine und mittlere Unternehmen</t>
  </si>
  <si>
    <t>Petites et moyennes entreprises</t>
  </si>
  <si>
    <t>Piccole e medie imprese</t>
  </si>
  <si>
    <t>Small and medium-sized enterprises</t>
  </si>
  <si>
    <t>Freizeitreisende (PostAuto)</t>
  </si>
  <si>
    <t>Voyageurs de loisirs (CarPostal)</t>
  </si>
  <si>
    <t>Turisti (AutoPostale)</t>
  </si>
  <si>
    <t>Leisure travellers (PostBus)</t>
  </si>
  <si>
    <t>Pendler (PostAuto)</t>
  </si>
  <si>
    <t>Clients pendulaires (CarPostal)</t>
  </si>
  <si>
    <t>Pendolari (AutoPostale)</t>
  </si>
  <si>
    <t>Commuters (PostBus)</t>
  </si>
  <si>
    <t>Geschäftskunden</t>
    <phoneticPr fontId="14" type="noConversion"/>
  </si>
  <si>
    <t>Clients commerciaux</t>
  </si>
  <si>
    <t>Clienti commerciali</t>
  </si>
  <si>
    <t>Business customers</t>
  </si>
  <si>
    <t>Historische Daten</t>
  </si>
  <si>
    <t>1) Ab dem Jahr 2012 besteht Swiss Post International nicht mehr als eigenständiges Segment. Die Werte wurden ab dem 1. Januar 2012 auf die Geschäftsbereiche PostMail und PostLogistics überführt. PostMail und PostLogistics wurden ab dem 1.1.2021 im Segment Logistik-Services zusammengeführt.</t>
  </si>
  <si>
    <t>1) Depuis 2012, Swiss Post International ne constitue plus un segment autonome. Les valeurs la concernant ont été répercutées sur les unités d'affaires PostMail et PostLogistics depuis le 1er janvier 2012. PostMail et PostLogistics font partie du segment Services logistiques depuis le 1er janvier 2021.</t>
  </si>
  <si>
    <t>1) Dall’anno 2012 Swiss Post International non è più un segmento a sé stante. Dal 1º gennaio 2012 i valori sono stati trasferiti alle unità PostMail e PostLogistics. Dal 1º gennaio 2021 PostMail e PostLogistics sono comprese nel segmento Servizi logistici.</t>
  </si>
  <si>
    <t>1) As of 2012, Swiss Post International no longer exists as an independent segment. The figures were transferred to the business units PostMail and PostLogistics on 1 January 2012. PostMail and PostLogistics were merged into the Logistics Services segment on 1 January 2021.</t>
  </si>
  <si>
    <t>1) Die Wartezeiten werden vom Geschäftsbereich PostNetz in 290 Filialen mit Hilfe des Ticketsystems erhoben.</t>
  </si>
  <si>
    <t>1) Les temps d'attente sont relevés par l'unité RéseauPostal au moyen du système de tickets dans 290 filiales.</t>
  </si>
  <si>
    <t>1) I tempi di attesa sono rilevati dall'unità RetePostale in 290 filiali con l'ausilio del sistema ticket.</t>
  </si>
  <si>
    <t>1) The waiting times are compiled by the PostalNetwork business unit in 290 branches using data from the ticket system.</t>
  </si>
  <si>
    <t xml:space="preserve">2) Aufgrund der Corona Pandemie waren im 2021 die Ticketsysteme in den meisten Filialen während Monaten ausgeschaltet. Eine aussagekräftige Auswertung ist demzufolge nicht möglich. </t>
  </si>
  <si>
    <t xml:space="preserve">2) En raison de la pandémie de COVID-19, les systèmes à tickets ont été désactivés pendant plusieurs mois en 2021 dans la majorité des filiales. Il n’est donc pas possible d’effectuer une analyse représentative. </t>
  </si>
  <si>
    <t xml:space="preserve">2) A causa della pandemia di coronavirus, nel 2021 i sistemi di gestione delle code sono stati disattivati per diversi mesi nella maggior parte delle filiali. Pertanto, non è possibile fornire una valutazione attendibile. </t>
  </si>
  <si>
    <t xml:space="preserve">2) Due to the coronavirus pandemic, the ticketing systems in most branches were deactivated for several months in 2021. This makes a meaningful analysis impossible. </t>
  </si>
  <si>
    <t>1) Vorjahreswerte teilweise angepasst.</t>
  </si>
  <si>
    <t>1) Valeurs de l'exercice précédent partiellement adaptées.</t>
  </si>
  <si>
    <t>1) Valori dell'anno precedente in parte adattati.</t>
  </si>
  <si>
    <t>1) Previous year figures partly adjusted.</t>
  </si>
  <si>
    <t>1) Taggerechte Verarbeitung: Schriftliche Zahlungsaufträge werden am gleichen Tag verarbeitet, an dem sie per Post in einem der Operations Center von PostFinance eintreffen. Zahlungen in den Filialen werden einen Arbeitstag, nachdem die Einzahlung in einer Filiale getätigt wurde, verarbeitet.</t>
  </si>
  <si>
    <t>1) Traitement le jour prévu: les ordres de paiement écrits sont traités le jour de leur réception par courrier dans l'un des Operations Centers de PostFinance. Les paiements effectués dans les filiales sont traités le jour ouvrable suivant le versement dans une filiale.</t>
  </si>
  <si>
    <t>1) Trattamento puntuale: gli ordini di pagamento scritti vengono elaborati lo stesso giorno in cui giungono per posta a un Operations Center di PostFinance. I pagamenti effettuati a una filiale vengono elaborati il giorno lavorativo consecutivo al versamento alla filiale.</t>
  </si>
  <si>
    <t>1) Timely processing: Written payment orders are processed on the same day they arrive by post at one of PostFinance's Operations Centers. Payments at branches are processed one working day after the inpayment is made at a branch.</t>
  </si>
  <si>
    <t>2) Die Erhebung zur Taggerechten Verarbeitung von Zahlungsbelegen wurde 2018 eingestellt.</t>
  </si>
  <si>
    <t>2) Le relevé du traitement le jour prévu de titres de paiement a été suspendu en 2018.</t>
  </si>
  <si>
    <t>2) Nel 2018 il rilevamento circa il trattamento puntuale di giustificativi di pagamento è stato sospeso.</t>
  </si>
  <si>
    <t>2) Collection of data regarding timely processing of payment slips was discontinued in 2018.</t>
  </si>
  <si>
    <t>1) Im ausgewiesenen Cashflow 2012 - 2021 werden die Veränderungen der Positionen aus Finanzdienstleistungen (PostFinance) berücksichtigt.</t>
  </si>
  <si>
    <t>1) Le cash-flow 2012–2021 tient compte des variations de postes des services financiers (PostFinance).</t>
  </si>
  <si>
    <t>1) Il cash flow 2012–2021 presentato prende ora in considerazione le variazioni delle voci relative ai servizi finanziari (PostFinance).</t>
  </si>
  <si>
    <t>1) The changes in the items from financial services (PostFinance) are reported in the statement of cash flows for 2012 to 2021.</t>
  </si>
  <si>
    <t>2) Vorjahreswerte teilweise angepasst.</t>
  </si>
  <si>
    <t>2) Valeurs de l'exercice précédent partiellement adaptées.</t>
  </si>
  <si>
    <t>2) Valori dell'anno precedente in parte adattati.</t>
  </si>
  <si>
    <t>2) Previous year figures partly adjusted.</t>
  </si>
  <si>
    <t>1) Depuis 2012, Swiss Post International ne constitue plus un segment autonome. Les valeurs la concernant ont été répercutées sur les unités d'affaires PostMail et PostLogistics à partir du 1er janvier 2012. PostMail et PostLogistics font partie du segment Services logistiques depuis le 1er janvier 2021.</t>
  </si>
  <si>
    <t>2) Die Definition der Briefmenge wurde 2021 angepasst. Sie enthält neu auch die Briefmenge des grenzüberschreitenden Verkehrs und wird 2021 erstmals in dieser Form ausgewiesen. Für die Jahre 2017 bis 2020 wurden die Werte rückwirkend ermittelt.</t>
  </si>
  <si>
    <t>2) La définition du volume des lettres a été modifiée en 2021. Ce volume inclut désormais les lettres internationales et est présenté sous cette forme pour la première fois en 2021. Pour les années 2017 à 2020, les valeurs ont été calculées rétroactivement.</t>
  </si>
  <si>
    <t>2) La definizione del volume delle lettere è stata modificata nel 2021. Questo volume include ora anche il volume delle lettere del traffico transfrontaliero ed è stato rendicontato in questo modo per la prima volta nel 2021. I valori relativi agli anni dal 2017 al 2020 sono stati rilevati retroattivamente.</t>
  </si>
  <si>
    <t>2) The definition of letter volumes was modified in 2021. It now also includes letter volumes from cross-border traffic and will be reported for the first time in this form in 2021. For the years 2017 to 2020, the values have been determined retroactively.</t>
  </si>
  <si>
    <t>1) Escluso il personale in formazione.</t>
  </si>
  <si>
    <t>3) Valori medi annuali</t>
  </si>
  <si>
    <t>3) Annual averages</t>
  </si>
  <si>
    <t>4) Im Segment PostMail (ab dem 1.1.2021 neu im Segment Logistik-Services enthalten) wurde bei zwei Tochtergesellschaften die Berechnung des Durchschnittbestands auf Vollzeitstellen (ohne Lernpersonal) überarbeitet, was zur Anpassung des Werts 2018 führte. Im Segment PostAuto (ab dem 1.2021 neu im Segement Mobilitäts-Services enthalten) wurde das Jahr 2018 aufgrund der Klassifizierung der CarPostal-France-Gruppe als zur Veräusserung gehaltene Abgangsgruppe und aufgegebener Geschäftsbereich angepasst.</t>
  </si>
  <si>
    <t>4) Dans le segment PostMail (désormais rattaché au segment Services logistiques depuis le 1er janvier 2021), le calcul de l’effectif moyen en équivalents plein temps (hors apprentis) de deux filiales a été remanié, ce qui a entraîné l’ajustement de la valeur de 2018. Dans le segment CarPostal (désormais rattaché au segment Services de mobilité depuis le 1er janvier 2021), la valeur de 2018 a été ajustée suite à la classification du groupe CarPostal France comme groupe sortant détenu en vue de la vente et activité abandonnée.</t>
  </si>
  <si>
    <t>4) Nel segmento PostMail (compreso nel segmento Servizi logistici dal 1º gennaio 2021) il calcolo dell’organico medio di due società affiliate in impieghi a tempo pieno (escluso il personale in formazione) è stato modificato con un conseguente adeguamento del valore relativo al 2018. Nel segmento AutoPostale (compreso nel segmento Servizi di mobilità dal 1º gennaio 2021) il 2018 è stato adattato per tenere conto della classificazione del gruppo CarPostal France come gruppo alienabile disponibile per la vendita e attività operativa cessata.</t>
  </si>
  <si>
    <t>4) In the PostMail segment (part of the “Logistics Services” segment from 1 January 2021), the calculation of average FTEs (excluding trainees) was revised for two subsidiaries, resulting in the adjustment of the figure for 2018. In the PostBus segment (part of the “Mobility Services” segment from 1 January 2021), the figures for 2018 have been adjusted due to the classification of the CarPostal France Group as a disposal group held for sale and a discontinued operation.</t>
  </si>
  <si>
    <t>6) Die Segmente Logistik-Services, Kommunikations-Services und Mobilitäts-Services wurden per 1.1.2021 neu gebildet. Funktionen und Management wurde ebenfalls neu gebildet (bis 2020 als Übrige bezeichnet). Für die Vorjahreswerte 2019 und früher bestehen keine Vergleichswerte.</t>
  </si>
  <si>
    <t>6) Les segments Services logistiques, Services de communication et Services de mobilité existent depuis le 1er janvier 2021. Les fonctions et le management ont également été nouvellement créés (désignés comme autres jusqu’en 2020). Il n’existe aucune valeur de comparaison pour les exercices de 2019 et antérieurs.</t>
  </si>
  <si>
    <t>6) I segmenti Servizi logistici, Servizi di comunicazione e Servizi di mobilità sono stati creati il 1º gennaio 2021, come anche Funzioni e management (che assumeva la designazione di «Altro» fino al 2020). Non sussistono valori comparativi per i valori dell’anno precedente relativi al 2019 e agli esercizi precedenti.</t>
  </si>
  <si>
    <t>6) The Logistics Services, Communication Services and Mobility Services segments were newly created on 1 January 2021. “Functions and management” was also newly created (reported as “Other” until 2020). No comparative values are available for the previous years 2019 and earlier.</t>
  </si>
  <si>
    <t>4) Kader sind Mitarbeitende mit Leitungs-, Spezialisten- und höheren Sachbearbeitungsfunktionen.</t>
  </si>
  <si>
    <t>4) Les cadres sont des collaborateurs qui exercent des fonctions de direction ou de spécialistes ou d'autres fonctions supérieures.</t>
  </si>
  <si>
    <t>4) I quadri sono collaboratori con funzioni direttive, specialistiche o altamente qualificate.</t>
  </si>
  <si>
    <t>4) Members of management are employees with managerial, specialist and higher-level technical/clerical roles.</t>
  </si>
  <si>
    <t>3) Eine Personaleinheit entspricht einer Vollzeitstelle.</t>
  </si>
  <si>
    <t>3) Un'unità di personale corrisponde a un impiego a tempo pieno.</t>
  </si>
  <si>
    <t>3) A full-time equivalent equates to one full-time position.</t>
  </si>
  <si>
    <t>4) Im Segment PostMail (ab dem 1.1.2021 neu im Segment Logistik-Services enthalten) wurde bei zwei Tochtergesellschaften die Berechnung des Durchschnittbestands auf Vollzeitstellen (ohne Lernpersonal) überarbeitet, was zur Anpassung des Werts 2018 führte. Im Segment PostAuto (ab dem 1.1.2021 neu im Segment Mobilitäts-Services enthalten) wurde das Jahr 2018 aufgrund der Klassifizierung der CarPostal-France-Gruppe als zur Veräusserung gehaltene Abgangsgruppe und aufgegebener Geschäftsbereich angepasst.</t>
  </si>
  <si>
    <t>6) Anlässlich der Berichterstattung fürs Jahr 2013 wurden die entsprechenden Zahlen rückwirkend bis 2010 korrigiert, da die Presto Presse-Vertriebs AG bislang unter GAV Aushilfen ausgewiesen wurde.</t>
  </si>
  <si>
    <t>6) Pour le rapport de l'exercice 2013, les chiffres correspondants ont été corrigés rétroactivement jusqu'en 2010, car Presto Presse-Vertriebs AG figurait jusqu'alors sous CCT Auxiliaires.</t>
  </si>
  <si>
    <t>6) In occasione del rapporto per l'anno 2013 le cifre corrispondenti sono state corrette retroattivamente fino al 2010 in quanto Presto Presse-Vertriebs AG figurava nel CCL per personale ausiliario fino a tale data.</t>
  </si>
  <si>
    <t>6) For the 2013 annual reporting, the corresponding figures were corrected with retroactive effect to 2010 as Presto Presse-Vertriebs AG was previously reported under CEC, auxiliary staff.</t>
  </si>
  <si>
    <t>7) Post CH AG ohne in- und ausländische Konzerngesellschaften</t>
  </si>
  <si>
    <t>7) Poste CH SA sans les sociétés du groupe en Suisse et à l'étranger.</t>
  </si>
  <si>
    <t>7) Posta CH SA senza le società del gruppo in Svizzera e all'estero</t>
  </si>
  <si>
    <t>7) Post CH Ltd excluding domestic and foreign subsidiaries</t>
  </si>
  <si>
    <t>8) PostFinance AG inkl. Debitoren Service AG und Twint AG</t>
  </si>
  <si>
    <t>8) PostFinance SA, y compris Débiteurs Services SA et Twint SA.</t>
  </si>
  <si>
    <t>8) PostFinance SA incl. Servizi debitori SA e TWINT AG.</t>
  </si>
  <si>
    <t>8) PostFinance Ltd including Debtors Service Ltd and TWINT Ltd.</t>
  </si>
  <si>
    <t>9) Konzern Schweiz: Daten aus dem Personalsystem, aktuell ohne Daten zu 1’402 Personaleinheiten bzw. 5’582 Personen der Konzerngesellschaften B-Sped Logistics (Suisse) SA, Epsilon SA, Direct Mail Company AG, PubliBike AG, DESTINAS AG, KLARA Business AG, Relatra AG, BPS Speditions-Service AG, Arlesheim, BPS Speditions-Service AG, Pfungen, Walli-Trans AG, ASMIQ AG, notime AG, notime (Schweiz) AG, Dialog Verwaltungs-Data AG, SwissSign AG, Tresorit AG, Bring! Labs AG, Livesystems Group AG, Livesystems AG, Livesystems dooh AG, Iemoli Trasporti SA, InTraLog Hermes AG, InTraLog Overseas AG, Otto Schmidt AG, Steriplus AG, Stericenter SA, Mediwar AG, Marcel Blanc et Cie SA, Unblu Inc., Groupe T2i Suisse SA, Hacknowledge SA, Stella Brandenberger AG, axsana AG, eoscop AG, H. Bucher Internationale Transporte AG, adiacom AG, Kickbag GmbH</t>
  </si>
  <si>
    <t>1) Die Werte ab 1.1.2016 entsprechen dem beschaffungsrelevanten Rechnungsvolumen mit externen Kreditoren (ohne Steuern, Zölle, SUVA, Pensionskasse, sonstige Vorsorge, öffentliche Gebühren, Durchlaufposten, CPD-Sammelkonten, usw.).</t>
  </si>
  <si>
    <t>1) Les valeurs à partir du 1er janvier 2016 correspondent au volume de facturation des achats avec créanciers externes (hors impôts, droits de douane, Suva, caisse de pensions, autre prévoyance, redevances publiques, postes transitoires, comptes collecteurs pour créanciers occasionnels, etc.).</t>
  </si>
  <si>
    <t>1)  I valori dal 1o gennaio 2016 corrispondono al volume di fatturazione per gli acquisti con i clienti esterni (senza imposte, dazi doganali, SUVA, cassa pensioni, altra previdenza, tasse pubbliche, partite transitorie di giro, conti collettivi per conti occasionali ecc.).</t>
  </si>
  <si>
    <t>1) The figures from 1 January 2016 include procurement-related invoicing volumes with external creditors (excluding taxes, customs duties, SUVA, pension fund, other employee benefits, public fees, transitory items, CPD collective accounts, etc.).</t>
  </si>
  <si>
    <t>2) Der vermehrte Einsatz von standardisierten Kreditorencordes (MDG-S) führte ab 2019 zur geringeren Anzahl beschaffungsrelevanter Lieferanten.</t>
  </si>
  <si>
    <t>2) L’utilisation accrue de codes créditeurs (MDG-S) a eu pour effet à partir de 2019 une baisse du nombre des fournisseurs pertinents pour les achats.</t>
  </si>
  <si>
    <t>2) Il maggiore ricorso a codici creditori standardizzati (MDG-S) si è tradotto a partire dal 2019 in un numero inferiore di fornitori rilevanti a livello di acquisti.</t>
  </si>
  <si>
    <t>2) The increased use of standardized accounts payable codes (MDG-S) resulted in a lower number of procurement-relevant suppliers from 2019.</t>
  </si>
  <si>
    <t>1) Mit der Kundenzufriedenheitsmessung werden die Kundinnen und Kunden jährlich über ihre Zufriedenheit mit den Dienstleistungen der Post befragt. Die Resultate wurden bis 31.12.2015 in einem durchschnittlichen Indexwert aus Erwartungserfüllung, Nähe zum idealen Dienstleister und Gesamtzufriedenheit abgebildet. Ab 1.1.2016 wird der Indexwert der Gesamtzufriedenheit ausgewiesen.</t>
  </si>
  <si>
    <t>1) La satisfaction des clients vis-à-vis des prestations de la Poste est mesurée chaque année au moyen d’une enquête ad hoc. Jusqu’au 31.12.2015, les résultats de cette enquête étaient présentés sous la forme d’une valeur d’indices moyenne exprimant la satisfaction des attentes, la proximité avec le prestataire idéal et la satisfaction globale. Depuis le 1.1.2016, la valeur d’indice correspond à la satisfaction globale.</t>
  </si>
  <si>
    <t xml:space="preserve">1) Il rilevamento della soddisfazione della clientela analizza ogni anno qual è il grado di soddisfazione dei clienti nei confronti dei servizi della Posta. Fino al 31 dicembre 2015 i risultati sono stati rappresentati in un valore indicizzato medio formato da Soddisfazione delle aspettative, Vicinanza all’ideale e Soddisfazione complessiva. Dall’1º gennaio 2016 viene rappresentato l’indice della Soddisfazione complessiva. </t>
  </si>
  <si>
    <t>1) The customer satisfaction survey rates customers’ satisfaction with Swiss Post services on an annual basis. Until 31.12.2015, the results were stated as an average index figure based on fulfilment of expectations, proximity to the ideal service provider and overall satisfaction. From 1.1.2016, the index figure of overall satisfaction will be stated.</t>
  </si>
  <si>
    <t>2) Seit 2019 befragt PostNetz seine Kundinnen und Kunden nur noch online. Der Vorjahreswert 2018 wurde zur besseren Vergleichbarkeit angepasst. Die Werte vor 2018 sind nicht vergleichbar.</t>
  </si>
  <si>
    <t>2) Depuis 2019, RéseauPostal réalise son enquête auprès de la clientèle uniquement en ligne. La valeur de l’exercice 2018 a été ajustée à des fins de comparabilité. Les valeurs antérieures à 2018 ne sont pas comparables.</t>
  </si>
  <si>
    <t>2) Dal 2019 RetePostale effettua con i suoi clienti solo sondaggi online. Il valore dell’anno precedente (2018) è stato adattato per una migliore comparabilità. I valori precedenti al 2018 non sono raffrontabili.</t>
  </si>
  <si>
    <t>2) Since 2019 PostalNetwork has only conducted its customer survey online. The prior-year figure for 2018 was modified for better comparability. The figures before 2018 are not comparable.</t>
  </si>
  <si>
    <t>3) Aufgrund einer neuen Erhebungsmethode 2018 kann hier kein zum Vorjahr vergleichbarer Wert ausgewiesen werden.</t>
  </si>
  <si>
    <t>3) En raison de l'introduction d'une nouvelle méthode de relevé en 2018, aucune valeur offrant une base de comparaison avec l'année antérieure ne peut être proposée.</t>
  </si>
  <si>
    <t>3) A causa dell’introduzione nel 2018 di un nuovo metodo di rilevamento non è possibile indicare un valore comparabile con quello dell'anno precedente.</t>
  </si>
  <si>
    <t>3) Due to a new survey method, a figure comparable to that of the previous year cannot be given here.</t>
  </si>
  <si>
    <t>4) Aufgrund von Änderungen in der Stichprobenziehung sind die Resultate des Jahres 2015 nicht mit jenen der Vorjahre vergleichbar.</t>
  </si>
  <si>
    <t>4) Le tirage au sort de l'échantillon ayant été modifié; les résultats de 2015 ne peuvent donc pas être comparés avec ceux des années précédentes.</t>
  </si>
  <si>
    <t>4) A causa di variazioni nel campionamento, i risultati del 2015 non sono confrontabili con quelli degli anni precedenti.</t>
  </si>
  <si>
    <t>4) The 2015 results are not comparable with those of previous years due to changes in the sampling procedure.</t>
  </si>
  <si>
    <t>5) 2009 wird zum ersten Mal die Kundenzufriedenheit für den Konzernbereich Swiss Post Solutions ausgewiesen; die Werte der vorangehenden Jahre sind diejenigen des Bereichs SKL inkl. der Abteilung Strategisches Kundenmanagement sowie für die Jahre 2005–2007 der Abteilung Strategisches Kundenmanagement.</t>
  </si>
  <si>
    <t>5) La satisfaction des clients de Swiss Post Solutions a été mesurée pour la première fois en 2009; les valeurs des années précédentes sont celles de l'unité Clients stratégiques et solutions y compris la section Gestion des clients stratégiques et pour les années 2005 à 2007, celles de la section Gestion des clients stratégiques.</t>
  </si>
  <si>
    <t>5) La soddisfazione della clientela nei confronti dell'unità del gruppo Swiss Post Solutions è stata indicata per la prima volta nel 2009; i valori degli anni precedenti si riferiscono all'unità SKL (incl. la sezione Gestione della clientela strategica) nonché, per gli anni 2005-2007, alla sezione Gestione della clientela strategica.</t>
  </si>
  <si>
    <t>5) Customer satisfaction for the Swiss Post Solutions Group unit was reported for the first time in 2009. The figures for the preceding years are for the SKL unit including the Strategic Account Management department, and for the years 2005–2007 for the Strategic Account Management department.</t>
  </si>
  <si>
    <t>6) Kommunikations-Services erfasst die Kundenzufriedenheit noch nicht systematisch.</t>
  </si>
  <si>
    <t>6) Services de communication ne saisit pas encore systématiquement la satisfaction de la clientèle.</t>
  </si>
  <si>
    <t>6) Servizi di comunicazione non rileva ancora sistematicamente la soddisfazione dei clienti.</t>
  </si>
  <si>
    <t>6) Communication Services does not yet systematically record customer satisfaction.</t>
  </si>
  <si>
    <t xml:space="preserve">7) Aufgrund einer Änderung in der Stichprobenzusammensetzung lassen sich ab 2021 die beiden Kundentypen Freizeitreisende und Pendler nicht mehr unterscheiden, es wird nur noch ein Wert PostAuto ausgewiesen. Kein Vergleich zum Vorjahr möglich. </t>
  </si>
  <si>
    <t xml:space="preserve">7) En raison d’une modification de la composition des échantillons, il n’est plus possible depuis 2021 de faire la distinction entre les deux types de clients, à savoir les voyageurs de loisirs et les pendulaires. Une seule valeur CarPostal est désormais recensée. Aucune comparaison n’est possible avec l’année précédente. </t>
  </si>
  <si>
    <t xml:space="preserve">7) A causa di una modifica nella composizione dei campioni, dal 2021 non si possono più distinguere le due tipologie di clienti, ovvero turisti e pendolari, e per AutoPostale viene riportato un solo valore. Non è possibile alcun confronto con l’anno precedente. </t>
  </si>
  <si>
    <t xml:space="preserve">7) Due to a change in the sample composition, the two customer types “Leisure travellers” and “Commuters” can no longer be differentiated from each other from 2021; only one figure for PostBus is reported. No comparison with the previous year possible. </t>
  </si>
  <si>
    <t xml:space="preserve">8) Das Segment Logistik-Services ist seit dem 1.1.2021 operativ. Die bisherigen Segmente PostMail und PostLogistics wurden in diesem neuen Segment zusammengeführt. </t>
  </si>
  <si>
    <t xml:space="preserve">8) Le segment Services logistiques est opérationnel depuis le 1er janvier 2021. Ce nouveau segment réunit les anciens segments PostMail et PostLogistics. </t>
  </si>
  <si>
    <t xml:space="preserve">8) Il segmento Servizi logistici è operativo dal 1º gennaio 2021. I precedenti segmenti, PostMail e PostLogistics, sono stati accorpati in questo nuovo segmento. </t>
  </si>
  <si>
    <t xml:space="preserve">8) The Logistics Services segment has been operational since 1 January 2021. The previous segments, PostMail and PostLogistics, have been merged into this new segment. </t>
  </si>
  <si>
    <t>Sprache</t>
  </si>
  <si>
    <t>Sprache ID</t>
  </si>
  <si>
    <t>Gewählte_Sprache</t>
  </si>
  <si>
    <t xml:space="preserve">1) Der Vorjahreswert 2021 wurde angepasst. </t>
  </si>
  <si>
    <t>2) Das Passivgeschäft umfasst die Entgegennahme von Kundengeldern.</t>
  </si>
  <si>
    <t>2) Les opérations passives comprennent la prise en charge des fonds des clients.</t>
  </si>
  <si>
    <t>2) Le operazioni passive comprendono l'accettazione di depositi della clientela.</t>
  </si>
  <si>
    <t>2) Deposit-taking business comprises the receipt of customer deposits.</t>
  </si>
  <si>
    <t>3) 2013 provisorischer Ist-Wert (Nov. 2013), Vorjahre angepasst infolge Überführung in PostFinance AG Ende Juni 2013.</t>
  </si>
  <si>
    <t>3) Valeur effective 2013 provisoire (novembre 2013); exercices précédents ajustés après le changement de raison sociale en PostFinance SA fin juin 2013.</t>
  </si>
  <si>
    <t>3) Valore effettivo 2013 provvisorio (nov. 2013), anni precedenti adattati in seguito al cambiamento della ragione sociale in PostFinance SA a fine giugno 2013</t>
  </si>
  <si>
    <t>3) 2013 provisional actual figure (Nov. 2013). Previous years adjusted following transfer to PostFinance Ltd at end of June 2013.</t>
  </si>
  <si>
    <t>4) Absoluter Marktanteil, d.h. Umsatzvolumen der PostAuto AG am Marktvolumen (Umsatz)</t>
  </si>
  <si>
    <t>4) Part de marché absolue: chiffre d’affaires de CarPostal SA par rapport au chiffre d’affaires du marché.</t>
  </si>
  <si>
    <t>4) Quota di mercato assoluta, ovvero volume d’affari di AutoPostale SA sul volume di mercato (fatturato)</t>
  </si>
  <si>
    <t>4) Absolute market share, i.e. PostBus Ltd sales volume as percentage of market volume (revenue).</t>
  </si>
  <si>
    <t>5) Zwischen 2010 bis und mit 2013: inkl. Privatkunden unter Hoheit PostNetz</t>
  </si>
  <si>
    <t>5) Entre 2010 à et avec 2013: y compris les clients privés gérés par RéseauPostal.</t>
  </si>
  <si>
    <t>5) Tra il 2010 e il 2013: incl. clienti privati sotto la responsabilità di RetePostale</t>
  </si>
  <si>
    <t>5) Between 2010 an 2013: including private customers under PostNet</t>
  </si>
  <si>
    <t>6) Ab 2014 werden die Mengen TNT nicht mehr in die Marktanteilsberechnung einbezogen, so dass dieser mit den ausgewiesenen Mengen übereinstimmen. Als Vergleichsgrösse wurde das Jahr 2013 zusätzlich aufbereitet. Die Werte 2005 bis 2012 sind nicht vergleichbar.</t>
  </si>
  <si>
    <t>6) Depuis 2014, les volumes de TNT ne sont plus intégrés dans le calcul des parts de marché, de manière à assurer la concordance avec les volumes présentés. L'exercice 2013 est présenté en outre comme valeur de comparaison. Les valeurs de 2005 à 2012 ne peuvent pas être comparées.</t>
  </si>
  <si>
    <t>6) Dal 2014 i volumi TNT non sono più considerati nel calcolo della quota di mercato, in modo che quest'ultima coincida con i volumi presentati. Quale valore di confronto si presenta inoltra il 2013. I valori dal 2005 al 2012 non sono confrontabili.</t>
  </si>
  <si>
    <t>6) From 2014 the TNT volumes are no longer included in the market share calculation, so that a match exists with the quantities shown. The year 2013 has additionally been presented for comparison purposes. The figures from 2005 to 2012 are not comparable.</t>
  </si>
  <si>
    <t>7) Die Erhebung des Marktanteils Passivgeschäft von PostFinance wurde ab 1.1.2016 eingestellt.</t>
  </si>
  <si>
    <t>7) Depuis le 1er janvier 2016, la part de marché des opérations passives de PostFinance n'est plus relevée.</t>
  </si>
  <si>
    <t>7) Il rilevamento della quota di mercato operazioni passive di PostFinance è stato soppresso a partire dal 1o gennaio 2016.</t>
  </si>
  <si>
    <t>7) Market share figures for the deposit-taking business at PostFinance have no longer been recorded since 1 January 2016.</t>
  </si>
  <si>
    <t>8) Kommunikations-Services arbeitet per dato nicht mit Marktanteilen.</t>
  </si>
  <si>
    <t>8) À ce jour, Services de communication ne travaille pas avec des parts de marché.</t>
  </si>
  <si>
    <t>8) Ad oggi Servizi di comunicazione non opera con quote di mercato.</t>
  </si>
  <si>
    <t>8) Communication Services does not currently work with market shares.</t>
  </si>
  <si>
    <t>1, 5, 6</t>
  </si>
  <si>
    <t>4</t>
  </si>
  <si>
    <t>11</t>
  </si>
  <si>
    <t>6, 13</t>
  </si>
  <si>
    <t>3) Ab 2010 Swiss Express und nur noch Geschäftskunden, bis 2009 Expresssendungen (Swiss Express "Mond")</t>
  </si>
  <si>
    <t>3) Depuis 2010, Swiss-Express et clients commerciaux uniquement; jusqu'en 2009, envois express (Swiss-Express «Lune»).</t>
  </si>
  <si>
    <t>3) Dal 2010 Swiss-Express e solo clienti commerciali, fino al 2009 invii espresso (Swiss-Express «Luna»)</t>
  </si>
  <si>
    <t>3) From 2010 Swiss Express and only business customers, up to 2009 express consignments (Swiss Express “Moon”).</t>
  </si>
  <si>
    <t>4) PostNetz hat 2019 eine erfolgsneutrale Anpassung im Ausweis des Nettoumsatzes aus Verträgen mit Kunden aus Handelswaren und des dazugehörigen Handelswarenaufwands vorgenommen.</t>
  </si>
  <si>
    <t>4) RéseauPostal a modifié, sans effet sur le résultat, la présentation du chiffre d’affaires net reposant sur les contrats conclus avec des clients dans le domaine des biens commercialisés, ainsi que celle des charges liées à ces biens commercialisés.</t>
  </si>
  <si>
    <t>4) Nel 2019 RetePostale ha apportato una modifica alla presentazione del fatturato netto, senza effetto sul risultato, derivante da contratti con clienti per beni commerciali e dei corrispondenti costi per beni commerciali.</t>
  </si>
  <si>
    <t>4) In 2019, PostalNetwork modified the disclosure of net revenue from contracts with customers from resale merchandise and the associated resale merchandise expenses, without affecting profit or loss.</t>
  </si>
  <si>
    <t>5) Die Kundenvermögensentwicklung löst 2019 den Neugeldzufluss als Kennzahl ab.</t>
  </si>
  <si>
    <t>5) En 2019, l’indicateur de l’évolution du patrimoine des clients remplace celui de l’afflux de nouveaux capitaux.</t>
  </si>
  <si>
    <t>5) Nel 2019 l’andamento dei patrimoni dei clienti viene presentato come nuovo indice in sostituzione dell’afflusso di nuovi fondi.</t>
  </si>
  <si>
    <t>5) Growth in customer assets replaced inflow of new money as a key figure in 2019.</t>
  </si>
  <si>
    <t>6) Der Vorjahreswert 2018 wurde angepasst.</t>
  </si>
  <si>
    <t>6) La valeur de l’exercice 2018 a été ajustée.</t>
  </si>
  <si>
    <t>7) Für das Jahr 2019 wurde erstmals eine angepasste Berechnungsbasis und Berechnungsmethodik verwendet. Ein Vergleich mit den Vorjahren ist deshalb nicht möglich.</t>
  </si>
  <si>
    <t>7) Pour 2019, une base et une méthode de calcul modifiées ont été utilisées pour la première fois. Par conséquent, une comparaison avec les années précédentes n’est pas possible.</t>
  </si>
  <si>
    <t>7) Nel 2019 sono stati adottati per la prima volta una base e un sistema di calcolo modificati. Non è possibile pertanto effettuare un confronto con gli anni precedenti.</t>
  </si>
  <si>
    <t>7) A modified calculation basis and method of calculating was used for the first time in 2019. This means that a comparison with previous years is not possible.</t>
  </si>
  <si>
    <t>10) Im Jahr 2019 wurde ein neues Servicemodell und eine Vereinfachung des Leistungskatalogs eingeführt. Die Vergleichbarkeit mit den Vorjahreswerten ist eingeschränkt.</t>
  </si>
  <si>
    <t>10)  En 2019, un nouveau modèle de service a été introduit et le catalogue des prestations a été simplifié. La comparaison avec les valeurs de l’exercice précédent est limitée.</t>
  </si>
  <si>
    <t>10) Nel 2019 è stato introdotto un nuovo modello di servizio con una semplificazione del catalogo delle prestazioni. Di conseguenza, i valori sono raffrontabili soltanto in misura limitata con quelli degli anni precedenti.</t>
  </si>
  <si>
    <t>10) A new service model and simplification of the service catalogue was introduced in 2019. Comparability with the previous year’s figures is limited.</t>
  </si>
  <si>
    <t>11) Im Jahr 2019 wurden die Supporteinsätze neu als vor Ort Einsätze Fieldservice-Techniker definiert. Die Vergleichbarkeit mit den Vorjahren ist eingeschränkt.</t>
  </si>
  <si>
    <t>11) En 2019, les services d’assistance ont été redéfinis techniciens de service sur site. La comparaison avec les valeurs des exercices précédents est limitée.</t>
  </si>
  <si>
    <t>11) Nel 2019 gli interventi di assistenza sono stati ridefiniti come interventi in loco dei tecnici del Servizio sul campo. Di conseguenza, il confronto con gli anni precedenti è possibile soltanto in misura limitata.</t>
  </si>
  <si>
    <t>11) Support calls were redefined as on-site interventions by field service technicians in 2019. Comparability with previous years is limited.</t>
  </si>
  <si>
    <t>12) Der Vorjahreswert 2019 wurde angepasst. Bei den Lebensversicherungen wird ab 2020 das gezillmerte Deckungskapital mit dem Rückkaufwert der Lebensversicherungen ersetzt.</t>
  </si>
  <si>
    <t>13) Ab dem Jahr 2020 werden die Fondsvolumen inkl. Drittfonds ausgewiesen.</t>
  </si>
  <si>
    <t>14) Der Vorjahreswert 2019 wurde angepasst. Die Zählsystematik wurde von Anzahl Sendungen auf Anzahl Packstücke umgestellt. Die Werte 2019 und 2020 sind nicht mit den Vorjahreswerten vergleichbar.</t>
  </si>
  <si>
    <t>15) Der Vorjahreswert 2019 wurde angepasst.</t>
  </si>
  <si>
    <t>15) Valeur de 2019 ajustée.</t>
  </si>
  <si>
    <t>15) Valore 2019 adattato.</t>
  </si>
  <si>
    <t>15) 2019 figure adjusted</t>
  </si>
  <si>
    <t>16) Das Segment Kommunikations-Services wurde in 2021 neu gebildet. Folglich liegen keine Vorjahresvergleichswerte vor.</t>
  </si>
  <si>
    <t>16) Le segment Services de communication a été créé en 2021, ce qui explique l’absence de valeurs comparatives pour les exercices précédents.</t>
  </si>
  <si>
    <t>16) The Communication Services segment was newly created in 2021. As a result, no comparative values for previous years are available.</t>
  </si>
  <si>
    <t xml:space="preserve">17) Das Segment Mobilitäts-Services wurde 2021 neu gebildet und die PostAuto AG, die Post Company Cars AG und die PubliBike AG in einem Geschäftsbereich zusammengefasst. Die Publibike wurde per 4. Februar 2022 verkauft. </t>
  </si>
  <si>
    <t>18) Die Definition wurde ab 2021 angepasst. Die Vorjahreswerte 2020 wurden zwecks Vergleichbarkeit ebenfalls angepasst.</t>
  </si>
  <si>
    <t>19) Die Definition der Paketmenge wurde 2021 angepasst. Sie enthält die Anzahl Pakete In-/Ausland ohne Kurier- und Expresssendungen. Die Werte 2017 bis 2020 wurden angepasst.</t>
  </si>
  <si>
    <t>20) Ab 2018 beinhaltet die Kennzahl SameDay-Sendungen von notime.</t>
  </si>
  <si>
    <t>21) Die Kategorie wurde im 2021 hinzugefügt und für die Jahre ab 2019 nacherfasst.</t>
  </si>
  <si>
    <t xml:space="preserve">22) Das Segment Logistik-Services ist seit dem 1.1.2021 operativ. Die bisherigen Segmente PostMail und PostLogistics wurden in diesem neuen Segment zusammengeführt. </t>
  </si>
  <si>
    <t>23) Die Werte 2018 bis 2020 wurden angepasst. Die Vergleichbarkeit mit den Vorjahreswerten 2017 und früher ist eingeschränkt.</t>
  </si>
  <si>
    <t>24) Der Vorjahreswert 2021 entsprach nicht den aktiven Usern und wurde demzufolge angepasst.</t>
  </si>
  <si>
    <t>18) La définition a changé depuis 2021. Les valeurs de l’exercice 2020 ont également été ajustées pour permettre la comparaison.</t>
  </si>
  <si>
    <t>19) La définition du volume des colis a été modifiée en 2021. Ce volume inclut désormais les colis domestiques et internationaux, hors envois coursier et express. Les valeurs de 2017 à 2020 ont été ajustées en conséquence.</t>
  </si>
  <si>
    <t>21) Catégorie ajoutée en 2021 et saisie pour les années à partir de 2019.</t>
  </si>
  <si>
    <t xml:space="preserve">22) Le segment Services logistiques est opérationnel depuis le 1er janvier 2021. Ce nouveau segment réunit les anciens segments PostMail et PostLogistics. </t>
  </si>
  <si>
    <t>23) Les valeurs de 2018 à 2020 ont été ajustées. La comparaison avec les valeurs de 2017 et des années antérieures est limitée.</t>
  </si>
  <si>
    <t>18) La definizione è stata modificata nel 2021. I valori dell’anno precedente, ovvero del 2020, sono stati parimenti rettificati ai fini della comparabilità.</t>
  </si>
  <si>
    <t>18) The definition was modified in 2021. The previous year’s values for 2020 have likewise been modified for comparability purposes.</t>
  </si>
  <si>
    <t>19) La definizione del volume dei pacchi è stata modificata nel 2021. Tale valore comprende ora il numero di pacchi Svizzera/estero esclusi gli invii per corriere e gli invii espresso. I valori dal 2017 al 2020 sono stati rettificati.</t>
  </si>
  <si>
    <t>19) The definition of parcel volumes was modified in 2021. It includes the number of domestic/international parcels excluding Courier and Express consignments. The figures for 2017 to 2020 have been adjusted.</t>
  </si>
  <si>
    <t xml:space="preserve">22) Il segmento Servizi logistici è operativo dal 1º gennaio 2021. I precedenti segmenti, PostMail e PostLogistics, sono stati accorpati in questo nuovo segmento. </t>
  </si>
  <si>
    <t xml:space="preserve">22) The Logistics Services segment has been operational since 1 January 2021. The previous segments, PostMail and PostLogistics, have been merged into this new segment. </t>
  </si>
  <si>
    <t>23) I valori dal 2018 al 2020 sono stati rettificati. Di conseguenza, i valori sono raffrontabili soltanto in misura limitata con quelli del 2017 e degli anni precedenti.</t>
  </si>
  <si>
    <t>23) The figures for 2018 to 2020 have been adjusted. Comparability with the figures for the previous years 2017 and earlier is limited.</t>
  </si>
  <si>
    <t>1, 23</t>
  </si>
  <si>
    <t>1, 19</t>
  </si>
  <si>
    <t>19, 20</t>
  </si>
  <si>
    <t>3, 19</t>
  </si>
  <si>
    <t>1, 14</t>
  </si>
  <si>
    <t>24</t>
  </si>
  <si>
    <t>6</t>
  </si>
  <si>
    <t>7, 9</t>
  </si>
  <si>
    <t>8, 21</t>
  </si>
  <si>
    <t>10</t>
  </si>
  <si>
    <t>8) Die Kennzahl wurde ab 2022 nicht mehr erhoben, da Publibike per 4.2.2022 verkauft wurde.</t>
  </si>
  <si>
    <t>Unterdeckung/(Überdeckung) bilanzierter Vorsorgeverpflichtungen/(Vorsorgevermögen) nach IFRS, netto</t>
  </si>
  <si>
    <t>25) Der Vorjahreswert 2021 wurde angepasst (Rundung).</t>
  </si>
  <si>
    <t>5, 12, 25</t>
  </si>
  <si>
    <t>12, 25</t>
  </si>
  <si>
    <t>1) In Übereinstimmung mit dem Segmentausweis im Finanzbericht</t>
  </si>
  <si>
    <t>1, 10</t>
  </si>
  <si>
    <t xml:space="preserve">6) Die finanzierten Emissionen der Unternehmensobligationen wurden im im Jahr 2022 erstmals erhoben und für 2021 rückwirkend nacherfasst. Der Abdeckungsgrad liegt bei 81%. Berücksichtigt werden die Scope 1,2 Emissionen der investierten Firmen. Durch die Abhängigkeit vom volatilen Investitionsvolumen, sowie Schwankungen der Unternehmensemissionen, kann sich der Emissionswert von Jahr zu Jahr stark unterscheiden.Weiterführende Informationen sind in der Offenlegung zu klimabezogenen Finanzrisiken auf der PostFinance Webseite zu finden. </t>
  </si>
  <si>
    <t>9) Neue Berechnungsgrundlage für 2007. Ein Vergleich mit den Vorjahren ist deshalb nicht möglich.</t>
  </si>
  <si>
    <t xml:space="preserve">2) Die Berechnungsmethode zur Ermittlung der Überweisungen EFT/POST wurde angepasst. Neu werden die Anzahl Transaktionen (inkl. Abdisposition) anstelle der Anzahl Aufträge ausgewiesen. Die Vorjahreswerte 2020 und 2021 wurden angepasst. </t>
  </si>
  <si>
    <t xml:space="preserve">1) Die Berechnungsmethode zur Ermittlung der Überweisungen E-Finance wurde angepasst. Neu werden die Anzahl Transaktionen anstelle der Anzahl Aufträge ausgewiesen. Die Vorjahreswerte 2020 und 2021 wurden angepasst. </t>
  </si>
  <si>
    <t xml:space="preserve">3) Die Berechnungsmethode zur Ermittlung der Überweisungen Papier wurde angepasst. Neu werden die Anzahl Transaktionen (inkl. Interbankeneingänge) anstelle der Anzahl Aufträge ausgewiesen. Die Vorjahreswerte 2020 und 2021 wurden angepasst. </t>
  </si>
  <si>
    <t>er</t>
  </si>
  <si>
    <t xml:space="preserve">5) PostAuto AG, PostFinance AG, Swiss Post Solutions AG, SecurePost AG, Post Immobilien Management und Services AG, Post Company Cars AG, Presto Presse-Vertriebs AG. Die SPS-Gruppe wurde per 30. März 2022 verkauft. Folglich sind ab 2022 die Werte ohne Swiss Post Solutions AG ausgewiesen. </t>
  </si>
  <si>
    <t xml:space="preserve">5) Im GJ 2021 enthält der Personalbestand auch die Werte des Segments Swiss Post Solutions, das ab Mitte Dezember 2021 zur Veräusserung bestimmt wurde. Der Personalbestand in Personaleinheiten exkl. SPS beträgt im Geschäftsjahr 2021 33'207 (VJ: 32'696). Der Personalbestand in Personaleinheiten im Ausland ohne SPS beträgt im GJ 2021 400 (VJ: 215). Die Anzahl Mitarbeiter im Konzern exkl. SPS beträgt im Jahr 2021 46'944 (VJ: 47'254). Die Anzahl Mitarbeiter im Konzern im Ausland exkl. SPS beträgt im Jahr 2021 429 (VJ: 240). Die SPS-Gruppe wurde per 30. März 2022 verkauft. Folglich sind ab 2022 die Werte ohne SPS ausgewiesen. </t>
  </si>
  <si>
    <t xml:space="preserve">9) Das Segment Swiss Post Solutions wurde im Geschäftsjahr 2021 in der konsolidierten Erfolgsrechnung separat unter den aufgegebenen Geschäftsbereichen ausgewiesen. Die SPS-Gruppe wurde per 30. März 2022 verkauft. </t>
  </si>
  <si>
    <t>1) Das Jahr 2022 stellt eine Nullmessung dar. Aufgrund von Veränderungen in der Organisationsstruktur und neuen Gewichtungen sind keine vergleichbaren Vorjahreswerte verfügbar.</t>
  </si>
  <si>
    <r>
      <t>2022</t>
    </r>
    <r>
      <rPr>
        <b/>
        <vertAlign val="superscript"/>
        <sz val="10"/>
        <rFont val="Frutiger 45 Light"/>
        <family val="2"/>
      </rPr>
      <t>1)</t>
    </r>
  </si>
  <si>
    <r>
      <t>2021</t>
    </r>
    <r>
      <rPr>
        <b/>
        <vertAlign val="superscript"/>
        <sz val="10"/>
        <rFont val="Frutiger 45 Light"/>
        <family val="2"/>
      </rPr>
      <t>8)</t>
    </r>
  </si>
  <si>
    <t xml:space="preserve">2) Die SPS-Gruppe wurde am 30. März 2022 verkauft. Folglich sind ab 2022 die Kennzahlen ohne die SPS-Gruppe ausgewiesen. Die Vorjahreswerte wurden angepasst.  </t>
  </si>
  <si>
    <t xml:space="preserve">5) Die SPS-Gruppe wurde am 30. März 2022 verkauft, weshalb ab 2022 keine Werte mehr vorliegen. </t>
  </si>
  <si>
    <t>Utilisateurs E-Post</t>
  </si>
  <si>
    <t>Secteur d’activité Communication et Logistique</t>
  </si>
  <si>
    <t>Gros clients</t>
  </si>
  <si>
    <t>Petits clients/clients moyens</t>
  </si>
  <si>
    <t>Clientèle privée</t>
  </si>
  <si>
    <t>Secteur d’activité Services financiers</t>
  </si>
  <si>
    <t>Secteur d’activité Transport de voyageurs</t>
  </si>
  <si>
    <t>Données historiques</t>
  </si>
  <si>
    <t xml:space="preserve">1) La valeur de l’exercice 2021 a été ajustée. </t>
  </si>
  <si>
    <t>8) Le chiffre clé n’a plus été collecté à partir de 2022, car PubliBike SA a été vendue le 4 février 2022.</t>
  </si>
  <si>
    <t>9) Nouvelle base de calcul pour 2007. Par conséquent, une comparaison avec les années précédentes n’est pas possible.</t>
  </si>
  <si>
    <t xml:space="preserve">17) Le segment Services de mobilité a été créé en 2021 et CarPostal SA, Post Company Cars SA et PubliBike SA ont été réunies au sein d’une même unité d’affaires. Le 4 février 2022, PubliBike SA a été vendue. </t>
  </si>
  <si>
    <t>20) À partir de 2018, le chiffre clé comprend les envois SameDay de notime.</t>
  </si>
  <si>
    <t>24) La valeur de l’exercice 2021 ne correspondait pas aux utilisateurs actifs et a été ajustée en conséquence.</t>
  </si>
  <si>
    <t>25) La valeur de l’exercice 2021 a été ajustée (arrondi).</t>
  </si>
  <si>
    <t>9) Groupe Suisse: données du systèmes du personnel, actuellement sans données sur 1402 unités du personnel ou 5582 personnes des sociétés du groupe B-Sped Logistics (Suisse) SA, Epsilon SA, Direct Mail Company AG, PubliBike SA, Destinas AG, KLARA Business SA, Relatra AG, BPS Speditions-Service AG, Arlesheim, BPS Speditions-Service AG, Pfungen, Walli-Trans AG, ASMIQ AG, notime AG, notime (Suisse) SA, Dialog Verwaltungs-Data AG, SwissSign SA, Tresorit AG, Bring! Labs AG, Livesystems Group SA, Livesystems SA, Livesystems dooh SA, Iemoli Trasporti SA, InTraLog Hermes AG, InTraLog Overseas AG, Otto Schmidt SA, Steriplus AG, Stericenter SA, Mediwar AG, Marcel Blanc et Cie SA, Unblu Inc., Groupe T2i Suisse SA, Hacknowledge SA, Stella Brandenberger Transporte AG, axsana AG, eoscop AG, H. Bucher Internationale Transporte AG, adiacom AG, Kickbag GmbH</t>
  </si>
  <si>
    <t>Découvert/(Excédent de couverture) des engagements de prévoyance/(patrimoine de prévoyance) portés au bilan selon IFRS, net</t>
  </si>
  <si>
    <t>1) En adéquation avec les comptes par segment dans le rapport financier</t>
  </si>
  <si>
    <t>5) Groupe Suisse: données du systèmes du personnel, actuellement sans données sur 1402 unités du personnel ou 5582 personnes des sociétés du groupe B-Sped Logistics (Suisse) SA, Epsilon SA, Direct Mail Company AG, PubliBike SA, Destinas AG, KLARA Business SA, Relatra AG, BPS Speditions-Service AG, Arlesheim, BPS Speditions-Service AG, Pfungen, Walli-Trans AG, ASMIQ AG, notime AG, notime (Suisse) SA, Dialog Verwaltungs-Data AG, SwissSign SA, Tresorit AG, Bring! Labs AG, Livesystems Group SA, Livesystems SA, Livesystems dooh SA, Iemoli Trasporti SA, InTraLog Hermes AG, InTraLog Overseas AG, Otto Schmidt SA, Steriplus AG, Stericenter SA, Mediwar AG, Marcel Blanc et Cie SA, Unblu Inc., Groupe T2i Suisse SA, Hacknowledge SA, Stella Brandenberger Transporte AG, axsana AG, eoscop AG, H. Bucher Internationale Transporte AG, adiacom AG, Kickbag GmbH</t>
  </si>
  <si>
    <t>5) La définition des communes rurales a été adaptée selon la nouvelle collecte à partir de 2022 et rétroactivement pour 2021 et se fonde sur l’ordonnance sur la politique régionale du SECO. Les valeurs de 2004 à 2020 ne sont pas comparables avec les valeurs de 2021 et 2022.</t>
  </si>
  <si>
    <t>6) Groupe Suisse: données du systèmes du personnel, actuellement sans données sur 1402 unités du personnel ou 5582 personnes des sociétés du groupe B-Sped Logistics (Suisse) SA, Epsilon SA, Direct Mail Company AG, PubliBike SA, Destinas AG, KLARA Business SA, Relatra AG, BPS Speditions-Service AG, Arlesheim, BPS Speditions-Service AG, Pfungen, Walli-Trans AG, ASMIQ AG, notime AG, notime (Suisse) SA, Dialog Verwaltungs-Data AG, SwissSign SA, Tresorit AG, Bring! Labs AG, Livesystems Group SA, Livesystems SA, Livesystems dooh SA, Iemoli Trasporti SA, InTraLog Hermes AG, InTraLog Overseas AG, Otto Schmidt SA, Steriplus AG, Stericenter SA, Mediwar AG, Marcel Blanc et Cie SA, Unblu Inc., Groupe T2i Suisse SA, Hacknowledge SA, Stella Brandenberger Transporte AG, axsana AG, eoscop AG, H. Bucher Internationale Transporte AG, adiacom AG, Kickbag GmbH</t>
  </si>
  <si>
    <t>2) Courant vert certifié «naturemade star»</t>
  </si>
  <si>
    <t>2) La Poste s’assure qu’elle couvre l’intégralité de ses besoins en électricité en ayant recours à des énergies renouvelables. Lorsqu’elle n’achète pas d’électricité renouvelable relevant du service universel ou n’en produit pas elle-même, elle achète des certificats d’origine. En 2022, une partie des besoins en électricité a été exceptionnellement couverte par de l’électricité européenne issue de sources renouvelables car, en raison de la sécheresse estivale, l’électricité issue de sources renouvelables avec garantie d’origine suisse n’était plus disponible.</t>
  </si>
  <si>
    <t>Biens et services achetés (scope 3.1)</t>
  </si>
  <si>
    <t>Activités liées aux combustibles et à l’énergie (scope 3.3)</t>
  </si>
  <si>
    <t>Transport et tri en amont (scope 3.4)</t>
  </si>
  <si>
    <t>Déchets (scope 3.5)</t>
  </si>
  <si>
    <t>Voyages d’affaires (scope 3.6)</t>
  </si>
  <si>
    <t>Trafic pendulaire des employés (scope 3.7)</t>
  </si>
  <si>
    <t>Immobilisations corporelles louées ou prises en leasing à la société mère (scope 3.8)</t>
  </si>
  <si>
    <t>Immobilisations corporelles louées ou cédées en leasing (scope 3.13)</t>
  </si>
  <si>
    <t>Leasing de véhicules</t>
  </si>
  <si>
    <t>Vente de carburant</t>
  </si>
  <si>
    <t>Biens et services achetés</t>
  </si>
  <si>
    <t>Biens d’équipement</t>
  </si>
  <si>
    <t>Intensité en CO2 des produits d’exploitation (scopes 1 et 2)</t>
  </si>
  <si>
    <t>Intensité en CO2 des postes de travail (scopes 1 et 2)</t>
  </si>
  <si>
    <t>Biens d’équipement (scope 3.2)</t>
  </si>
  <si>
    <t>Utilisation des produits vendus (scope 3.11)</t>
  </si>
  <si>
    <t>Investissements (scope 3.15)</t>
  </si>
  <si>
    <t>Intensité en CO2 des produits d’exploitation (scope 3)</t>
  </si>
  <si>
    <t>Intensité en CO2 des postes de travail (scope 3)</t>
  </si>
  <si>
    <t>Réductions d’émissions vendues (Fondation pour la protection du climat et la compensation de CO₂ KliK)</t>
  </si>
  <si>
    <t xml:space="preserve">2) À partir de 2022, les intensités en équivalent CO2 seront rapportées séparément: scopes 1 et 2 (dans l’exploitation propre) et scope 3 (dans le reste de la chaîne de création de valeur). </t>
  </si>
  <si>
    <t>4) Données collectées à partir de 2018</t>
  </si>
  <si>
    <t>4) Les chiffres pour 2022 sont des valeurs attendues. La valeur définitive ne sera disponible qu’au 4e trimestre 2023 et fera l’objet d’un rapport l’année suivante.</t>
  </si>
  <si>
    <t>3) L’année 2021 fait office de référence pour les objectifs climatiques à l’horizon 2030 et 2040. C’est la raison pour laquelle les valeurs correspondantes sont recalculées en cas d’acquisitions ou de ventes de sociétés du groupe, ou en cas de modifications de la qualité des données.</t>
  </si>
  <si>
    <t>5) Données collectées à partir de 2019</t>
  </si>
  <si>
    <t xml:space="preserve">6) Les émissions des obligations d’entreprises financées ont été collectées pour la première fois en 2022, puis rétroactivement pour 2021. Le degré de couverture est de 81%. Les émissions des scopes 1 et 2 des entreprises dans lesquelles des investissements ont été réalisés sont prises en compte. En raison de la volatilité du volume d’investissement et des fluctuations des émissions des entreprises, la valeur des émissions peut varier considérablement d’une année à l’autre. Pour plus d’informations, voir la publication sur les risques financiers liés au climat sur le site de PostFinance. </t>
  </si>
  <si>
    <t>7) Données collectées à partir de 2021</t>
  </si>
  <si>
    <t>8) Les émissions des biens et services achetés ont été calculées pour la première fois en 2022 au moyen de facteurs d’émission par groupe de produits (données secondaires) et ont été saisies rétroactivement pour 2021. Avec l’évolution prévisible de la base de données (p. ex. données primaires), les émissions sont recalculées régulièrement et les éventuelles approximations imputables à une qualité ou à une disponibilité restreinte des données au moment du calcul initial sont corrigées.</t>
  </si>
  <si>
    <t>9) Papier pour photocopies et produits imprimés saisis à partir de 2021 sous «Biens et services achetés»</t>
  </si>
  <si>
    <t>L’avenir de mon emploi</t>
  </si>
  <si>
    <t>3) Groupe Suisse: données du systèmes du personnel, actuellement sans données sur 1402 unités du personnel ou 5582 personnes des sociétés du groupe B-Sped Logistics (Suisse) SA, Epsilon SA, Direct Mail Company AG, PubliBike SA, Destinas AG, KLARA Business SA, Relatra AG, BPS Speditions-Service AG, Arlesheim, BPS Speditions-Service AG, Pfungen, Walli-Trans AG, ASMIQ AG, notime AG, notime (Suisse) SA, Dialog Verwaltungs-Data AG, SwissSign SA, Tresorit AG, Bring! Labs AG, Livesystems Group SA, Livesystems SA, Livesystems dooh SA, Iemoli Trasporti SA, InTraLog Hermes AG, InTraLog Overseas AG, Otto Schmidt SA, Steriplus AG, Stericenter SA, Mediwar AG, Marcel Blanc et Cie SA, Unblu Inc., Groupe T2i Suisse SA, Hacknowledge SA, Stella Brandenberger Transporte AG, axsana AG, eoscop AG, H. Bucher Internationale Transporte AG, adiacom AG, Kickbag GmbH</t>
  </si>
  <si>
    <t>2) Groupe Suisse: données du systèmes du personnel, actuellement sans données sur 1402 unités du personnel ou 5582 personnes des sociétés du groupe B-Sped Logistics (Suisse) SA, Epsilon SA, Direct Mail Company AG, PubliBike SA, Destinas AG, KLARA Business SA, Relatra AG, BPS Speditions-Service AG, Arlesheim, BPS Speditions-Service AG, Pfungen, Walli-Trans AG, ASMIQ AG, notime AG, notime (Suisse) SA, Dialog Verwaltungs-Data AG, SwissSign SA, Tresorit AG, Bring! Labs AG, Livesystems Group SA, Livesystems SA, Livesystems dooh SA, Iemoli Trasporti SA, InTraLog Hermes AG, InTraLog Overseas AG, Otto Schmidt SA, Steriplus AG, Stericenter SA, Mediwar AG, Marcel Blanc et Cie SA, Unblu Inc., Groupe T2i Suisse SA, Hacknowledge SA, Stella Brandenberger Transporte AG, axsana AG, eoscop AG, H. Bucher Internationale Transporte AG, adiacom AG, Kickbag GmbH</t>
  </si>
  <si>
    <t>3) Aucune comparaison dans le temps possible en raison de l’adaptation de l’indice</t>
  </si>
  <si>
    <t>4) Nouvel indice 2022 sur le thème «L’avenir de mon emploi»</t>
  </si>
  <si>
    <t>1) Groupe Suisse: données du systèmes du personnel, actuellement sans données sur 1402 unités du personnel ou 5582 personnes des sociétés du groupe B-Sped Logistics (Suisse) SA, Epsilon SA, Direct Mail Company AG, PubliBike SA, Destinas AG, KLARA Business SA, Relatra AG, BPS Speditions-Service AG, Arlesheim, BPS Speditions-Service AG, Pfungen, Walli-Trans AG, ASMIQ AG, notime AG, notime (Suisse) SA, Dialog Verwaltungs-Data AG, SwissSign SA, Tresorit AG, Bring! Labs AG, Livesystems Group SA, Livesystems SA, Livesystems dooh SA, Iemoli Trasporti SA, InTraLog Hermes AG, InTraLog Overseas AG, Otto Schmidt SA, Steriplus AG, Stericenter SA, Mediwar AG, Marcel Blanc et Cie SA, Unblu Inc., Groupe T2i Suisse SA, Hacknowledge SA, Stella Brandenberger Transporte AG, axsana AG, eoscop AG, H. Bucher Internationale Transporte AG, adiacom AG, Kickbag GmbH</t>
  </si>
  <si>
    <t>2) Groupe Suisse: données du systèmes du personnel, actuellement sans données sur 1402 unités du personnel ou 5582 personnes des sociétés du groupe B-Sped Logistics (Suisse) SA, Epsilon SA, Direct Mail Company AG, PubliBike SA, Destinas AG, KLARA Business SA, Relatra AG, BPS Speditions-Service AG, Arlesheim, BPS Speditions-Service AG, Pfungen, Walli-Trans AG, ASMIQ AG, notime AG, notime (Suisse) SA, Dialog Verwaltungs-Data AG, SwissSign SA, Tresorit AG, Bring! Labs AG, Livesystems Group SA, Livesystems SA, Livesystems dooh SA, Iemoli Trasporti SA, InTraLog Hermes AG, InTraLog Overseas AG, Otto Schmidt SA, Steriplus AG, Stericenter SA, Mediwar AG, Marcel Blanc et Cie SA, Unblu Inc., Groupe T2i Suisse SA, Hacknowledge SA, Stella Brandenberger Transporte AG, axsana AG, eoscop AG, H. Bucher Internationale Transporte AG, adiacom AG, Kickbag GmbH</t>
  </si>
  <si>
    <t>E-Post users</t>
  </si>
  <si>
    <t>Communication and logistics business area</t>
  </si>
  <si>
    <t>Major customers</t>
  </si>
  <si>
    <t>Small/medium-sized customers</t>
  </si>
  <si>
    <t>Financial services business area</t>
  </si>
  <si>
    <t>Passenger transport business area</t>
  </si>
  <si>
    <t>Historical data</t>
  </si>
  <si>
    <t xml:space="preserve">1) The prior-year figure for 2021 has been adjusted. </t>
  </si>
  <si>
    <t>6) The prior-year figure for 2018 has been adjusted.</t>
  </si>
  <si>
    <t>8) The key figure was no longer collected from 2022, as Publibike was sold on 4.2.2022.</t>
  </si>
  <si>
    <t>9) New calculation basis for 2007. This means that a comparison with previous years is not possible.</t>
  </si>
  <si>
    <t xml:space="preserve">17) The Mobility Services segment was newly created in 2021, and PostBus Ltd, Post Company Cars Ltd and PubliBike AG were merged into a single business unit. PubliBike was sold on 4 February 2022. </t>
  </si>
  <si>
    <t>20) From 2018, the key figure includes SameDay consignments from notime.</t>
  </si>
  <si>
    <t>21) The category was added in 2021 and entered retroactively for 2019 onwards.</t>
  </si>
  <si>
    <t>24) The prior-year figure for 2021 did not correspond to the active users and was adjusted accordingly.</t>
  </si>
  <si>
    <t>25) The prior-year figure for 2021 has been adjusted (rounded).</t>
  </si>
  <si>
    <t>2) Switzerland Group: data from the human resources system, currently excluding data on 1,402 full-time equivalents or 5,582 persons from the subsidiaries B-Sped Logistics (Suisse) SA, Epsilon SA, Direct Mail Company AG, PubliBike AG, DESTINAS AG, KLARA Business Ltd, Relatra AG, BPS Speditions-Service AG, Arlesheim, BPS Speditions-Service AG, Pfungen, Walli-Trans AG, ASMIQ AG, notime AG, notime (Schweiz) AG, Dialog Verwaltungs-Data AG, SwissSign AG, Tresorit AG, Bring! Labs AG, Livesystems Group AG, Livesystems AG, Livesystems dooh AG, Iemoli Trasporti SA, InTraLog Hermes AG, InTraLog Overseas AG, Otto Schmidt Ltd, Steriplus AG, Stericenter SA, Mediwar AG, Marcel Blanc et Cie SA, Unblu Inc., Groupe T2i Suisse SA, Hacknowledge SA, Stella Brandenberger AG, axsana AG, eoscop AG, H. Bucher Internationale Transporte AG, adiacom AG, Kickbag GmbH</t>
  </si>
  <si>
    <t>9) Switzerland Group: data from the human resources system, currently excluding data on 1,402 full-time equivalents or 5,582 persons from the subsidiaries B-Sped Logistics (Suisse) SA, Epsilon SA, Direct Mail Company AG, PubliBike AG, DESTINAS AG, KLARA Business Ltd, Relatra AG, BPS Speditions-Service AG, Arlesheim, BPS Speditions-Service AG, Pfungen, Walli-Trans AG, ASMIQ AG, notime AG, notime (Schweiz) AG, Dialog Verwaltungs-Data AG, SwissSign AG, Tresorit AG, Bring! Labs AG, Livesystems Group AG, Livesystems AG, Livesystems dooh AG, Iemoli Trasporti SA, InTraLog Hermes AG, InTraLog Overseas AG, Otto Schmidt Ltd, Steriplus AG, Stericenter SA, Mediwar AG, Marcel Blanc et Cie SA, Unblu Inc., Groupe T2i Suisse SA, Hacknowledge SA, Stella Brandenberger AG, axsana AG, eoscop AG, H. Bucher Internationale Transporte AG, adiacom AG, Kickbag GmbH</t>
  </si>
  <si>
    <t>Underfunding/(overfunding) of recognized employee benefit obligations / (benefit plan assets) in accordance with IFRS, net</t>
  </si>
  <si>
    <t>1) In accordance with the segment disclosure in the Financial Report.</t>
  </si>
  <si>
    <t>5) Switzerland Group: data from the human resources system, currently excluding data on 1,402 full-time equivalents or 5,582 persons from the subsidiaries B-Sped Logistics (Suisse) SA, Epsilon SA, Direct Mail Company AG, PubliBike AG, DESTINAS AG, KLARA Business Ltd, Relatra AG, BPS Speditions-Service AG, Arlesheim, BPS Speditions-Service AG, Pfungen, Walli-Trans AG, ASMIQ AG, notime AG, notime (Schweiz) AG, Dialog Verwaltungs-Data AG, SwissSign AG, Tresorit AG, Bring! Labs AG, Livesystems Group AG, Livesystems AG, Livesystems dooh AG, Iemoli Trasporti SA, InTraLog Hermes AG, InTraLog Overseas AG, Otto Schmidt Ltd, Steriplus AG, Stericenter SA, Mediwar AG, Marcel Blanc et Cie SA, Unblu Inc., Groupe T2i Suisse SA, Hacknowledge SA, Stella Brandenberger AG, axsana AG, eoscop AG, H. Bucher Internationale Transporte AG, adiacom AG, Kickbag GmbH</t>
  </si>
  <si>
    <t>5) The definition of rural municipalities was adjusted in line with the new survey from 2022 and retroactively for 2021 and is based on SECO’s New Regional Policy (VRP). The figures for 2004 to 2020 are not comparable with the figures for 2021 and 2022.</t>
  </si>
  <si>
    <t>6) Switzerland Group: data from the human resources system, currently excluding data on 1,402 full-time equivalents or 5,582 persons from the subsidiaries B-Sped Logistics (Suisse) SA, Epsilon SA, Direct Mail Company AG, PubliBike AG, DESTINAS AG, KLARA Business Ltd, Relatra AG, BPS Speditions-Service AG, Arlesheim, BPS Speditions-Service AG, Pfungen, Walli-Trans AG, ASMIQ AG, notime AG, notime (Schweiz) AG, Dialog Verwaltungs-Data AG, SwissSign AG, Tresorit AG, Bring! Labs AG, Livesystems Group AG, Livesystems AG, Livesystems dooh AG, Iemoli Trasporti SA, InTraLog Hermes AG, InTraLog Overseas AG, Otto Schmidt Ltd, Steriplus AG, Stericenter SA, Mediwar AG, Marcel Blanc et Cie SA, Unblu Inc., Groupe T2i Suisse SA, Hacknowledge SA, Stella Brandenberger AG, axsana AG, eoscop AG, H. Bucher Internationale Transporte AG, adiacom AG, Kickbag GmbH</t>
  </si>
  <si>
    <t>2) “naturemade star” certified green power</t>
  </si>
  <si>
    <t>2) Swiss Post ensures that all its in-house electricity requirements are covered using energy from renewable sources. In cases where Swiss Post does not procure renewable electricity from the universal service or produce it itself, it purchases guarantees of origin. In 2022, some of the electricity requirement was met by European power from renewable sources as an exception as the dry summer meant no more electricity was available from renewable energy sources of certified Swiss origin.</t>
  </si>
  <si>
    <t>Purchased goods and services (Scope 3.1)</t>
  </si>
  <si>
    <t>Fuel and energy-related activities (Scope 3.3)</t>
  </si>
  <si>
    <t>Upstream transportation and distribution (Scope 3.4)</t>
  </si>
  <si>
    <t>Waste generated in operations (Scope 3.5)</t>
  </si>
  <si>
    <t>Business travel (Scope 3.6)</t>
  </si>
  <si>
    <t>Employee commuting (Scope 3.7)</t>
  </si>
  <si>
    <t>Upstream leased assets (Scope 3.8)</t>
  </si>
  <si>
    <t>Downstream leased assets (Scope 3.13)</t>
  </si>
  <si>
    <t>Vehicle leases</t>
  </si>
  <si>
    <t>Fuel sales</t>
  </si>
  <si>
    <t>Postshops</t>
  </si>
  <si>
    <t>Purchased goods and services</t>
  </si>
  <si>
    <t>Capital goods</t>
  </si>
  <si>
    <t>CO2 intensity of operating income (Scopes 1 and 2)</t>
  </si>
  <si>
    <t>CO2 intensity of jobs (Scopes 1 and 2)</t>
  </si>
  <si>
    <t>Capital goods (Scope 3.2)</t>
  </si>
  <si>
    <t>Use of sold products (Scope 3.11)</t>
  </si>
  <si>
    <t>Investments (Scope 3.15)</t>
  </si>
  <si>
    <t>CO2 intensity of operating income (Scope 3)</t>
  </si>
  <si>
    <t>CO2 intensity of jobs (Scope 3)</t>
  </si>
  <si>
    <t>Emission reductions sold (KliK Foundation)</t>
  </si>
  <si>
    <t xml:space="preserve">2) From 2022, CO2 intensities are reported separately: Scopes 1 and 2 (in-house operations) and Scope 3 (rest of the value chain). </t>
  </si>
  <si>
    <t>4) Data collected from 2018.</t>
  </si>
  <si>
    <t>4) Figures for 2022 are expected values. The definitive value will not be available until Q4 2023 and will be reported in the following year.</t>
  </si>
  <si>
    <t>3) The base year 2021 is recalculated retroactively in the event of acquisitions/disposals of subsidiaries or changes in data quality, as 2021 is used as the base year for the 2030/2040 climate targets.</t>
  </si>
  <si>
    <t>5) Data collected from 2019.</t>
  </si>
  <si>
    <t xml:space="preserve">6) The financed emissions of the corporate bonds were compiled for the first time in 2022 and recorded retroactively for 2021. Coverage stands at 81%. Scope 1 and 2 emissions from the companies invested in are included. Owing to the dependence on the volatile investment volume and fluctuations in company emissions, the emissions level can differ significantly from year to year. More information can be found in the disclosure of climate-related financial risks on the PostFinance website. </t>
  </si>
  <si>
    <t>7) Data collected from 2021.</t>
  </si>
  <si>
    <t>8) The emissions from purchased goods and services were calculated for the first time in 2022 using emission factors per goods group (secondary data) and entered retroactively for 2021. With the expected change in the data basis (e.g. primary data), emissions are recalculated regularly to rectify any potential lack of clarity due to limited data quality or availability at the time of calculation.</t>
  </si>
  <si>
    <t>9) From 2021, photocopying paper and printer products are included in "Purchased goods and services”</t>
  </si>
  <si>
    <t>The future of my job</t>
  </si>
  <si>
    <t>3) Switzerland Group: data from the human resources system, currently excluding data on 1,402 full-time equivalents or 5,582 persons from the subsidiaries B-Sped Logistics (Suisse) SA, Epsilon SA, Direct Mail Company AG, PubliBike AG, DESTINAS AG, KLARA Business Ltd, Relatra AG, BPS Speditions-Service AG, Arlesheim, BPS Speditions-Service AG, Pfungen, Walli-Trans AG, ASMIQ AG, notime AG, notime (Schweiz) AG, Dialog Verwaltungs-Data AG, SwissSign AG, Tresorit AG, Bring! Labs AG, Livesystems Group AG, Livesystems AG, Livesystems dooh AG, Iemoli Trasporti SA, InTraLog Hermes AG, InTraLog Overseas AG, Otto Schmidt Ltd, Steriplus AG, Stericenter SA, Mediwar AG, Marcel Blanc et Cie SA, Unblu Inc., Groupe T2i Suisse SA, Hacknowledge SA, Stella Brandenberger AG, axsana AG, eoscop AG, H. Bucher Internationale Transporte AG, adiacom AG, Kickbag GmbH</t>
  </si>
  <si>
    <t>3) Time comparison not possible due to index adjustment</t>
  </si>
  <si>
    <t>4) New index on the topic “Future of the workplace” in 2022</t>
  </si>
  <si>
    <t>1) Switzerland Group: data from the human resources system, currently excluding data on 1,402 full-time equivalents or 5,582 persons from the subsidiaries B-Sped Logistics (Suisse) SA, Epsilon SA, Direct Mail Company AG, PubliBike AG, DESTINAS AG, KLARA Business Ltd, Relatra AG, BPS Speditions-Service AG, Arlesheim, BPS Speditions-Service AG, Pfungen, Walli-Trans AG, ASMIQ AG, notime AG, notime (Schweiz) AG, Dialog Verwaltungs-Data AG, SwissSign AG, Tresorit AG, Bring! Labs AG, Livesystems Group AG, Livesystems AG, Livesystems dooh AG, Iemoli Trasporti SA, InTraLog Hermes AG, InTraLog Overseas AG, Otto Schmidt Ltd, Steriplus AG, Stericenter SA, Mediwar AG, Marcel Blanc et Cie SA, Unblu Inc., Groupe T2i Suisse SA, Hacknowledge SA, Stella Brandenberger AG, axsana AG, eoscop AG, H. Bucher Internationale Transporte AG, adiacom AG, Kickbag GmbH</t>
  </si>
  <si>
    <t>Settore di attività Comunicazione &amp; logistica</t>
  </si>
  <si>
    <t>Grandi clienti</t>
  </si>
  <si>
    <t>Clienti piccoli/medi</t>
  </si>
  <si>
    <t>Settore di attività Servizi finanziari</t>
  </si>
  <si>
    <t>Settore di attività Trasporto di persone</t>
  </si>
  <si>
    <t>Dati storici</t>
  </si>
  <si>
    <t>Utenti E-Post</t>
  </si>
  <si>
    <t xml:space="preserve">1) Il valore dell’anno precedente (2021) è stato adattato. </t>
  </si>
  <si>
    <t>6) Il valore dell’anno precedente (2018) è stato adattato.</t>
  </si>
  <si>
    <t>8) In seguito alla vendita di PubliBike conclusa il 4 febbraio 2022, dal 2022 l’indice in questione non viene più rilevato.</t>
  </si>
  <si>
    <t>9) Nuova base di calcolo per il 2007. Non è possibile pertanto effettuare un confronto con gli anni precedenti.</t>
  </si>
  <si>
    <t>16) Il segmento Servizi di comunicazione è stato creato nel 2021. Di conseguenza non vi sono valori comparativi per gli anni precedenti.</t>
  </si>
  <si>
    <t xml:space="preserve">17) Il segmento Servizi di mobilità è stato creato nel 2021 mentre AutoPostale SA, Post Company Cars SA e PubliBike SA sono state raggruppate in un’unica unità operativa. Il 4 febbraio 2022 PubliBike è stata venduta. </t>
  </si>
  <si>
    <t>20) Dal 2018 l’indice contiene gli invii SameDay di notime.</t>
  </si>
  <si>
    <t>21) Questa categoria è stata introdotta nel 2021 e registrata a posteriori per gli anni a partire dal 2019.</t>
  </si>
  <si>
    <t>24) Il valore dell’anno precedente (2021) non corrispondeva agli utenti attivi ed è stato pertanto rettificato.</t>
  </si>
  <si>
    <t>25) Il valore dell’anno precedente (2021) è stato adattato (arrotondato).</t>
  </si>
  <si>
    <t>2) Gruppo Svizzera: dati desunti dal sistema del personale, attualmente senza dati su circa 1402 unità di personale, ovvero circa 5582 persone delle società del gruppo B-Sped Logistics (Suisse) SA, Epsilon SA, Direct Mail Company AG, PubliBike SA, DESTINAS AG, KLARA Business SA, Relatra AG, BPS Speditions-Service AG, Arlesheim, BPS Speditions-Service AG, Pfungen, Walli-Trans AG, ASMIQ AG, notime AG, notime (Schweiz) AG, DIALOG VERWALTUNGS-DATA AG, SwissSign AG, Tresorit AG, Bring! Labs AG, Livesystems Group SA, Livesystems SA, Livesystems dooh SA, Iemoli Trasporti SA, InTraLog Hermes AG, InTraLog Overseas AG, Otto Schmidt SA, Steriplus AG, Stericenter SA, Mediwar AG, Marcel Blanc et Cie SA, Unblu Inc., Groupe T2i Suisse SA, Hacknowledge SA, Stella Brandenberger Transporte AG, axsana AG, eoscop AG, H. Bucher Internationale Transporte AG, adiacom AG, Kickbag GmbH</t>
  </si>
  <si>
    <t>9) Gruppo Svizzera: dati desunti dal sistema del personale, attualmente senza dati su circa 1402 unità di personale, ovvero circa 5582 persone delle società del gruppo B-Sped Logistics (Suisse) SA, Epsilon SA, Direct Mail Company AG, PubliBike SA, DESTINAS AG, KLARA Business SA, Relatra AG, BPS Speditions-Service AG, Arlesheim, BPS Speditions-Service AG, Pfungen, Walli-Trans AG, ASMIQ AG, notime AG, notime (Schweiz) AG, DIALOG VERWALTUNGS-DATA AG, SwissSign AG, Tresorit AG, Bring! Labs AG, Livesystems Group SA, Livesystems SA, Livesystems dooh SA, Iemoli Trasporti SA, InTraLog Hermes AG, InTraLog Overseas AG, Otto Schmidt SA, Steriplus AG, Stericenter SA, Mediwar AG, Marcel Blanc et Cie SA, Unblu Inc., Groupe T2i Suisse SA, Hacknowledge SA, Stella Brandenberger Transporte AG, axsana AG, eoscop AG, H. Bucher Internationale Transporte AG, adiacom AG, Kickbag GmbH</t>
  </si>
  <si>
    <t>Copertura insufficiente / (copertura eccedente) impegni previdenziali iscritti a bilancio / (patrimonio previdenziale) secondo gli IFRS, netto</t>
  </si>
  <si>
    <t>1) In conformità con il prospetto per segmento contenuto nel Rapporto finanziario</t>
  </si>
  <si>
    <t>10) Dal 2022 non viene più riportato nessun valore per il risultato d’esercizio all’estero.</t>
  </si>
  <si>
    <t>5) La definizione di comune rurale, ripresa dall’Ordinanza sulla politica regionale della SECO, è stata modifica in base al nuovo rilevamento a partire dal 2022 e con effetto retroattivo per il 2021. I valori dal 2004 al 2020 non sono confrontabili con quelli del 2021 e 2022.</t>
  </si>
  <si>
    <t>6) Gruppo Svizzera: dati desunti dal sistema del personale, attualmente senza dati su circa 1402 unità di personale, ovvero circa 5582 persone delle società del gruppo B-Sped Logistics (Suisse) SA, Epsilon SA, Direct Mail Company AG, PubliBike SA, DESTINAS AG, KLARA Business SA, Relatra AG, BPS Speditions-Service AG, Arlesheim, BPS Speditions-Service AG, Pfungen, Walli-Trans AG, ASMIQ AG, notime AG, notime (Schweiz) AG, DIALOG VERWALTUNGS-DATA AG, SwissSign AG, Tresorit AG, Bring! Labs AG, Livesystems Group SA, Livesystems SA, Livesystems dooh SA, Iemoli Trasporti SA, InTraLog Hermes AG, InTraLog Overseas AG, Otto Schmidt SA, Steriplus AG, Stericenter SA, Mediwar AG, Marcel Blanc et Cie SA, Unblu Inc., Groupe T2i Suisse SA, Hacknowledge SA, Stella Brandenberger Transporte AG, axsana AG, eoscop AG, H. Bucher Internationale Transporte AG, adiacom AG, Kickbag GmbH</t>
  </si>
  <si>
    <t>2) Corrente ecologica certificata «naturemade star»</t>
  </si>
  <si>
    <t>2) La Posta garantisce che il suo intero fabbisogno energetico interno sia coperto con energie prodotte da fonti rinnovabili. Quando non acquista energia elettrica generata da fonti rinnovabili dall’approvvigionamento di base o non la produce direttamente, acquista garanzie di origine. Nell’anno in esame, per coprire parte del fabbisogno energetico si è fatto ricorso eccezionalmente a energia rinnovabile di origine europea poiché, a causa dell’ondata di siccità registrata durante la stagione estiva, le riserve energetiche da fonti rinnovabili di provenienza svizzera erano state esaurite.</t>
  </si>
  <si>
    <t>Beni e servizi acquistati (Scope 3.1)</t>
  </si>
  <si>
    <t>Attività correlate all’energia e ai combustibili (Scope 3.3)</t>
  </si>
  <si>
    <t>Trasporti e distribuzione a monte (Scope 3.4)</t>
  </si>
  <si>
    <t>Rifiuti (Scope 3.5)</t>
  </si>
  <si>
    <t>Viaggi aziendali (Scope 3.6)</t>
  </si>
  <si>
    <t>Pendolarità dei dipendenti (Scope 3.7)</t>
  </si>
  <si>
    <t>Attività in leasing a monte (Scope 3.8)</t>
  </si>
  <si>
    <t>Attività in leasing a valle (Scope 3.13)</t>
  </si>
  <si>
    <t>Leasing di veicoli</t>
  </si>
  <si>
    <t>Vendita di carburante</t>
  </si>
  <si>
    <t>Postshop</t>
  </si>
  <si>
    <t>Beni e servizi acquistati</t>
  </si>
  <si>
    <t>Beni strumentali</t>
  </si>
  <si>
    <t>Intensità di CO2 dei ricavi d’esercizio (Scope 1 e 2)</t>
  </si>
  <si>
    <t>Intensità di CO2 dei posti di lavoro (Scope 1 e 2)</t>
  </si>
  <si>
    <t>Beni strumentali (Scope 3.2)</t>
  </si>
  <si>
    <t>Uso di prodotti venduti (Scope 3.11)</t>
  </si>
  <si>
    <t>Investimenti (Scope 3.15)</t>
  </si>
  <si>
    <t>Intensità di CO2 dei ricavi d’esercizio (Scope 3)</t>
  </si>
  <si>
    <t>Intensità di CO2 dei posti di lavoro (Scope 3)</t>
  </si>
  <si>
    <t>Riduzioni di emissioni vendute (Fondazione KliK)</t>
  </si>
  <si>
    <t xml:space="preserve">2) Dal 2022 per le intensità di CO2 è prevista una rendicontazione separata: Scope 1 e 2 (attività proprie) e Scope 3 (restante catena di creazione del valore). </t>
  </si>
  <si>
    <t>4) I dati vengono rilevati a partire dal 2018.</t>
  </si>
  <si>
    <t>4) Le cifre relative al 2022 sono valori previsti. Quelli definitivi saranno disponibili solo nel quarto trimestre 2023 e saranno rendicontati l’anno successivo.</t>
  </si>
  <si>
    <t>3) L’anno 2021 funge da anno di riferimento per gli obiettivi climatici 2030/2040. Per questa ragione i valori sono stati ricalcolati con effetto retroattivo al fine di includere le acquisizioni e le vendite di società del gruppo o eventuali modifiche nella qualità dei dati.</t>
  </si>
  <si>
    <t>5) I dati vengono rilevati a partire dal 2019.</t>
  </si>
  <si>
    <t xml:space="preserve">6) Le emissioni finanziate delle obbligazioni corporate sono state rilevate per la prima volta nel 2022 e sono state registrate a posteriori con effetto retroattivo per il 2021. Il grado di copertura è pari all’81%. Vengono prese in considerazione le emissioni degli Scope 1 e  2 delle aziende interessate. Essendo influenzato dalla volatilità degli investimenti e dalle oscillazioni delle emissioni aziendali, il valore delle emissioni può variare notevolmente di anno in anno. Per ulteriori informazioni si rimanda alla pubblicazione dei rischi finanziari legati al clima disponibile sul sito di PostFinance. </t>
  </si>
  <si>
    <t>7) I dati vengono rilevati a partire dal 2021.</t>
  </si>
  <si>
    <t>8) Le emissioni di beni e servizi acquistati sono state conteggiate per la prima volta nel 2022 utilizzando fattori di emissione per i vari gruppi merceologici (dati secondari) e sono state registrate a posteriori con effetto retroattivo per il 2021. Con la prevista variazione della base dei dati (ad es. dati primari) vengono ricalcolate regolarmente le emissioni e corretti eventuali valori approssimativi riconducibili a qualità e disponibilità limitate dei dati al momento del calcolo.</t>
  </si>
  <si>
    <t>9) La carta per fotocopie e gli stampati vengono rilevati dal 2021 alla voce «Beni e servizi acquistati».</t>
  </si>
  <si>
    <t>Il futuro del mio posto di lavoro</t>
  </si>
  <si>
    <t>3) Gruppo Svizzera: dati desunti dal sistema del personale, attualmente senza dati su circa 1402 unità di personale, ovvero circa 5582 persone delle società del gruppo B-Sped Logistics (Suisse) SA, Epsilon SA, Direct Mail Company AG, PubliBike SA, DESTINAS AG, KLARA Business SA, Relatra AG, BPS Speditions-Service AG, Arlesheim, BPS Speditions-Service AG, Pfungen, Walli-Trans AG, ASMIQ AG, notime AG, notime (Schweiz) AG, DIALOG VERWALTUNGS-DATA AG, SwissSign AG, Tresorit AG, Bring! Labs AG, Livesystems Group SA, Livesystems SA, Livesystems dooh SA, Iemoli Trasporti SA, InTraLog Hermes AG, InTraLog Overseas AG, Otto Schmidt SA, Steriplus AG, Stericenter SA, Mediwar AG, Marcel Blanc et Cie SA, Unblu Inc., Groupe T2i Suisse SA, Hacknowledge SA, Stella Brandenberger Transporte AG, axsana AG, eoscop AG, H. Bucher Internationale Transporte AG, adiacom AG, Kickbag GmbH</t>
  </si>
  <si>
    <t>3) Nessun confronto temporale possibile a causa della modifica dell’indice</t>
  </si>
  <si>
    <t>4) Nuovo indice introdotto nel 2022 per il tema «Il futuro del mio posto di lavoro»</t>
  </si>
  <si>
    <t>1) Gruppo Svizzera: dati desunti dal sistema del personale, attualmente senza dati su circa 1402 unità di personale, ovvero circa 5582 persone delle società del gruppo B-Sped Logistics (Suisse) SA, Epsilon SA, Direct Mail Company AG, PubliBike SA, DESTINAS AG, KLARA Business SA, Relatra AG, BPS Speditions-Service AG, Arlesheim, BPS Speditions-Service AG, Pfungen, Walli-Trans AG, ASMIQ AG, notime AG, notime (Schweiz) AG, DIALOG VERWALTUNGS-DATA AG, SwissSign AG, Tresorit AG, Bring! Labs AG, Livesystems Group SA, Livesystems SA, Livesystems dooh SA, Iemoli Trasporti SA, InTraLog Hermes AG, InTraLog Overseas AG, Otto Schmidt SA, Steriplus AG, Stericenter SA, Mediwar AG, Marcel Blanc et Cie SA, Unblu Inc., Groupe T2i Suisse SA, Hacknowledge SA, Stella Brandenberger Transporte AG, axsana AG, eoscop AG, H. Bucher Internationale Transporte AG, adiacom AG, Kickbag GmbH</t>
  </si>
  <si>
    <t>b</t>
  </si>
  <si>
    <t>26) Die Kennzahl umfasst die gesamten von PostAuto gefahrenen Kilometer (exkl. Liechtenstein).</t>
  </si>
  <si>
    <t>1) Il 2022 rappresenta un rilevamento zero. A causa di cambiamenti nella struttura organizzativa e nuove ponderazioni, non sono disponibili valori comparabili dell’anno precedente.</t>
  </si>
  <si>
    <t>9) Il segmento Swiss Post Solutions viene presentato separatamente nel conto economico consolidato tra le attività operative cessate. Il gruppo SPS è stato venduto il 30 marzo 2022.</t>
  </si>
  <si>
    <t>1) Il metodo di calcolo per rilevare i bonifici e-finance è stato modificato. Ora viene indicato il numero di transazioni al posto del numero di ordini. I valori degli anni 2020 e 2021 sono stati adattati.</t>
  </si>
  <si>
    <t xml:space="preserve">2) Il metodo di calcolo per rilevare i bonifici EFT/POS è stato modificato. Ora viene indicato il numero di transazioni (incl. il trasferimento di capitali) al posto del numero di ordini. I valori degli anni 2020 e 2021 sono stati adattati. </t>
  </si>
  <si>
    <t xml:space="preserve">3) Il metodo di calcolo per il rilevamento dei bonifici cartacei è stato modificato. Ora viene indicato il numero di transazioni (incl. le entrate interbancarie) al posto del numero di ordini. I valori degli anni 2020 e 2021 sono stati adattati. </t>
  </si>
  <si>
    <t xml:space="preserve">5) Nell’anno di esercizio 2021 l’organico comprende anche i valori del segmento Swiss Post Solutions, destinato alla vendita a partire da metà dicembre 2021. Nell’anno d’esercizio 2021 l’organico è pari a 33’207 unità di personale, esclusa SPS (anno precedente: 32’696). Nell’anno di esercizio 2021 l’organico nelle unità di personale all’estero senza SPS ammonta a 400 unità (anno precedente: 215). Nel 2021 il numero di collaboratori del gruppo, escl. SPS, ammonta a 46’944 (anno precedente: 47’254). Il numero di collaboratori del gruppo all’estero, escl. SPS, ammonta nel 2021 a 429 unità (anno precedente: 240). Il gruppo SPS è stato venduto il 30 marzo 2022. Di conseguenza, dal 2022 i valori sono indicati senza SPS. </t>
  </si>
  <si>
    <t>5) AutoPostale SA, PostFinance SA, Swiss Post Solutions SA, SecurePost SA, Posta Immobili Management e Servizi SA, Post Company Cars SA, Presto Presse-Vertriebs AG. Il gruppo SPS è stato venduto il 30 marzo 2022. Di conseguenza, a partire dal 2022 i valori sono indicati senza Swiss Post Solutions SA.</t>
  </si>
  <si>
    <t>10) Ab 2022 wird kein Wert für das Betriebsergebnis im Ausland mehr ausgewiesen.</t>
  </si>
  <si>
    <t>10) À partir de 2022, aucune valeur n’est plus affichée pour le résultat d’exploitation à l’étranger.</t>
  </si>
  <si>
    <t>10) From 2022, no value will be reported for operating profit abroad.</t>
  </si>
  <si>
    <t>5) Gruppo Svizzera: dati desunti dal sistema del personale, attualmente senza dati su circa 1402 unità di personale, ovvero circa 5582 persone delle società del gruppo B-Sped Logistics (Suisse) SA, Epsilon SA, Direct Mail Company AG, PubliBike SA, DESTINAS AG, KLARA Business SA, Relatra AG, BPS Speditions-Service AG, Arlesheim, BPS Speditions-Service AG, Pfungen, Walli-Trans AG, ASMIQ AG, notime AG, notime (Schweiz) AG, DIALOG VERWALTUNGS-DATA AG, SwissSign AG, Tresorit AG, Bring! Labs AG, Livesystems Group SA, Livesystems SA, Livesystems dooh SA, Iemoli Trasporti SA, InTraLog Hermes AG, InTraLog Overseas AG, Otto Schmidt SA, Steriplus AG, Stericenter SA, Mediwar AG, Marcel Blanc et Cie SA, Unblu Inc., Groupe T2i Suisse SA, Hacknowledge SA, Stella Brandenberger Transporte AG, axsana AG, eoscop AG, H. Bucher Internationale Transporte AG, adiacom AG, Kickbag GmbH</t>
  </si>
  <si>
    <t>3) Électricité produite à partir d’énergies renouvelables provenant du pays où a lieu la consommation d’électricité. Lorsqu’elle n’achète pas d’électricité renouvelable relevant du service universel, elle achète des certificats d’origine. En 2022, une partie des besoins en électricité a été exceptionnellement couverte par de l’électricité européenne issue de sources renouvelables car, en raison de la sécheresse estivale, l’électricité issue de sources renouvelables avec garantie d’origine suisse n’était plus disponible.</t>
  </si>
  <si>
    <t>3) Energia elettrica prodotta da fonti rinnovabili provenienti dal paese in cui l’energia elettrica viene consumata. Quando non acquista energia elettrica generata da fonti rinnovabili dall’approvvigionamento di base, acquista garanzie di origine. Nell’anno in esame, per coprire parte del fabbisogno energetico si è fatto ricorso eccezionalmente a energia rinnovabile di origine europea poiché, a causa dell’ondata di siccità registrata durante la stagione estiva, le riserve energetiche da fonti rinnovabili di provenienza svizzera erano state esaurite.</t>
  </si>
  <si>
    <t>3) Electricity from renewable sources from the country where the electricity is consumed. In cases where Swiss Post does not procure renewable electricity from the universal service, it purchases guarantees of origin. In 2022, some of the electricity requirement was met by European power from renewable sources as an exception as the dry summer meant no more electricity was available from renewable energy sources of certified Swiss origin.</t>
  </si>
  <si>
    <t>2) Il gruppo SPS è stato venduto il 30 marzo 2022. Di conseguenza, a partire dal 2022 gli indici sono indicati senza il gruppo SPS. I valori dell’anno precedente sono stati adattati.</t>
  </si>
  <si>
    <t xml:space="preserve">1) La méthode de calcul pour déterminer les virements via e-finance a été adaptée. Désormais, c’est le nombre de transactions qui est présenté, à la place du nombre d’ordres. Les valeurs des exercices 2020 et 2021 ont été ajustées. </t>
  </si>
  <si>
    <t xml:space="preserve">2) La méthode de calcul pour déterminer les virements EFT/POS a été adaptée. Désormais, c’est le nombre de transactions (y compris transfert de capital) qui est présenté, à la place du nombre d’ordres. Les valeurs des exercices 2020 et 2021 ont été ajustées. </t>
  </si>
  <si>
    <t xml:space="preserve">3) La méthode de calcul pour déterminer les virements papier a été adaptée. Désormais, c’est le nombre de transactions (y compris réceptions interbancaires) qui est présenté, à la place du nombre d’ordres. Les valeurs des exercices 2020 et 2021 ont été ajustées. </t>
  </si>
  <si>
    <t xml:space="preserve">5) Lors de l’exercice 2021, l’effectif intègre également les valeurs du segment Swiss Post Solutions qui a été classé comme destiné à la vente depuis mi-décembre 2021. L’effectif des unités de personnel (hors SPS) s’élève à 33 207 pour l’exercice 2021 (ex. préc.: 32 696). L’effectif des unités de personnel à l’étranger (hors SPS) s’élève à 400 pour l’exercice 2021 (ex. préc.: 215). Le nombre de collaborateurs du groupe (hors SPS) s’élève à 46 944 pour l’année 2021 (ex. préc.: 47 254). Le nombre de collaborateurs du groupe à l’étranger (hors SPS) s’élève à 429 pour l’année 2021 (ex. préc.: 240).  Le groupe SPS a été vendu le 30 mars 2022.  Par conséquent, les valeurs sont indiquées sans SPS à partir de 2022. </t>
  </si>
  <si>
    <t xml:space="preserve">5) CarPostal SA, PostFinance SA, Swiss Post Solutions SA, SecurePost SA, Poste Immobilier Management et Services SA, Post Company Cars SA, Presto Presse-Vertriebs AG. Le groupe SPS a été vendu le 30 mars 2022.  Par conséquent, les valeurs sont indiquées sans Swiss Post Solutions SA à partir de 2022. </t>
  </si>
  <si>
    <t>1) Le sondage sur la satisfaction de la clientèle 2022 constitue un sondage zéro. En raison de changements apportés à la structure organisationnelle et de nouvelles pondérations, les valeurs de l’exercice sous revue ne sont pas comparables avec celles des exercices précédents.</t>
  </si>
  <si>
    <t xml:space="preserve">9) Lors de l’exercice 2021, le segment Swiss Post Solutions a été présenté séparément dans le compte de résultat consolidé, en tant qu’activité abandonnée. Le groupe SPS a été vendu le 30 mars 2022. </t>
  </si>
  <si>
    <t xml:space="preserve">2) Le groupe SPS a été vendu le 30 mars 2022. Par conséquent, les chiffres clés sont présentés sans le groupe SPS à partir de 2022. Les valeurs de l’exercice précédent ont été ajustées. </t>
  </si>
  <si>
    <t xml:space="preserve">1) The calculation method used to determine e-finance transfers has been adjusted. The number of transactions is now shown instead of the number of orders. The prior-year figures for 2020 and 2021 have been adjusted. </t>
  </si>
  <si>
    <t xml:space="preserve">2) The calculation method used to determine EFT/POS transfers has been adjusted. The number of transactions (including transfer of capital) is now shown instead of the number of orders. The prior-year figures for 2020 and 2021 have been adjusted. </t>
  </si>
  <si>
    <t xml:space="preserve">3) The calculation method used to determine paper transfers has been adjusted. The number of transactions (including interbank receipts) is now shown instead of the number of orders. The prior-year figures for 2020 and 2021 have been adjusted. </t>
  </si>
  <si>
    <t xml:space="preserve">5) In the 2021 financial year, the headcount also includes the values for the Swiss Post Solutions segment, which was earmarked for sale from mid-December 2021. The headcount in full-time equivalents excluding SPS stands at 33,207 in the 2021 financial year (previous year: 32,696). The headcount in full-time equivalents abroad excluding SPS stands at 400 in the 2021 financial year (previous year: 215). The number of Group staff excluding SPS stands at 46,944 in 2021 (previous year: 47,254). The number of Group staff abroad excluding SPS stands at 429 in 2021 (previous year: 240).  SPS Group was sold on 30 March 2022.  As a result, the figures are shown without SPS from 2022. </t>
  </si>
  <si>
    <t xml:space="preserve">5) PostBus Ltd, PostFinance Ltd, Swiss Post Solutions Ltd, SecurePost Ltd, Post Real Estate Management and Services Ltd, Post Company Cars Ltd, Presto Presse-Vertriebs AG. SPS Group was sold on 30 March 2022.  As a result, the figures are shown without Swiss Post Solutions Ltd from 2022. </t>
  </si>
  <si>
    <t>1) 2022 represents a baseline measurement. Owing to changes to the organizational structure and new weightings, no comparable prior-year figures are available.</t>
  </si>
  <si>
    <t xml:space="preserve">9) In the 2021 financial year, the Swiss Post Solutions segment was shown separately in the consolidated income statement under discontinued operations. SPS Group was sold on 30 March 2022. </t>
  </si>
  <si>
    <t xml:space="preserve">2) SPS Group was sold on 30 March 2022. As a result, the key figures are shown without SPS Group from 2022. The prior-year figures have been adjusted. </t>
  </si>
  <si>
    <t>26) The key figure indicates the total number of kilometres travelled by PostBus (excl. Liechtenstein).</t>
  </si>
  <si>
    <t>26) Le chiffre clé englobe l’ensemble des kilomètres parcourus par les véhicules de CarPostal (hors Liechtenstein).</t>
  </si>
  <si>
    <t>26) L’indice comprende il totale dei chilometri percorsi dai veicoli di AutoPostale (Liechtenstein escluso).</t>
  </si>
  <si>
    <t>2 – Allgemeine Standardangaben</t>
  </si>
  <si>
    <t>2 – Divulgations générales</t>
  </si>
  <si>
    <t>2 – Divulgazioni generali</t>
  </si>
  <si>
    <t>2 – General Disclosures</t>
  </si>
  <si>
    <t>2-6</t>
  </si>
  <si>
    <t>2-7</t>
  </si>
  <si>
    <t>2-7, 2-30</t>
  </si>
  <si>
    <t>2-29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</si>
</sst>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0.00_);_(* \(#,##0.00\);_(* &quot;-&quot;??_);_(@_)"/>
    <numFmt numFmtId="164" formatCode="_ * #,##0_ ;_ * \-#,##0_ ;_ * &quot;-&quot;??_ ;_ @_ "/>
    <numFmt numFmtId="165" formatCode="0.0"/>
    <numFmt numFmtId="166" formatCode="_ * #,##0.0_ ;_ * \-#,##0.0_ ;_ * &quot;-&quot;??_ ;_ @_ "/>
    <numFmt numFmtId="167" formatCode="#,##0.0"/>
    <numFmt numFmtId="168" formatCode="0.000"/>
    <numFmt numFmtId="169" formatCode="0.000000000"/>
    <numFmt numFmtId="170" formatCode="0.00000000000"/>
    <numFmt numFmtId="171" formatCode="###,000"/>
  </numFmts>
  <fonts count="118" x14ac:knownFonts="1">
    <font>
      <sz val="10"/>
      <color theme="1"/>
      <name val="Frutiger 45 Light"/>
      <family val="2"/>
    </font>
    <font>
      <sz val="10"/>
      <color theme="1"/>
      <name val="Frutiger 45 Light"/>
      <family val="2"/>
    </font>
    <font>
      <b/>
      <sz val="10"/>
      <color theme="0"/>
      <name val="Frutiger 45 Light"/>
      <family val="2"/>
    </font>
    <font>
      <b/>
      <sz val="10"/>
      <color theme="1"/>
      <name val="Frutiger 45 Light"/>
      <family val="2"/>
    </font>
    <font>
      <sz val="10"/>
      <color theme="0"/>
      <name val="Frutiger 45 Light"/>
      <family val="2"/>
    </font>
    <font>
      <sz val="16"/>
      <color theme="1"/>
      <name val="Frutiger 45 Light"/>
      <family val="2"/>
    </font>
    <font>
      <b/>
      <sz val="16"/>
      <color theme="1"/>
      <name val="Frutiger 45 Light"/>
      <family val="2"/>
    </font>
    <font>
      <b/>
      <sz val="16"/>
      <color theme="0"/>
      <name val="Frutiger 45 Light"/>
      <family val="2"/>
    </font>
    <font>
      <sz val="16"/>
      <color theme="0"/>
      <name val="Frutiger 45 Light"/>
      <family val="2"/>
    </font>
    <font>
      <u/>
      <sz val="10"/>
      <color theme="10"/>
      <name val="Frutiger 45 Light"/>
      <family val="2"/>
    </font>
    <font>
      <b/>
      <sz val="9"/>
      <color theme="0"/>
      <name val="Frutiger 45 Light"/>
      <family val="2"/>
    </font>
    <font>
      <sz val="9"/>
      <color theme="0"/>
      <name val="Frutiger 45 Light"/>
      <family val="2"/>
    </font>
    <font>
      <b/>
      <sz val="10"/>
      <name val="Frutiger 45 Light"/>
      <family val="2"/>
    </font>
    <font>
      <b/>
      <vertAlign val="superscript"/>
      <sz val="10"/>
      <name val="Frutiger 45 Light"/>
      <family val="2"/>
    </font>
    <font>
      <sz val="10"/>
      <name val="Frutiger 45 Light"/>
      <family val="2"/>
    </font>
    <font>
      <vertAlign val="superscript"/>
      <sz val="10"/>
      <name val="Frutiger 45 Light"/>
      <family val="2"/>
    </font>
    <font>
      <sz val="10"/>
      <color indexed="8"/>
      <name val="Frutiger 45 Light"/>
      <family val="2"/>
    </font>
    <font>
      <b/>
      <sz val="10"/>
      <color rgb="FFC00000"/>
      <name val="Frutiger 45 Light"/>
      <family val="2"/>
    </font>
    <font>
      <sz val="10"/>
      <color theme="10"/>
      <name val="Frutiger 45 Light"/>
      <family val="2"/>
    </font>
    <font>
      <sz val="8"/>
      <color theme="1"/>
      <name val="Frutiger 45 Light"/>
      <family val="2"/>
    </font>
    <font>
      <sz val="8"/>
      <name val="Frutiger 45 Light"/>
      <family val="2"/>
    </font>
    <font>
      <b/>
      <sz val="16"/>
      <name val="Frutiger 45 Light"/>
      <family val="2"/>
    </font>
    <font>
      <sz val="16"/>
      <name val="Frutiger 45 Light"/>
      <family val="2"/>
    </font>
    <font>
      <b/>
      <strike/>
      <sz val="10"/>
      <name val="Frutiger 45 Light"/>
      <family val="2"/>
    </font>
    <font>
      <strike/>
      <sz val="10"/>
      <name val="Frutiger 45 Light"/>
      <family val="2"/>
    </font>
    <font>
      <vertAlign val="subscript"/>
      <sz val="10"/>
      <color theme="1"/>
      <name val="Frutiger 45 Light"/>
      <family val="2"/>
    </font>
    <font>
      <b/>
      <sz val="10"/>
      <color theme="1"/>
      <name val="Wingdings 3"/>
      <family val="1"/>
      <charset val="2"/>
    </font>
    <font>
      <b/>
      <sz val="10"/>
      <name val="Wingdings 3"/>
      <family val="1"/>
      <charset val="2"/>
    </font>
    <font>
      <u/>
      <sz val="10"/>
      <color theme="10"/>
      <name val="Wingdings 3"/>
      <family val="1"/>
      <charset val="2"/>
    </font>
    <font>
      <u/>
      <sz val="10"/>
      <name val="Wingdings 3"/>
      <family val="1"/>
      <charset val="2"/>
    </font>
    <font>
      <sz val="10"/>
      <name val="Wingdings 3"/>
      <family val="1"/>
      <charset val="2"/>
    </font>
    <font>
      <b/>
      <sz val="16"/>
      <name val="Wingdings 3"/>
      <family val="1"/>
      <charset val="2"/>
    </font>
    <font>
      <sz val="16"/>
      <name val="Wingdings 3"/>
      <family val="1"/>
      <charset val="2"/>
    </font>
    <font>
      <b/>
      <u/>
      <sz val="16"/>
      <name val="Wingdings 3"/>
      <family val="1"/>
      <charset val="2"/>
    </font>
    <font>
      <u/>
      <sz val="16"/>
      <name val="Wingdings 3"/>
      <family val="1"/>
      <charset val="2"/>
    </font>
    <font>
      <b/>
      <u/>
      <sz val="10"/>
      <name val="Wingdings 3"/>
      <family val="1"/>
      <charset val="2"/>
    </font>
    <font>
      <b/>
      <sz val="16"/>
      <color theme="1"/>
      <name val="Wingdings 3"/>
      <family val="1"/>
      <charset val="2"/>
    </font>
    <font>
      <sz val="16"/>
      <color theme="1"/>
      <name val="Wingdings 3"/>
      <family val="1"/>
      <charset val="2"/>
    </font>
    <font>
      <sz val="10"/>
      <color theme="1"/>
      <name val="Wingdings 3"/>
      <family val="1"/>
      <charset val="2"/>
    </font>
    <font>
      <b/>
      <sz val="11"/>
      <color theme="10"/>
      <name val="Frutiger 45 Light"/>
      <family val="2"/>
    </font>
    <font>
      <b/>
      <sz val="11"/>
      <name val="Frutiger 45 Light"/>
      <family val="2"/>
    </font>
    <font>
      <b/>
      <sz val="11"/>
      <color theme="0"/>
      <name val="Frutiger 45 Light"/>
      <family val="2"/>
    </font>
    <font>
      <sz val="9"/>
      <name val="Frutiger 45 Light"/>
      <family val="2"/>
    </font>
    <font>
      <sz val="8"/>
      <color theme="1"/>
      <name val="Wingdings 3"/>
      <family val="1"/>
      <charset val="2"/>
    </font>
    <font>
      <sz val="8"/>
      <color theme="1"/>
      <name val="Frutiger 45 Light"/>
      <family val="2"/>
      <scheme val="major"/>
    </font>
    <font>
      <sz val="8"/>
      <name val="Frutiger 45 Light"/>
      <family val="2"/>
      <scheme val="major"/>
    </font>
    <font>
      <b/>
      <vertAlign val="superscript"/>
      <sz val="10"/>
      <color theme="1"/>
      <name val="Frutiger 45 Light"/>
      <family val="2"/>
    </font>
    <font>
      <sz val="10"/>
      <color rgb="FFFF0000"/>
      <name val="Frutiger 45 Light"/>
      <family val="2"/>
    </font>
    <font>
      <sz val="11"/>
      <color theme="1"/>
      <name val="Frutiger 45 Light"/>
      <family val="2"/>
      <scheme val="minor"/>
    </font>
    <font>
      <sz val="10"/>
      <color theme="1"/>
      <name val="Frutiger 45 Light"/>
      <family val="2"/>
      <scheme val="minor"/>
    </font>
    <font>
      <sz val="8"/>
      <color rgb="FFFF0000"/>
      <name val="Frutiger 45 Light"/>
      <family val="2"/>
    </font>
    <font>
      <sz val="10"/>
      <color rgb="FFFF0000"/>
      <name val="Wingdings 3"/>
      <family val="1"/>
      <charset val="2"/>
    </font>
    <font>
      <sz val="8"/>
      <color rgb="FFFF0000"/>
      <name val="Wingdings 3"/>
      <family val="1"/>
      <charset val="2"/>
    </font>
    <font>
      <u/>
      <sz val="10"/>
      <color rgb="FFFF0000"/>
      <name val="Wingdings 3"/>
      <family val="1"/>
      <charset val="2"/>
    </font>
    <font>
      <u/>
      <sz val="10"/>
      <color theme="1"/>
      <name val="Wingdings 3"/>
      <family val="1"/>
      <charset val="2"/>
    </font>
    <font>
      <u/>
      <sz val="10"/>
      <name val="Frutiger 45 Light"/>
      <family val="2"/>
    </font>
    <font>
      <i/>
      <sz val="10"/>
      <color rgb="FF44546A"/>
      <name val="Arial"/>
      <family val="2"/>
    </font>
    <font>
      <b/>
      <sz val="15"/>
      <color theme="3"/>
      <name val="Frutiger 45 Light"/>
      <family val="2"/>
    </font>
    <font>
      <b/>
      <sz val="13"/>
      <color theme="3"/>
      <name val="Frutiger 45 Light"/>
      <family val="2"/>
    </font>
    <font>
      <b/>
      <sz val="11"/>
      <color theme="3"/>
      <name val="Frutiger 45 Light"/>
      <family val="2"/>
    </font>
    <font>
      <sz val="10"/>
      <color rgb="FF006100"/>
      <name val="Frutiger 45 Light"/>
      <family val="2"/>
    </font>
    <font>
      <sz val="10"/>
      <color rgb="FF9C0006"/>
      <name val="Frutiger 45 Light"/>
      <family val="2"/>
    </font>
    <font>
      <sz val="10"/>
      <color rgb="FF3F3F76"/>
      <name val="Frutiger 45 Light"/>
      <family val="2"/>
    </font>
    <font>
      <b/>
      <sz val="10"/>
      <color rgb="FF3F3F3F"/>
      <name val="Frutiger 45 Light"/>
      <family val="2"/>
    </font>
    <font>
      <b/>
      <sz val="10"/>
      <color rgb="FFFA7D00"/>
      <name val="Frutiger 45 Light"/>
      <family val="2"/>
    </font>
    <font>
      <sz val="10"/>
      <color rgb="FFFA7D00"/>
      <name val="Frutiger 45 Light"/>
      <family val="2"/>
    </font>
    <font>
      <i/>
      <sz val="10"/>
      <color rgb="FF7F7F7F"/>
      <name val="Frutiger 45 Light"/>
      <family val="2"/>
    </font>
    <font>
      <sz val="10"/>
      <color rgb="FF9C6500"/>
      <name val="Frutiger 45 Light"/>
      <family val="2"/>
    </font>
    <font>
      <sz val="10"/>
      <name val="Arial"/>
      <family val="2"/>
    </font>
    <font>
      <b/>
      <sz val="18"/>
      <color theme="3"/>
      <name val="Frutiger 45 Light"/>
      <family val="2"/>
      <scheme val="major"/>
    </font>
    <font>
      <b/>
      <sz val="11"/>
      <color indexed="63"/>
      <name val="Calibri"/>
      <family val="2"/>
    </font>
    <font>
      <b/>
      <sz val="11"/>
      <color indexed="53"/>
      <name val="Calibri"/>
      <family val="2"/>
    </font>
    <font>
      <sz val="11"/>
      <color indexed="48"/>
      <name val="Calibri"/>
      <family val="2"/>
    </font>
    <font>
      <b/>
      <sz val="11"/>
      <color indexed="8"/>
      <name val="Calibri"/>
      <family val="2"/>
    </font>
    <font>
      <i/>
      <sz val="10"/>
      <color rgb="FF7F7F7F"/>
      <name val="Arial"/>
      <family val="2"/>
    </font>
    <font>
      <sz val="11"/>
      <color indexed="17"/>
      <name val="Calibri"/>
      <family val="2"/>
    </font>
    <font>
      <sz val="11"/>
      <color indexed="60"/>
      <name val="Calibri"/>
      <family val="2"/>
    </font>
    <font>
      <b/>
      <sz val="10"/>
      <color indexed="8"/>
      <name val="Arial"/>
      <family val="2"/>
    </font>
    <font>
      <b/>
      <sz val="10"/>
      <color indexed="39"/>
      <name val="Arial"/>
      <family val="2"/>
    </font>
    <font>
      <sz val="10"/>
      <color indexed="8"/>
      <name val="Arial"/>
      <family val="2"/>
    </font>
    <font>
      <b/>
      <sz val="12"/>
      <color indexed="8"/>
      <name val="Arial"/>
      <family val="2"/>
    </font>
    <font>
      <sz val="10"/>
      <color indexed="39"/>
      <name val="Arial"/>
      <family val="2"/>
    </font>
    <font>
      <sz val="19"/>
      <color indexed="48"/>
      <name val="Arial"/>
      <family val="2"/>
    </font>
    <font>
      <sz val="10"/>
      <color indexed="10"/>
      <name val="Arial"/>
      <family val="2"/>
    </font>
    <font>
      <sz val="11"/>
      <color indexed="16"/>
      <name val="Calibri"/>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sz val="11"/>
      <color indexed="53"/>
      <name val="Calibri"/>
      <family val="2"/>
    </font>
    <font>
      <sz val="11"/>
      <color indexed="10"/>
      <name val="Calibri"/>
      <family val="2"/>
    </font>
    <font>
      <b/>
      <sz val="11"/>
      <color indexed="9"/>
      <name val="Calibri"/>
      <family val="2"/>
    </font>
    <font>
      <sz val="11"/>
      <name val="Frutiger 45 Light"/>
      <family val="2"/>
    </font>
    <font>
      <sz val="10"/>
      <color indexed="9"/>
      <name val="Frutiger 45 Light"/>
      <family val="2"/>
    </font>
    <font>
      <b/>
      <sz val="10"/>
      <color indexed="8"/>
      <name val="Frutiger 45 Light"/>
      <family val="2"/>
    </font>
    <font>
      <b/>
      <sz val="10"/>
      <color indexed="53"/>
      <name val="Frutiger 45 Light"/>
      <family val="2"/>
    </font>
    <font>
      <sz val="10"/>
      <color indexed="62"/>
      <name val="Frutiger 45 Light"/>
      <family val="2"/>
    </font>
    <font>
      <i/>
      <sz val="10"/>
      <color indexed="23"/>
      <name val="Frutiger 45 Light"/>
      <family val="2"/>
    </font>
    <font>
      <sz val="10"/>
      <color indexed="17"/>
      <name val="Frutiger 45 Light"/>
      <family val="2"/>
    </font>
    <font>
      <sz val="10"/>
      <color indexed="60"/>
      <name val="Frutiger 45 Light"/>
      <family val="2"/>
    </font>
    <font>
      <sz val="10"/>
      <color indexed="20"/>
      <name val="Frutiger 45 Light"/>
      <family val="2"/>
    </font>
    <font>
      <b/>
      <sz val="15"/>
      <color indexed="62"/>
      <name val="Frutiger 45 Light"/>
      <family val="2"/>
    </font>
    <font>
      <b/>
      <sz val="13"/>
      <color indexed="62"/>
      <name val="Frutiger 45 Light"/>
      <family val="2"/>
    </font>
    <font>
      <b/>
      <sz val="11"/>
      <color indexed="62"/>
      <name val="Frutiger 45 Light"/>
      <family val="2"/>
    </font>
    <font>
      <sz val="10"/>
      <color indexed="53"/>
      <name val="Frutiger 45 Light"/>
      <family val="2"/>
    </font>
    <font>
      <sz val="10"/>
      <color indexed="63"/>
      <name val="Frutiger 45 Light"/>
      <family val="2"/>
    </font>
    <font>
      <b/>
      <sz val="10"/>
      <color indexed="9"/>
      <name val="Frutiger 45 Light"/>
      <family val="2"/>
    </font>
    <font>
      <b/>
      <sz val="10"/>
      <color indexed="63"/>
      <name val="Frutiger 45 Light"/>
      <family val="2"/>
    </font>
    <font>
      <b/>
      <sz val="10"/>
      <color indexed="52"/>
      <name val="Frutiger 45 Light"/>
      <family val="2"/>
    </font>
    <font>
      <b/>
      <sz val="15"/>
      <color indexed="56"/>
      <name val="Frutiger 45 Light"/>
      <family val="2"/>
    </font>
    <font>
      <b/>
      <sz val="13"/>
      <color indexed="56"/>
      <name val="Frutiger 45 Light"/>
      <family val="2"/>
    </font>
    <font>
      <b/>
      <sz val="11"/>
      <color indexed="56"/>
      <name val="Frutiger 45 Light"/>
      <family val="2"/>
    </font>
    <font>
      <b/>
      <sz val="18"/>
      <color indexed="56"/>
      <name val="Cambria"/>
      <family val="2"/>
    </font>
    <font>
      <sz val="10"/>
      <color indexed="52"/>
      <name val="Frutiger 45 Light"/>
      <family val="2"/>
    </font>
    <font>
      <sz val="10"/>
      <color indexed="10"/>
      <name val="Frutiger 45 Light"/>
      <family val="2"/>
    </font>
    <font>
      <u/>
      <sz val="10"/>
      <color indexed="12"/>
      <name val="Arial"/>
      <family val="2"/>
    </font>
    <font>
      <sz val="8"/>
      <color rgb="FF1F497D"/>
      <name val="Verdana"/>
      <family val="2"/>
    </font>
    <font>
      <sz val="9"/>
      <color theme="1"/>
      <name val="Frutiger 45 Light"/>
      <family val="2"/>
    </font>
  </fonts>
  <fills count="76">
    <fill>
      <patternFill patternType="none"/>
    </fill>
    <fill>
      <patternFill patternType="gray125"/>
    </fill>
    <fill>
      <patternFill patternType="solid">
        <fgColor rgb="FF004976"/>
        <bgColor indexed="64"/>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9"/>
        <bgColor indexed="9"/>
      </patternFill>
    </fill>
    <fill>
      <patternFill patternType="solid">
        <fgColor indexed="47"/>
        <bgColor indexed="47"/>
      </patternFill>
    </fill>
    <fill>
      <patternFill patternType="solid">
        <fgColor indexed="42"/>
        <bgColor indexed="42"/>
      </patternFill>
    </fill>
    <fill>
      <patternFill patternType="solid">
        <fgColor indexed="26"/>
        <bgColor indexed="26"/>
      </patternFill>
    </fill>
    <fill>
      <patternFill patternType="solid">
        <fgColor indexed="43"/>
      </patternFill>
    </fill>
    <fill>
      <patternFill patternType="solid">
        <fgColor indexed="40"/>
      </patternFill>
    </fill>
    <fill>
      <patternFill patternType="solid">
        <fgColor indexed="45"/>
      </patternFill>
    </fill>
    <fill>
      <patternFill patternType="solid">
        <fgColor indexed="29"/>
      </patternFill>
    </fill>
    <fill>
      <patternFill patternType="solid">
        <fgColor indexed="10"/>
      </patternFill>
    </fill>
    <fill>
      <patternFill patternType="solid">
        <fgColor indexed="51"/>
      </patternFill>
    </fill>
    <fill>
      <patternFill patternType="solid">
        <fgColor indexed="52"/>
      </patternFill>
    </fill>
    <fill>
      <patternFill patternType="solid">
        <fgColor indexed="53"/>
      </patternFill>
    </fill>
    <fill>
      <patternFill patternType="solid">
        <fgColor indexed="57"/>
      </patternFill>
    </fill>
    <fill>
      <patternFill patternType="solid">
        <fgColor indexed="50"/>
      </patternFill>
    </fill>
    <fill>
      <patternFill patternType="solid">
        <fgColor indexed="11"/>
      </patternFill>
    </fill>
    <fill>
      <patternFill patternType="lightUp">
        <fgColor indexed="48"/>
        <bgColor indexed="41"/>
      </patternFill>
    </fill>
    <fill>
      <patternFill patternType="solid">
        <fgColor indexed="41"/>
      </patternFill>
    </fill>
    <fill>
      <patternFill patternType="solid">
        <fgColor indexed="54"/>
      </patternFill>
    </fill>
    <fill>
      <patternFill patternType="solid">
        <fgColor indexed="44"/>
      </patternFill>
    </fill>
    <fill>
      <patternFill patternType="solid">
        <fgColor indexed="9"/>
      </patternFill>
    </fill>
    <fill>
      <patternFill patternType="solid">
        <fgColor indexed="26"/>
      </patternFill>
    </fill>
    <fill>
      <patternFill patternType="solid">
        <fgColor indexed="15"/>
      </patternFill>
    </fill>
    <fill>
      <patternFill patternType="solid">
        <fgColor indexed="45"/>
        <bgColor indexed="45"/>
      </patternFill>
    </fill>
    <fill>
      <patternFill patternType="solid">
        <fgColor indexed="55"/>
        <bgColor indexed="55"/>
      </patternFill>
    </fill>
    <fill>
      <patternFill patternType="solid">
        <fgColor indexed="31"/>
      </patternFill>
    </fill>
    <fill>
      <patternFill patternType="solid">
        <fgColor indexed="47"/>
      </patternFill>
    </fill>
    <fill>
      <patternFill patternType="solid">
        <fgColor indexed="42"/>
      </patternFill>
    </fill>
    <fill>
      <patternFill patternType="solid">
        <fgColor indexed="46"/>
      </patternFill>
    </fill>
    <fill>
      <patternFill patternType="solid">
        <fgColor indexed="35"/>
      </patternFill>
    </fill>
    <fill>
      <patternFill patternType="solid">
        <fgColor indexed="27"/>
      </patternFill>
    </fill>
    <fill>
      <patternFill patternType="solid">
        <fgColor indexed="13"/>
      </patternFill>
    </fill>
    <fill>
      <patternFill patternType="solid">
        <fgColor indexed="49"/>
      </patternFill>
    </fill>
    <fill>
      <patternFill patternType="solid">
        <fgColor indexed="30"/>
      </patternFill>
    </fill>
    <fill>
      <patternFill patternType="solid">
        <fgColor indexed="36"/>
      </patternFill>
    </fill>
    <fill>
      <patternFill patternType="solid">
        <fgColor indexed="62"/>
      </patternFill>
    </fill>
    <fill>
      <patternFill patternType="solid">
        <fgColor indexed="63"/>
      </patternFill>
    </fill>
    <fill>
      <patternFill patternType="solid">
        <fgColor indexed="22"/>
      </patternFill>
    </fill>
    <fill>
      <patternFill patternType="solid">
        <fgColor indexed="16"/>
      </patternFill>
    </fill>
    <fill>
      <patternFill patternType="solid">
        <fgColor indexed="55"/>
      </patternFill>
    </fill>
    <fill>
      <patternFill patternType="solid">
        <fgColor rgb="FFDBE5F1"/>
        <bgColor rgb="FFFFFFFF"/>
      </patternFill>
    </fill>
    <fill>
      <patternFill patternType="solid">
        <fgColor rgb="FFFFFFFF"/>
        <bgColor indexed="64"/>
      </patternFill>
    </fill>
  </fills>
  <borders count="40">
    <border>
      <left/>
      <right/>
      <top/>
      <bottom/>
      <diagonal/>
    </border>
    <border>
      <left style="thin">
        <color theme="0"/>
      </left>
      <right/>
      <top/>
      <bottom/>
      <diagonal/>
    </border>
    <border>
      <left style="thin">
        <color auto="1"/>
      </left>
      <right/>
      <top/>
      <bottom/>
      <diagonal/>
    </border>
    <border>
      <left/>
      <right style="thin">
        <color auto="1"/>
      </right>
      <top/>
      <bottom/>
      <diagonal/>
    </border>
    <border>
      <left/>
      <right/>
      <top style="thin">
        <color theme="6" tint="0.39997558519241921"/>
      </top>
      <bottom style="thin">
        <color theme="6" tint="0.39997558519241921"/>
      </bottom>
      <diagonal/>
    </border>
    <border>
      <left/>
      <right style="thin">
        <color theme="6" tint="0.39997558519241921"/>
      </right>
      <top style="thin">
        <color theme="6" tint="0.39997558519241921"/>
      </top>
      <bottom style="thin">
        <color theme="6" tint="0.3999755851924192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48"/>
      </top>
      <bottom style="double">
        <color indexed="48"/>
      </bottom>
      <diagonal/>
    </border>
    <border>
      <left style="thin">
        <color indexed="22"/>
      </left>
      <right style="thin">
        <color indexed="22"/>
      </right>
      <top style="thin">
        <color indexed="22"/>
      </top>
      <bottom style="thin">
        <color indexed="22"/>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64"/>
      </left>
      <right style="thin">
        <color indexed="64"/>
      </right>
      <top style="thin">
        <color indexed="64"/>
      </top>
      <bottom style="thin">
        <color indexed="64"/>
      </bottom>
      <diagonal/>
    </border>
    <border>
      <left/>
      <right/>
      <top/>
      <bottom style="thick">
        <color indexed="48"/>
      </bottom>
      <diagonal/>
    </border>
    <border>
      <left/>
      <right/>
      <top/>
      <bottom style="thick">
        <color indexed="22"/>
      </bottom>
      <diagonal/>
    </border>
    <border>
      <left/>
      <right/>
      <top/>
      <bottom style="medium">
        <color indexed="24"/>
      </bottom>
      <diagonal/>
    </border>
    <border>
      <left/>
      <right/>
      <top/>
      <bottom style="double">
        <color indexed="53"/>
      </bottom>
      <diagonal/>
    </border>
    <border>
      <left style="double">
        <color indexed="63"/>
      </left>
      <right style="double">
        <color indexed="63"/>
      </right>
      <top style="double">
        <color indexed="63"/>
      </top>
      <bottom style="double">
        <color indexed="63"/>
      </bottom>
      <diagonal/>
    </border>
    <border>
      <left style="thin">
        <color indexed="8"/>
      </left>
      <right style="thin">
        <color indexed="8"/>
      </right>
      <top style="thin">
        <color indexed="8"/>
      </top>
      <bottom style="thin">
        <color indexed="8"/>
      </bottom>
      <diagonal/>
    </border>
    <border>
      <left/>
      <right/>
      <top style="thin">
        <color indexed="49"/>
      </top>
      <bottom style="double">
        <color indexed="49"/>
      </bottom>
      <diagonal/>
    </border>
    <border>
      <left/>
      <right/>
      <top style="thin">
        <color indexed="62"/>
      </top>
      <bottom style="double">
        <color indexed="62"/>
      </bottom>
      <diagonal/>
    </border>
    <border>
      <left style="thin">
        <color indexed="10"/>
      </left>
      <right style="thin">
        <color indexed="10"/>
      </right>
      <top style="thin">
        <color indexed="10"/>
      </top>
      <bottom style="thin">
        <color indexed="10"/>
      </bottom>
      <diagonal/>
    </border>
    <border>
      <left/>
      <right/>
      <top/>
      <bottom style="thick">
        <color indexed="49"/>
      </bottom>
      <diagonal/>
    </border>
    <border>
      <left/>
      <right/>
      <top/>
      <bottom style="thick">
        <color indexed="62"/>
      </bottom>
      <diagonal/>
    </border>
    <border>
      <left/>
      <right/>
      <top/>
      <bottom style="thick">
        <color indexed="10"/>
      </bottom>
      <diagonal/>
    </border>
    <border>
      <left/>
      <right/>
      <top/>
      <bottom style="medium">
        <color indexed="49"/>
      </bottom>
      <diagonal/>
    </border>
    <border>
      <left/>
      <right/>
      <top/>
      <bottom style="medium">
        <color indexed="30"/>
      </bottom>
      <diagonal/>
    </border>
    <border>
      <left/>
      <right/>
      <top/>
      <bottom style="double">
        <color indexed="52"/>
      </bottom>
      <diagonal/>
    </border>
    <border>
      <left style="double">
        <color indexed="8"/>
      </left>
      <right style="double">
        <color indexed="8"/>
      </right>
      <top style="double">
        <color indexed="8"/>
      </top>
      <bottom style="double">
        <color indexed="8"/>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right/>
      <top style="thin">
        <color theme="6" tint="0.39997558519241921"/>
      </top>
      <bottom/>
      <diagonal/>
    </border>
  </borders>
  <cellStyleXfs count="42208">
    <xf numFmtId="0" fontId="0" fillId="0" borderId="0"/>
    <xf numFmtId="43" fontId="1" fillId="0" borderId="0" applyFont="0" applyFill="0" applyBorder="0" applyAlignment="0" applyProtection="0"/>
    <xf numFmtId="0" fontId="9" fillId="0" borderId="0" applyNumberFormat="0" applyFill="0" applyBorder="0" applyAlignment="0" applyProtection="0"/>
    <xf numFmtId="0" fontId="14" fillId="0" borderId="0"/>
    <xf numFmtId="9" fontId="1" fillId="0" borderId="0" applyFont="0" applyFill="0" applyBorder="0" applyAlignment="0" applyProtection="0"/>
    <xf numFmtId="0" fontId="14" fillId="0" borderId="0"/>
    <xf numFmtId="0" fontId="48" fillId="0" borderId="0"/>
    <xf numFmtId="43" fontId="48" fillId="0" borderId="0" applyFont="0" applyFill="0" applyBorder="0" applyAlignment="0" applyProtection="0"/>
    <xf numFmtId="9" fontId="48" fillId="0" borderId="0" applyFont="0" applyFill="0" applyBorder="0" applyAlignment="0" applyProtection="0"/>
    <xf numFmtId="43" fontId="1" fillId="0" borderId="0" applyFont="0" applyFill="0" applyBorder="0" applyAlignment="0" applyProtection="0"/>
    <xf numFmtId="43" fontId="48" fillId="0" borderId="0" applyFont="0" applyFill="0" applyBorder="0" applyAlignment="0" applyProtection="0"/>
    <xf numFmtId="0" fontId="4"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4"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4"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4"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4"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4"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43" fontId="1" fillId="0" borderId="0" applyFont="0" applyFill="0" applyBorder="0" applyAlignment="0" applyProtection="0"/>
    <xf numFmtId="43" fontId="48" fillId="0" borderId="0" applyFont="0" applyFill="0" applyBorder="0" applyAlignment="0" applyProtection="0"/>
    <xf numFmtId="43" fontId="1" fillId="0" borderId="0" applyFont="0" applyFill="0" applyBorder="0" applyAlignment="0" applyProtection="0"/>
    <xf numFmtId="43" fontId="48" fillId="0" borderId="0" applyFont="0" applyFill="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68" fillId="0" borderId="0"/>
    <xf numFmtId="0" fontId="69" fillId="0" borderId="0" applyNumberFormat="0" applyFill="0" applyBorder="0" applyAlignment="0" applyProtection="0"/>
    <xf numFmtId="0" fontId="86" fillId="0" borderId="22" applyNumberFormat="0" applyFill="0" applyAlignment="0" applyProtection="0"/>
    <xf numFmtId="0" fontId="87" fillId="0" borderId="23" applyNumberFormat="0" applyFill="0" applyAlignment="0" applyProtection="0"/>
    <xf numFmtId="0" fontId="88" fillId="0" borderId="24" applyNumberFormat="0" applyFill="0" applyAlignment="0" applyProtection="0"/>
    <xf numFmtId="0" fontId="88" fillId="0" borderId="0" applyNumberFormat="0" applyFill="0" applyBorder="0" applyAlignment="0" applyProtection="0"/>
    <xf numFmtId="0" fontId="75" fillId="37" borderId="0" applyNumberFormat="0" applyBorder="0" applyAlignment="0" applyProtection="0"/>
    <xf numFmtId="0" fontId="84" fillId="57" borderId="0" applyNumberFormat="0" applyBorder="0" applyAlignment="0" applyProtection="0"/>
    <xf numFmtId="0" fontId="76" fillId="36" borderId="0" applyNumberFormat="0" applyBorder="0" applyAlignment="0" applyProtection="0"/>
    <xf numFmtId="0" fontId="72" fillId="36" borderId="16" applyNumberFormat="0" applyAlignment="0" applyProtection="0"/>
    <xf numFmtId="0" fontId="70" fillId="35" borderId="15" applyNumberFormat="0" applyAlignment="0" applyProtection="0"/>
    <xf numFmtId="0" fontId="71" fillId="35" borderId="16" applyNumberFormat="0" applyAlignment="0" applyProtection="0"/>
    <xf numFmtId="0" fontId="89" fillId="0" borderId="25" applyNumberFormat="0" applyFill="0" applyAlignment="0" applyProtection="0"/>
    <xf numFmtId="0" fontId="91" fillId="58" borderId="26" applyNumberFormat="0" applyAlignment="0" applyProtection="0"/>
    <xf numFmtId="0" fontId="90" fillId="0" borderId="0" applyNumberFormat="0" applyFill="0" applyBorder="0" applyAlignment="0" applyProtection="0"/>
    <xf numFmtId="0" fontId="74" fillId="0" borderId="0" applyNumberFormat="0" applyFill="0" applyBorder="0" applyAlignment="0" applyProtection="0"/>
    <xf numFmtId="0" fontId="73" fillId="0" borderId="17" applyNumberFormat="0" applyFill="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0" borderId="0"/>
    <xf numFmtId="0" fontId="1" fillId="0" borderId="0"/>
    <xf numFmtId="43" fontId="1" fillId="0" borderId="0" applyFont="0" applyFill="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3" applyNumberFormat="0" applyFont="0" applyAlignment="0" applyProtection="0"/>
    <xf numFmtId="0" fontId="1" fillId="0" borderId="0"/>
    <xf numFmtId="0" fontId="1" fillId="10" borderId="13"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3"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68" fillId="38" borderId="18" applyNumberFormat="0" applyFont="0" applyAlignment="0" applyProtection="0"/>
    <xf numFmtId="4" fontId="77" fillId="39" borderId="19" applyNumberFormat="0" applyProtection="0">
      <alignment vertical="center"/>
    </xf>
    <xf numFmtId="4" fontId="78" fillId="39" borderId="19" applyNumberFormat="0" applyProtection="0">
      <alignment vertical="center"/>
    </xf>
    <xf numFmtId="4" fontId="77" fillId="39" borderId="19" applyNumberFormat="0" applyProtection="0">
      <alignment horizontal="left" vertical="center" indent="1"/>
    </xf>
    <xf numFmtId="0" fontId="77" fillId="39" borderId="19" applyNumberFormat="0" applyProtection="0">
      <alignment horizontal="left" vertical="top" indent="1"/>
    </xf>
    <xf numFmtId="4" fontId="77" fillId="40" borderId="0" applyNumberFormat="0" applyProtection="0">
      <alignment horizontal="left" vertical="center" indent="1"/>
    </xf>
    <xf numFmtId="4" fontId="79" fillId="41" borderId="19" applyNumberFormat="0" applyProtection="0">
      <alignment horizontal="right" vertical="center"/>
    </xf>
    <xf numFmtId="4" fontId="79" fillId="42" borderId="19" applyNumberFormat="0" applyProtection="0">
      <alignment horizontal="right" vertical="center"/>
    </xf>
    <xf numFmtId="4" fontId="79" fillId="43" borderId="19" applyNumberFormat="0" applyProtection="0">
      <alignment horizontal="right" vertical="center"/>
    </xf>
    <xf numFmtId="4" fontId="79" fillId="44" borderId="19" applyNumberFormat="0" applyProtection="0">
      <alignment horizontal="right" vertical="center"/>
    </xf>
    <xf numFmtId="4" fontId="79" fillId="45" borderId="19" applyNumberFormat="0" applyProtection="0">
      <alignment horizontal="right" vertical="center"/>
    </xf>
    <xf numFmtId="4" fontId="79" fillId="46" borderId="19" applyNumberFormat="0" applyProtection="0">
      <alignment horizontal="right" vertical="center"/>
    </xf>
    <xf numFmtId="4" fontId="79" fillId="47" borderId="19" applyNumberFormat="0" applyProtection="0">
      <alignment horizontal="right" vertical="center"/>
    </xf>
    <xf numFmtId="4" fontId="79" fillId="48" borderId="19" applyNumberFormat="0" applyProtection="0">
      <alignment horizontal="right" vertical="center"/>
    </xf>
    <xf numFmtId="4" fontId="79" fillId="49" borderId="19" applyNumberFormat="0" applyProtection="0">
      <alignment horizontal="right" vertical="center"/>
    </xf>
    <xf numFmtId="4" fontId="77" fillId="50" borderId="20" applyNumberFormat="0" applyProtection="0">
      <alignment horizontal="left" vertical="center" indent="1"/>
    </xf>
    <xf numFmtId="4" fontId="79" fillId="51" borderId="0" applyNumberFormat="0" applyProtection="0">
      <alignment horizontal="left" vertical="center" indent="1"/>
    </xf>
    <xf numFmtId="4" fontId="80" fillId="52" borderId="0" applyNumberFormat="0" applyProtection="0">
      <alignment horizontal="left" vertical="center" indent="1"/>
    </xf>
    <xf numFmtId="4" fontId="79" fillId="40" borderId="19" applyNumberFormat="0" applyProtection="0">
      <alignment horizontal="right" vertical="center"/>
    </xf>
    <xf numFmtId="4" fontId="79" fillId="51" borderId="0" applyNumberFormat="0" applyProtection="0">
      <alignment horizontal="left" vertical="center" indent="1"/>
    </xf>
    <xf numFmtId="4" fontId="79" fillId="40" borderId="0" applyNumberFormat="0" applyProtection="0">
      <alignment horizontal="left" vertical="center" indent="1"/>
    </xf>
    <xf numFmtId="0" fontId="68" fillId="52" borderId="19" applyNumberFormat="0" applyProtection="0">
      <alignment horizontal="left" vertical="center" indent="1"/>
    </xf>
    <xf numFmtId="0" fontId="68" fillId="52" borderId="19" applyNumberFormat="0" applyProtection="0">
      <alignment horizontal="left" vertical="top" indent="1"/>
    </xf>
    <xf numFmtId="0" fontId="68" fillId="40" borderId="19" applyNumberFormat="0" applyProtection="0">
      <alignment horizontal="left" vertical="center" indent="1"/>
    </xf>
    <xf numFmtId="0" fontId="68" fillId="40" borderId="19" applyNumberFormat="0" applyProtection="0">
      <alignment horizontal="left" vertical="top" indent="1"/>
    </xf>
    <xf numFmtId="0" fontId="68" fillId="53" borderId="19" applyNumberFormat="0" applyProtection="0">
      <alignment horizontal="left" vertical="center" indent="1"/>
    </xf>
    <xf numFmtId="0" fontId="68" fillId="53" borderId="19" applyNumberFormat="0" applyProtection="0">
      <alignment horizontal="left" vertical="top" indent="1"/>
    </xf>
    <xf numFmtId="0" fontId="68" fillId="51" borderId="19" applyNumberFormat="0" applyProtection="0">
      <alignment horizontal="left" vertical="center" indent="1"/>
    </xf>
    <xf numFmtId="0" fontId="68" fillId="51" borderId="19" applyNumberFormat="0" applyProtection="0">
      <alignment horizontal="left" vertical="top" indent="1"/>
    </xf>
    <xf numFmtId="0" fontId="68" fillId="54" borderId="21" applyNumberFormat="0">
      <protection locked="0"/>
    </xf>
    <xf numFmtId="4" fontId="79" fillId="55" borderId="19" applyNumberFormat="0" applyProtection="0">
      <alignment vertical="center"/>
    </xf>
    <xf numFmtId="4" fontId="81" fillId="55" borderId="19" applyNumberFormat="0" applyProtection="0">
      <alignment vertical="center"/>
    </xf>
    <xf numFmtId="4" fontId="79" fillId="55" borderId="19" applyNumberFormat="0" applyProtection="0">
      <alignment horizontal="left" vertical="center" indent="1"/>
    </xf>
    <xf numFmtId="0" fontId="79" fillId="55" borderId="19" applyNumberFormat="0" applyProtection="0">
      <alignment horizontal="left" vertical="top" indent="1"/>
    </xf>
    <xf numFmtId="4" fontId="79" fillId="51" borderId="19" applyNumberFormat="0" applyProtection="0">
      <alignment horizontal="right" vertical="center"/>
    </xf>
    <xf numFmtId="4" fontId="81" fillId="51" borderId="19" applyNumberFormat="0" applyProtection="0">
      <alignment horizontal="right" vertical="center"/>
    </xf>
    <xf numFmtId="4" fontId="79" fillId="40" borderId="19" applyNumberFormat="0" applyProtection="0">
      <alignment horizontal="left" vertical="center" indent="1"/>
    </xf>
    <xf numFmtId="0" fontId="79" fillId="40" borderId="19" applyNumberFormat="0" applyProtection="0">
      <alignment horizontal="left" vertical="top" indent="1"/>
    </xf>
    <xf numFmtId="4" fontId="82" fillId="56" borderId="0" applyNumberFormat="0" applyProtection="0">
      <alignment horizontal="left" vertical="center" indent="1"/>
    </xf>
    <xf numFmtId="4" fontId="83" fillId="51" borderId="19" applyNumberFormat="0" applyProtection="0">
      <alignment horizontal="right" vertical="center"/>
    </xf>
    <xf numFmtId="0" fontId="85" fillId="0" borderId="0" applyNumberFormat="0" applyFill="0" applyBorder="0" applyAlignment="0" applyProtection="0"/>
    <xf numFmtId="0" fontId="16" fillId="59"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6" fillId="4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6" fillId="4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6" fillId="4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6" fillId="4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6" fillId="41" borderId="0" applyNumberFormat="0" applyBorder="0" applyAlignment="0" applyProtection="0"/>
    <xf numFmtId="0" fontId="1" fillId="12" borderId="0" applyNumberFormat="0" applyBorder="0" applyAlignment="0" applyProtection="0"/>
    <xf numFmtId="0" fontId="16" fillId="4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6" fillId="41" borderId="0" applyNumberFormat="0" applyBorder="0" applyAlignment="0" applyProtection="0"/>
    <xf numFmtId="0" fontId="1" fillId="12"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6" fillId="4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6" fillId="41" borderId="0" applyNumberFormat="0" applyBorder="0" applyAlignment="0" applyProtection="0"/>
    <xf numFmtId="0" fontId="1" fillId="12" borderId="0" applyNumberFormat="0" applyBorder="0" applyAlignment="0" applyProtection="0"/>
    <xf numFmtId="0" fontId="16" fillId="41" borderId="0" applyNumberFormat="0" applyBorder="0" applyAlignment="0" applyProtection="0"/>
    <xf numFmtId="0" fontId="1" fillId="12" borderId="0" applyNumberFormat="0" applyBorder="0" applyAlignment="0" applyProtection="0"/>
    <xf numFmtId="0" fontId="16" fillId="41" borderId="0" applyNumberFormat="0" applyBorder="0" applyAlignment="0" applyProtection="0"/>
    <xf numFmtId="0" fontId="1" fillId="12"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6" fillId="59"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6" fillId="41" borderId="0" applyNumberFormat="0" applyBorder="0" applyAlignment="0" applyProtection="0"/>
    <xf numFmtId="0" fontId="1" fillId="12" borderId="0" applyNumberFormat="0" applyBorder="0" applyAlignment="0" applyProtection="0"/>
    <xf numFmtId="0" fontId="16" fillId="41" borderId="0" applyNumberFormat="0" applyBorder="0" applyAlignment="0" applyProtection="0"/>
    <xf numFmtId="0" fontId="1" fillId="12"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6" fillId="4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6" fillId="41" borderId="0" applyNumberFormat="0" applyBorder="0" applyAlignment="0" applyProtection="0"/>
    <xf numFmtId="0" fontId="1" fillId="12" borderId="0" applyNumberFormat="0" applyBorder="0" applyAlignment="0" applyProtection="0"/>
    <xf numFmtId="0" fontId="16" fillId="41" borderId="0" applyNumberFormat="0" applyBorder="0" applyAlignment="0" applyProtection="0"/>
    <xf numFmtId="0" fontId="1" fillId="12"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6" fillId="4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6" fillId="4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6" fillId="4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6" fillId="4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6" fillId="4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6" fillId="41"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6" fillId="60"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6" fillId="60"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6" fillId="60"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6" fillId="60"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16"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16"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16"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16"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16"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16"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16" borderId="0" applyNumberFormat="0" applyBorder="0" applyAlignment="0" applyProtection="0"/>
    <xf numFmtId="0" fontId="16" fillId="60" borderId="0" applyNumberFormat="0" applyBorder="0" applyAlignment="0" applyProtection="0"/>
    <xf numFmtId="0" fontId="1" fillId="16" borderId="0" applyNumberFormat="0" applyBorder="0" applyAlignment="0" applyProtection="0"/>
    <xf numFmtId="0" fontId="16" fillId="60"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16" borderId="0" applyNumberFormat="0" applyBorder="0" applyAlignment="0" applyProtection="0"/>
    <xf numFmtId="0" fontId="1" fillId="42" borderId="0" applyNumberFormat="0" applyBorder="0" applyAlignment="0" applyProtection="0"/>
    <xf numFmtId="0" fontId="16" fillId="60" borderId="0" applyNumberFormat="0" applyBorder="0" applyAlignment="0" applyProtection="0"/>
    <xf numFmtId="0" fontId="1" fillId="42"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6" fillId="60"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6" fillId="60" borderId="0" applyNumberFormat="0" applyBorder="0" applyAlignment="0" applyProtection="0"/>
    <xf numFmtId="0" fontId="1" fillId="16" borderId="0" applyNumberFormat="0" applyBorder="0" applyAlignment="0" applyProtection="0"/>
    <xf numFmtId="0" fontId="16" fillId="60" borderId="0" applyNumberFormat="0" applyBorder="0" applyAlignment="0" applyProtection="0"/>
    <xf numFmtId="0" fontId="1" fillId="42" borderId="0" applyNumberFormat="0" applyBorder="0" applyAlignment="0" applyProtection="0"/>
    <xf numFmtId="0" fontId="16" fillId="60" borderId="0" applyNumberFormat="0" applyBorder="0" applyAlignment="0" applyProtection="0"/>
    <xf numFmtId="0" fontId="1" fillId="42"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6" fillId="41"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6" fillId="60" borderId="0" applyNumberFormat="0" applyBorder="0" applyAlignment="0" applyProtection="0"/>
    <xf numFmtId="0" fontId="1" fillId="16" borderId="0" applyNumberFormat="0" applyBorder="0" applyAlignment="0" applyProtection="0"/>
    <xf numFmtId="0" fontId="16" fillId="60" borderId="0" applyNumberFormat="0" applyBorder="0" applyAlignment="0" applyProtection="0"/>
    <xf numFmtId="0" fontId="1" fillId="16"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6" fillId="60"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16"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16"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16"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16"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16"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16"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16"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16"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16"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16"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6" fillId="60" borderId="0" applyNumberFormat="0" applyBorder="0" applyAlignment="0" applyProtection="0"/>
    <xf numFmtId="0" fontId="1" fillId="16" borderId="0" applyNumberFormat="0" applyBorder="0" applyAlignment="0" applyProtection="0"/>
    <xf numFmtId="0" fontId="16" fillId="60" borderId="0" applyNumberFormat="0" applyBorder="0" applyAlignment="0" applyProtection="0"/>
    <xf numFmtId="0" fontId="1" fillId="16"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16"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16"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16"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16"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16"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16"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6" fillId="60"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6" fillId="60"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6" fillId="60"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6" fillId="60"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6" fillId="60"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6" fillId="61"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6" fillId="55"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6" fillId="55"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6" fillId="55"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6" fillId="55"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20"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20"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20"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20"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20"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20"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6" fillId="55" borderId="0" applyNumberFormat="0" applyBorder="0" applyAlignment="0" applyProtection="0"/>
    <xf numFmtId="0" fontId="16" fillId="55" borderId="0" applyNumberFormat="0" applyBorder="0" applyAlignment="0" applyProtection="0"/>
    <xf numFmtId="0" fontId="16" fillId="55"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20" borderId="0" applyNumberFormat="0" applyBorder="0" applyAlignment="0" applyProtection="0"/>
    <xf numFmtId="0" fontId="16" fillId="55" borderId="0" applyNumberFormat="0" applyBorder="0" applyAlignment="0" applyProtection="0"/>
    <xf numFmtId="0" fontId="1" fillId="20" borderId="0" applyNumberFormat="0" applyBorder="0" applyAlignment="0" applyProtection="0"/>
    <xf numFmtId="0" fontId="16"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20" borderId="0" applyNumberFormat="0" applyBorder="0" applyAlignment="0" applyProtection="0"/>
    <xf numFmtId="0" fontId="1" fillId="55" borderId="0" applyNumberFormat="0" applyBorder="0" applyAlignment="0" applyProtection="0"/>
    <xf numFmtId="0" fontId="16" fillId="55" borderId="0" applyNumberFormat="0" applyBorder="0" applyAlignment="0" applyProtection="0"/>
    <xf numFmtId="0" fontId="1" fillId="55" borderId="0" applyNumberFormat="0" applyBorder="0" applyAlignment="0" applyProtection="0"/>
    <xf numFmtId="0" fontId="16" fillId="55" borderId="0" applyNumberFormat="0" applyBorder="0" applyAlignment="0" applyProtection="0"/>
    <xf numFmtId="0" fontId="16" fillId="55" borderId="0" applyNumberFormat="0" applyBorder="0" applyAlignment="0" applyProtection="0"/>
    <xf numFmtId="0" fontId="16" fillId="55" borderId="0" applyNumberFormat="0" applyBorder="0" applyAlignment="0" applyProtection="0"/>
    <xf numFmtId="0" fontId="16" fillId="55" borderId="0" applyNumberFormat="0" applyBorder="0" applyAlignment="0" applyProtection="0"/>
    <xf numFmtId="0" fontId="16" fillId="55"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6"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6" fillId="55" borderId="0" applyNumberFormat="0" applyBorder="0" applyAlignment="0" applyProtection="0"/>
    <xf numFmtId="0" fontId="1" fillId="20" borderId="0" applyNumberFormat="0" applyBorder="0" applyAlignment="0" applyProtection="0"/>
    <xf numFmtId="0" fontId="16" fillId="55" borderId="0" applyNumberFormat="0" applyBorder="0" applyAlignment="0" applyProtection="0"/>
    <xf numFmtId="0" fontId="1" fillId="55" borderId="0" applyNumberFormat="0" applyBorder="0" applyAlignment="0" applyProtection="0"/>
    <xf numFmtId="0" fontId="16" fillId="55" borderId="0" applyNumberFormat="0" applyBorder="0" applyAlignment="0" applyProtection="0"/>
    <xf numFmtId="0" fontId="1" fillId="55" borderId="0" applyNumberFormat="0" applyBorder="0" applyAlignment="0" applyProtection="0"/>
    <xf numFmtId="0" fontId="16" fillId="55" borderId="0" applyNumberFormat="0" applyBorder="0" applyAlignment="0" applyProtection="0"/>
    <xf numFmtId="0" fontId="16" fillId="55"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6" fillId="61"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6" fillId="55" borderId="0" applyNumberFormat="0" applyBorder="0" applyAlignment="0" applyProtection="0"/>
    <xf numFmtId="0" fontId="1" fillId="20" borderId="0" applyNumberFormat="0" applyBorder="0" applyAlignment="0" applyProtection="0"/>
    <xf numFmtId="0" fontId="16" fillId="55" borderId="0" applyNumberFormat="0" applyBorder="0" applyAlignment="0" applyProtection="0"/>
    <xf numFmtId="0" fontId="1" fillId="20" borderId="0" applyNumberFormat="0" applyBorder="0" applyAlignment="0" applyProtection="0"/>
    <xf numFmtId="0" fontId="16" fillId="55" borderId="0" applyNumberFormat="0" applyBorder="0" applyAlignment="0" applyProtection="0"/>
    <xf numFmtId="0" fontId="16" fillId="55" borderId="0" applyNumberFormat="0" applyBorder="0" applyAlignment="0" applyProtection="0"/>
    <xf numFmtId="0" fontId="16" fillId="55" borderId="0" applyNumberFormat="0" applyBorder="0" applyAlignment="0" applyProtection="0"/>
    <xf numFmtId="0" fontId="16" fillId="55"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6"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20"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20"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20"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20"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20"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20"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20"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20"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20"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20"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6" fillId="55" borderId="0" applyNumberFormat="0" applyBorder="0" applyAlignment="0" applyProtection="0"/>
    <xf numFmtId="0" fontId="1" fillId="20" borderId="0" applyNumberFormat="0" applyBorder="0" applyAlignment="0" applyProtection="0"/>
    <xf numFmtId="0" fontId="16" fillId="55" borderId="0" applyNumberFormat="0" applyBorder="0" applyAlignment="0" applyProtection="0"/>
    <xf numFmtId="0" fontId="1" fillId="20" borderId="0" applyNumberFormat="0" applyBorder="0" applyAlignment="0" applyProtection="0"/>
    <xf numFmtId="0" fontId="16" fillId="55" borderId="0" applyNumberFormat="0" applyBorder="0" applyAlignment="0" applyProtection="0"/>
    <xf numFmtId="0" fontId="16" fillId="55"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6" fillId="55" borderId="0" applyNumberFormat="0" applyBorder="0" applyAlignment="0" applyProtection="0"/>
    <xf numFmtId="0" fontId="16" fillId="55" borderId="0" applyNumberFormat="0" applyBorder="0" applyAlignment="0" applyProtection="0"/>
    <xf numFmtId="0" fontId="16" fillId="55"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20"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20"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20"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20"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20"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20"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6" fillId="55"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6" fillId="55"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6" fillId="55"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6" fillId="55"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6" fillId="55"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6" fillId="6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6" fillId="41"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6" fillId="41"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6" fillId="41"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6" fillId="41"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24"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24"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24"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24"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24"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24"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24" borderId="0" applyNumberFormat="0" applyBorder="0" applyAlignment="0" applyProtection="0"/>
    <xf numFmtId="0" fontId="16" fillId="41" borderId="0" applyNumberFormat="0" applyBorder="0" applyAlignment="0" applyProtection="0"/>
    <xf numFmtId="0" fontId="1" fillId="24" borderId="0" applyNumberFormat="0" applyBorder="0" applyAlignment="0" applyProtection="0"/>
    <xf numFmtId="0" fontId="16" fillId="41"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24" borderId="0" applyNumberFormat="0" applyBorder="0" applyAlignment="0" applyProtection="0"/>
    <xf numFmtId="0" fontId="1" fillId="63" borderId="0" applyNumberFormat="0" applyBorder="0" applyAlignment="0" applyProtection="0"/>
    <xf numFmtId="0" fontId="16" fillId="41" borderId="0" applyNumberFormat="0" applyBorder="0" applyAlignment="0" applyProtection="0"/>
    <xf numFmtId="0" fontId="1" fillId="63"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6" fillId="41"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6" fillId="41" borderId="0" applyNumberFormat="0" applyBorder="0" applyAlignment="0" applyProtection="0"/>
    <xf numFmtId="0" fontId="1" fillId="24" borderId="0" applyNumberFormat="0" applyBorder="0" applyAlignment="0" applyProtection="0"/>
    <xf numFmtId="0" fontId="16" fillId="41" borderId="0" applyNumberFormat="0" applyBorder="0" applyAlignment="0" applyProtection="0"/>
    <xf numFmtId="0" fontId="1" fillId="63" borderId="0" applyNumberFormat="0" applyBorder="0" applyAlignment="0" applyProtection="0"/>
    <xf numFmtId="0" fontId="16" fillId="41" borderId="0" applyNumberFormat="0" applyBorder="0" applyAlignment="0" applyProtection="0"/>
    <xf numFmtId="0" fontId="1" fillId="63"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6" fillId="6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6" fillId="41" borderId="0" applyNumberFormat="0" applyBorder="0" applyAlignment="0" applyProtection="0"/>
    <xf numFmtId="0" fontId="1" fillId="24" borderId="0" applyNumberFormat="0" applyBorder="0" applyAlignment="0" applyProtection="0"/>
    <xf numFmtId="0" fontId="16" fillId="41" borderId="0" applyNumberFormat="0" applyBorder="0" applyAlignment="0" applyProtection="0"/>
    <xf numFmtId="0" fontId="1" fillId="24"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6" fillId="41"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24"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24"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24"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24"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24"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24"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24"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24"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24"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24"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6" fillId="41" borderId="0" applyNumberFormat="0" applyBorder="0" applyAlignment="0" applyProtection="0"/>
    <xf numFmtId="0" fontId="1" fillId="24" borderId="0" applyNumberFormat="0" applyBorder="0" applyAlignment="0" applyProtection="0"/>
    <xf numFmtId="0" fontId="16" fillId="41" borderId="0" applyNumberFormat="0" applyBorder="0" applyAlignment="0" applyProtection="0"/>
    <xf numFmtId="0" fontId="1" fillId="24"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24"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24"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24"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24"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24"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24"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6" fillId="41"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6" fillId="41"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6" fillId="41"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6" fillId="41"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6" fillId="41"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6" fillId="6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6" fillId="6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6" fillId="6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6" fillId="6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6" fillId="6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28"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28"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28"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28"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28"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28"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28" borderId="0" applyNumberFormat="0" applyBorder="0" applyAlignment="0" applyProtection="0"/>
    <xf numFmtId="0" fontId="16" fillId="64" borderId="0" applyNumberFormat="0" applyBorder="0" applyAlignment="0" applyProtection="0"/>
    <xf numFmtId="0" fontId="1" fillId="28" borderId="0" applyNumberFormat="0" applyBorder="0" applyAlignment="0" applyProtection="0"/>
    <xf numFmtId="0" fontId="16" fillId="64"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28" borderId="0" applyNumberFormat="0" applyBorder="0" applyAlignment="0" applyProtection="0"/>
    <xf numFmtId="0" fontId="1" fillId="59" borderId="0" applyNumberFormat="0" applyBorder="0" applyAlignment="0" applyProtection="0"/>
    <xf numFmtId="0" fontId="16" fillId="64" borderId="0" applyNumberFormat="0" applyBorder="0" applyAlignment="0" applyProtection="0"/>
    <xf numFmtId="0" fontId="1" fillId="59"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6" fillId="64"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6" fillId="64" borderId="0" applyNumberFormat="0" applyBorder="0" applyAlignment="0" applyProtection="0"/>
    <xf numFmtId="0" fontId="1" fillId="28" borderId="0" applyNumberFormat="0" applyBorder="0" applyAlignment="0" applyProtection="0"/>
    <xf numFmtId="0" fontId="16" fillId="64" borderId="0" applyNumberFormat="0" applyBorder="0" applyAlignment="0" applyProtection="0"/>
    <xf numFmtId="0" fontId="1" fillId="59" borderId="0" applyNumberFormat="0" applyBorder="0" applyAlignment="0" applyProtection="0"/>
    <xf numFmtId="0" fontId="16" fillId="64" borderId="0" applyNumberFormat="0" applyBorder="0" applyAlignment="0" applyProtection="0"/>
    <xf numFmtId="0" fontId="1" fillId="59"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6" fillId="6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6" fillId="64" borderId="0" applyNumberFormat="0" applyBorder="0" applyAlignment="0" applyProtection="0"/>
    <xf numFmtId="0" fontId="1" fillId="28" borderId="0" applyNumberFormat="0" applyBorder="0" applyAlignment="0" applyProtection="0"/>
    <xf numFmtId="0" fontId="16" fillId="64" borderId="0" applyNumberFormat="0" applyBorder="0" applyAlignment="0" applyProtection="0"/>
    <xf numFmtId="0" fontId="1" fillId="28"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6" fillId="64"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28"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28"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28"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28"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28"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28"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28"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28"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28"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28"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6" fillId="64" borderId="0" applyNumberFormat="0" applyBorder="0" applyAlignment="0" applyProtection="0"/>
    <xf numFmtId="0" fontId="1" fillId="28" borderId="0" applyNumberFormat="0" applyBorder="0" applyAlignment="0" applyProtection="0"/>
    <xf numFmtId="0" fontId="16" fillId="64" borderId="0" applyNumberFormat="0" applyBorder="0" applyAlignment="0" applyProtection="0"/>
    <xf numFmtId="0" fontId="1" fillId="28"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28"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28"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28"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28"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28"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28"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6" fillId="6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6" fillId="6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6" fillId="6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6" fillId="6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6" fillId="6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6" fillId="60"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6" fillId="60"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6" fillId="60"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6" fillId="60"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6" fillId="60"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32"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32"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32"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32"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32"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32"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32" borderId="0" applyNumberFormat="0" applyBorder="0" applyAlignment="0" applyProtection="0"/>
    <xf numFmtId="0" fontId="16" fillId="60" borderId="0" applyNumberFormat="0" applyBorder="0" applyAlignment="0" applyProtection="0"/>
    <xf numFmtId="0" fontId="1" fillId="32" borderId="0" applyNumberFormat="0" applyBorder="0" applyAlignment="0" applyProtection="0"/>
    <xf numFmtId="0" fontId="16" fillId="6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32" borderId="0" applyNumberFormat="0" applyBorder="0" applyAlignment="0" applyProtection="0"/>
    <xf numFmtId="0" fontId="1" fillId="41" borderId="0" applyNumberFormat="0" applyBorder="0" applyAlignment="0" applyProtection="0"/>
    <xf numFmtId="0" fontId="16" fillId="60" borderId="0" applyNumberFormat="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 fillId="0" borderId="0"/>
    <xf numFmtId="0" fontId="1" fillId="0" borderId="0"/>
    <xf numFmtId="0" fontId="14" fillId="0" borderId="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16"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16"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16"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16"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16"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16"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16"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16"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16"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16"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16"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16"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16"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16"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16"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16"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16"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16"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16"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16"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16"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16"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16"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20"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20"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20"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20"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20"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20"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20"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20"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20"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20"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20"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20"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20"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20"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20"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20"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20"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20"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20"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20"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20"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20"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20"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24"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24"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24"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24"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24"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24"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24"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24"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24"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24"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24"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24"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24"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24"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24"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24"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24"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24"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24"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24"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24"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24"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24"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28"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28"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28"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28"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28"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28"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28"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28"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28"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28"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28"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28"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28"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28"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28"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28"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28"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28"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28"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28"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28"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28"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28"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32"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32"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32"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32"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32"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32"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32" borderId="0" applyNumberFormat="0" applyBorder="0" applyAlignment="0" applyProtection="0"/>
    <xf numFmtId="0" fontId="1" fillId="41" borderId="0" applyNumberFormat="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 fillId="0" borderId="0"/>
    <xf numFmtId="0" fontId="1" fillId="0" borderId="0"/>
    <xf numFmtId="0" fontId="68" fillId="0" borderId="0"/>
    <xf numFmtId="43" fontId="48" fillId="0" borderId="0" applyFont="0" applyFill="0" applyBorder="0" applyAlignment="0" applyProtection="0"/>
    <xf numFmtId="9" fontId="48" fillId="0" borderId="0" applyFon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6" fillId="59"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6" fillId="41"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6" fillId="61"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6" fillId="62" borderId="0" applyNumberFormat="0" applyBorder="0" applyAlignment="0" applyProtection="0"/>
    <xf numFmtId="0" fontId="16" fillId="6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6" fillId="60"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6" fillId="4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6" fillId="53" borderId="0" applyNumberFormat="0" applyBorder="0" applyAlignment="0" applyProtection="0"/>
    <xf numFmtId="0" fontId="16" fillId="42"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6" fillId="65"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6" fillId="49" borderId="0" applyNumberFormat="0" applyBorder="0" applyAlignment="0" applyProtection="0"/>
    <xf numFmtId="0" fontId="16" fillId="43"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6" fillId="62" borderId="0" applyNumberFormat="0" applyBorder="0" applyAlignment="0" applyProtection="0"/>
    <xf numFmtId="0" fontId="16" fillId="53"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6" fillId="60"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6" fillId="44" borderId="0" applyNumberFormat="0" applyBorder="0" applyAlignment="0" applyProtection="0"/>
    <xf numFmtId="0" fontId="93" fillId="66"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93" fillId="67" borderId="0" applyNumberFormat="0" applyBorder="0" applyAlignment="0" applyProtection="0"/>
    <xf numFmtId="0" fontId="93" fillId="42"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93" fillId="4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93" fillId="49" borderId="0" applyNumberFormat="0" applyBorder="0" applyAlignment="0" applyProtection="0"/>
    <xf numFmtId="0" fontId="93" fillId="43"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93" fillId="68" borderId="0" applyNumberFormat="0" applyBorder="0" applyAlignment="0" applyProtection="0"/>
    <xf numFmtId="0" fontId="93" fillId="6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93" fillId="60"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93" fillId="45" borderId="0" applyNumberFormat="0" applyBorder="0" applyAlignment="0" applyProtection="0"/>
    <xf numFmtId="0" fontId="93" fillId="66"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93" fillId="69" borderId="0" applyNumberFormat="0" applyBorder="0" applyAlignment="0" applyProtection="0"/>
    <xf numFmtId="0" fontId="93" fillId="70"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93" fillId="43" borderId="0" applyNumberFormat="0" applyBorder="0" applyAlignment="0" applyProtection="0"/>
    <xf numFmtId="0" fontId="93" fillId="47"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93" fillId="5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93" fillId="68" borderId="0" applyNumberFormat="0" applyBorder="0" applyAlignment="0" applyProtection="0"/>
    <xf numFmtId="0" fontId="93" fillId="66"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93" fillId="44"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93" fillId="46" borderId="0" applyNumberFormat="0" applyBorder="0" applyAlignment="0" applyProtection="0"/>
    <xf numFmtId="0" fontId="94" fillId="41" borderId="27" applyNumberFormat="0" applyAlignment="0" applyProtection="0"/>
    <xf numFmtId="0" fontId="63" fillId="8" borderId="10" applyNumberFormat="0" applyAlignment="0" applyProtection="0"/>
    <xf numFmtId="0" fontId="63" fillId="8" borderId="10" applyNumberFormat="0" applyAlignment="0" applyProtection="0"/>
    <xf numFmtId="0" fontId="63" fillId="8" borderId="10" applyNumberFormat="0" applyAlignment="0" applyProtection="0"/>
    <xf numFmtId="0" fontId="63" fillId="8" borderId="10" applyNumberFormat="0" applyAlignment="0" applyProtection="0"/>
    <xf numFmtId="0" fontId="107" fillId="71" borderId="15" applyNumberFormat="0" applyAlignment="0" applyProtection="0"/>
    <xf numFmtId="0" fontId="95" fillId="41" borderId="16" applyNumberFormat="0" applyAlignment="0" applyProtection="0"/>
    <xf numFmtId="0" fontId="64" fillId="8" borderId="9" applyNumberFormat="0" applyAlignment="0" applyProtection="0"/>
    <xf numFmtId="0" fontId="64" fillId="8" borderId="9" applyNumberFormat="0" applyAlignment="0" applyProtection="0"/>
    <xf numFmtId="0" fontId="64" fillId="8" borderId="9" applyNumberFormat="0" applyAlignment="0" applyProtection="0"/>
    <xf numFmtId="0" fontId="64" fillId="8" borderId="9" applyNumberFormat="0" applyAlignment="0" applyProtection="0"/>
    <xf numFmtId="0" fontId="108" fillId="71" borderId="16" applyNumberFormat="0" applyAlignment="0" applyProtection="0"/>
    <xf numFmtId="43" fontId="1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92"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96" fillId="60" borderId="16" applyNumberFormat="0" applyAlignment="0" applyProtection="0"/>
    <xf numFmtId="0" fontId="62" fillId="7" borderId="9" applyNumberFormat="0" applyAlignment="0" applyProtection="0"/>
    <xf numFmtId="0" fontId="62" fillId="7" borderId="9" applyNumberFormat="0" applyAlignment="0" applyProtection="0"/>
    <xf numFmtId="0" fontId="62" fillId="7" borderId="9" applyNumberFormat="0" applyAlignment="0" applyProtection="0"/>
    <xf numFmtId="0" fontId="62" fillId="7" borderId="9" applyNumberFormat="0" applyAlignment="0" applyProtection="0"/>
    <xf numFmtId="0" fontId="94" fillId="0" borderId="28" applyNumberFormat="0" applyFill="0" applyAlignment="0" applyProtection="0"/>
    <xf numFmtId="0" fontId="3" fillId="0" borderId="14" applyNumberFormat="0" applyFill="0" applyAlignment="0" applyProtection="0"/>
    <xf numFmtId="0" fontId="3" fillId="0" borderId="14" applyNumberFormat="0" applyFill="0" applyAlignment="0" applyProtection="0"/>
    <xf numFmtId="0" fontId="3" fillId="0" borderId="14" applyNumberFormat="0" applyFill="0" applyAlignment="0" applyProtection="0"/>
    <xf numFmtId="0" fontId="3" fillId="0" borderId="14" applyNumberFormat="0" applyFill="0" applyAlignment="0" applyProtection="0"/>
    <xf numFmtId="0" fontId="94" fillId="0" borderId="29" applyNumberFormat="0" applyFill="0" applyAlignment="0" applyProtection="0"/>
    <xf numFmtId="0" fontId="97"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98" fillId="61" borderId="0" applyNumberFormat="0" applyBorder="0" applyAlignment="0" applyProtection="0"/>
    <xf numFmtId="0" fontId="60" fillId="4" borderId="0" applyNumberFormat="0" applyBorder="0" applyAlignment="0" applyProtection="0"/>
    <xf numFmtId="0" fontId="60" fillId="4" borderId="0" applyNumberFormat="0" applyBorder="0" applyAlignment="0" applyProtection="0"/>
    <xf numFmtId="0" fontId="60" fillId="4" borderId="0" applyNumberFormat="0" applyBorder="0" applyAlignment="0" applyProtection="0"/>
    <xf numFmtId="0" fontId="60" fillId="4" borderId="0" applyNumberFormat="0" applyBorder="0" applyAlignment="0" applyProtection="0"/>
    <xf numFmtId="0" fontId="99" fillId="65" borderId="0" applyNumberFormat="0" applyBorder="0" applyAlignment="0" applyProtection="0"/>
    <xf numFmtId="0" fontId="67" fillId="6" borderId="0" applyNumberFormat="0" applyBorder="0" applyAlignment="0" applyProtection="0"/>
    <xf numFmtId="0" fontId="67" fillId="6" borderId="0" applyNumberFormat="0" applyBorder="0" applyAlignment="0" applyProtection="0"/>
    <xf numFmtId="0" fontId="67" fillId="6" borderId="0" applyNumberFormat="0" applyBorder="0" applyAlignment="0" applyProtection="0"/>
    <xf numFmtId="0" fontId="67" fillId="6" borderId="0" applyNumberFormat="0" applyBorder="0" applyAlignment="0" applyProtection="0"/>
    <xf numFmtId="0" fontId="99" fillId="39" borderId="0" applyNumberFormat="0" applyBorder="0" applyAlignment="0" applyProtection="0"/>
    <xf numFmtId="0" fontId="14" fillId="55" borderId="30"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6" fillId="55" borderId="18"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9" fontId="14" fillId="0" borderId="0" applyFont="0" applyFill="0" applyBorder="0" applyAlignment="0" applyProtection="0"/>
    <xf numFmtId="0" fontId="100" fillId="62" borderId="0" applyNumberFormat="0" applyBorder="0" applyAlignment="0" applyProtection="0"/>
    <xf numFmtId="0" fontId="61" fillId="5" borderId="0" applyNumberFormat="0" applyBorder="0" applyAlignment="0" applyProtection="0"/>
    <xf numFmtId="0" fontId="61" fillId="5" borderId="0" applyNumberFormat="0" applyBorder="0" applyAlignment="0" applyProtection="0"/>
    <xf numFmtId="0" fontId="61" fillId="5" borderId="0" applyNumberFormat="0" applyBorder="0" applyAlignment="0" applyProtection="0"/>
    <xf numFmtId="0" fontId="61" fillId="5" borderId="0" applyNumberFormat="0" applyBorder="0" applyAlignment="0" applyProtection="0"/>
    <xf numFmtId="0" fontId="100" fillId="4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4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alignment vertical="top"/>
    </xf>
    <xf numFmtId="0" fontId="85" fillId="0" borderId="0" applyNumberFormat="0" applyFill="0" applyBorder="0" applyAlignment="0" applyProtection="0"/>
    <xf numFmtId="0" fontId="101" fillId="0" borderId="31" applyNumberFormat="0" applyFill="0" applyAlignment="0" applyProtection="0"/>
    <xf numFmtId="0" fontId="57" fillId="0" borderId="6" applyNumberFormat="0" applyFill="0" applyAlignment="0" applyProtection="0"/>
    <xf numFmtId="0" fontId="57" fillId="0" borderId="6" applyNumberFormat="0" applyFill="0" applyAlignment="0" applyProtection="0"/>
    <xf numFmtId="0" fontId="57" fillId="0" borderId="6" applyNumberFormat="0" applyFill="0" applyAlignment="0" applyProtection="0"/>
    <xf numFmtId="0" fontId="57" fillId="0" borderId="6" applyNumberFormat="0" applyFill="0" applyAlignment="0" applyProtection="0"/>
    <xf numFmtId="0" fontId="109" fillId="0" borderId="32" applyNumberFormat="0" applyFill="0" applyAlignment="0" applyProtection="0"/>
    <xf numFmtId="0" fontId="102" fillId="0" borderId="33" applyNumberFormat="0" applyFill="0" applyAlignment="0" applyProtection="0"/>
    <xf numFmtId="0" fontId="58" fillId="0" borderId="7" applyNumberFormat="0" applyFill="0" applyAlignment="0" applyProtection="0"/>
    <xf numFmtId="0" fontId="58" fillId="0" borderId="7" applyNumberFormat="0" applyFill="0" applyAlignment="0" applyProtection="0"/>
    <xf numFmtId="0" fontId="58" fillId="0" borderId="7" applyNumberFormat="0" applyFill="0" applyAlignment="0" applyProtection="0"/>
    <xf numFmtId="0" fontId="58" fillId="0" borderId="7" applyNumberFormat="0" applyFill="0" applyAlignment="0" applyProtection="0"/>
    <xf numFmtId="0" fontId="110" fillId="0" borderId="23" applyNumberFormat="0" applyFill="0" applyAlignment="0" applyProtection="0"/>
    <xf numFmtId="0" fontId="103" fillId="0" borderId="34" applyNumberFormat="0" applyFill="0" applyAlignment="0" applyProtection="0"/>
    <xf numFmtId="0" fontId="59" fillId="0" borderId="8" applyNumberFormat="0" applyFill="0" applyAlignment="0" applyProtection="0"/>
    <xf numFmtId="0" fontId="59" fillId="0" borderId="8" applyNumberFormat="0" applyFill="0" applyAlignment="0" applyProtection="0"/>
    <xf numFmtId="0" fontId="59" fillId="0" borderId="8" applyNumberFormat="0" applyFill="0" applyAlignment="0" applyProtection="0"/>
    <xf numFmtId="0" fontId="59" fillId="0" borderId="8" applyNumberFormat="0" applyFill="0" applyAlignment="0" applyProtection="0"/>
    <xf numFmtId="0" fontId="111" fillId="0" borderId="35" applyNumberFormat="0" applyFill="0" applyAlignment="0" applyProtection="0"/>
    <xf numFmtId="0" fontId="103"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111"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112" fillId="0" borderId="0" applyNumberFormat="0" applyFill="0" applyBorder="0" applyAlignment="0" applyProtection="0"/>
    <xf numFmtId="0" fontId="104" fillId="0" borderId="25"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113" fillId="0" borderId="36" applyNumberFormat="0" applyFill="0" applyAlignment="0" applyProtection="0"/>
    <xf numFmtId="0" fontId="105"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114" fillId="0" borderId="0" applyNumberFormat="0" applyFill="0" applyBorder="0" applyAlignment="0" applyProtection="0"/>
    <xf numFmtId="0" fontId="106" fillId="72" borderId="37" applyNumberFormat="0" applyAlignment="0" applyProtection="0"/>
    <xf numFmtId="0" fontId="2" fillId="9" borderId="12" applyNumberFormat="0" applyAlignment="0" applyProtection="0"/>
    <xf numFmtId="0" fontId="2" fillId="9" borderId="12" applyNumberFormat="0" applyAlignment="0" applyProtection="0"/>
    <xf numFmtId="0" fontId="2" fillId="9" borderId="12" applyNumberFormat="0" applyAlignment="0" applyProtection="0"/>
    <xf numFmtId="0" fontId="2" fillId="9" borderId="12" applyNumberFormat="0" applyAlignment="0" applyProtection="0"/>
    <xf numFmtId="0" fontId="106" fillId="73" borderId="26" applyNumberForma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63" fillId="8" borderId="10" applyNumberFormat="0" applyAlignment="0" applyProtection="0"/>
    <xf numFmtId="0" fontId="63" fillId="8" borderId="10" applyNumberFormat="0" applyAlignment="0" applyProtection="0"/>
    <xf numFmtId="0" fontId="64" fillId="8" borderId="9" applyNumberFormat="0" applyAlignment="0" applyProtection="0"/>
    <xf numFmtId="0" fontId="64" fillId="8" borderId="9" applyNumberFormat="0" applyAlignment="0" applyProtection="0"/>
    <xf numFmtId="43" fontId="14" fillId="0" borderId="0" applyFont="0" applyFill="0" applyBorder="0" applyAlignment="0" applyProtection="0"/>
    <xf numFmtId="43" fontId="14" fillId="0" borderId="0" applyFont="0" applyFill="0" applyBorder="0" applyAlignment="0" applyProtection="0"/>
    <xf numFmtId="0" fontId="62" fillId="7" borderId="9" applyNumberFormat="0" applyAlignment="0" applyProtection="0"/>
    <xf numFmtId="0" fontId="62" fillId="7" borderId="9" applyNumberFormat="0" applyAlignment="0" applyProtection="0"/>
    <xf numFmtId="0" fontId="3" fillId="0" borderId="14" applyNumberFormat="0" applyFill="0" applyAlignment="0" applyProtection="0"/>
    <xf numFmtId="0" fontId="3" fillId="0" borderId="14" applyNumberFormat="0" applyFill="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0" fillId="4" borderId="0" applyNumberFormat="0" applyBorder="0" applyAlignment="0" applyProtection="0"/>
    <xf numFmtId="0" fontId="60" fillId="4" borderId="0" applyNumberFormat="0" applyBorder="0" applyAlignment="0" applyProtection="0"/>
    <xf numFmtId="0" fontId="67" fillId="6" borderId="0" applyNumberFormat="0" applyBorder="0" applyAlignment="0" applyProtection="0"/>
    <xf numFmtId="0" fontId="67" fillId="6" borderId="0" applyNumberFormat="0" applyBorder="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9" fontId="14" fillId="0" borderId="0" applyFont="0" applyFill="0" applyBorder="0" applyAlignment="0" applyProtection="0"/>
    <xf numFmtId="0" fontId="61" fillId="5" borderId="0" applyNumberFormat="0" applyBorder="0" applyAlignment="0" applyProtection="0"/>
    <xf numFmtId="0" fontId="61" fillId="5"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7" fillId="0" borderId="6" applyNumberFormat="0" applyFill="0" applyAlignment="0" applyProtection="0"/>
    <xf numFmtId="0" fontId="57" fillId="0" borderId="6" applyNumberFormat="0" applyFill="0" applyAlignment="0" applyProtection="0"/>
    <xf numFmtId="0" fontId="58" fillId="0" borderId="7" applyNumberFormat="0" applyFill="0" applyAlignment="0" applyProtection="0"/>
    <xf numFmtId="0" fontId="58" fillId="0" borderId="7" applyNumberFormat="0" applyFill="0" applyAlignment="0" applyProtection="0"/>
    <xf numFmtId="0" fontId="59" fillId="0" borderId="8" applyNumberFormat="0" applyFill="0" applyAlignment="0" applyProtection="0"/>
    <xf numFmtId="0" fontId="59" fillId="0" borderId="8" applyNumberFormat="0" applyFill="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5" fillId="0" borderId="11" applyNumberFormat="0" applyFill="0" applyAlignment="0" applyProtection="0"/>
    <xf numFmtId="0" fontId="65" fillId="0" borderId="11" applyNumberFormat="0" applyFill="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2" fillId="9" borderId="12" applyNumberFormat="0" applyAlignment="0" applyProtection="0"/>
    <xf numFmtId="0" fontId="2" fillId="9" borderId="12" applyNumberFormat="0" applyAlignment="0" applyProtection="0"/>
    <xf numFmtId="0" fontId="86" fillId="0" borderId="22" applyNumberFormat="0" applyFill="0" applyAlignment="0" applyProtection="0"/>
    <xf numFmtId="0" fontId="87" fillId="0" borderId="23" applyNumberFormat="0" applyFill="0" applyAlignment="0" applyProtection="0"/>
    <xf numFmtId="0" fontId="88" fillId="0" borderId="24" applyNumberFormat="0" applyFill="0" applyAlignment="0" applyProtection="0"/>
    <xf numFmtId="0" fontId="88" fillId="0" borderId="0" applyNumberFormat="0" applyFill="0" applyBorder="0" applyAlignment="0" applyProtection="0"/>
    <xf numFmtId="0" fontId="75" fillId="37" borderId="0" applyNumberFormat="0" applyBorder="0" applyAlignment="0" applyProtection="0"/>
    <xf numFmtId="0" fontId="84" fillId="57" borderId="0" applyNumberFormat="0" applyBorder="0" applyAlignment="0" applyProtection="0"/>
    <xf numFmtId="0" fontId="76" fillId="36" borderId="0" applyNumberFormat="0" applyBorder="0" applyAlignment="0" applyProtection="0"/>
    <xf numFmtId="0" fontId="72" fillId="36" borderId="16" applyNumberFormat="0" applyAlignment="0" applyProtection="0"/>
    <xf numFmtId="0" fontId="70" fillId="35" borderId="15" applyNumberFormat="0" applyAlignment="0" applyProtection="0"/>
    <xf numFmtId="0" fontId="71" fillId="35" borderId="16" applyNumberFormat="0" applyAlignment="0" applyProtection="0"/>
    <xf numFmtId="0" fontId="89" fillId="0" borderId="25" applyNumberFormat="0" applyFill="0" applyAlignment="0" applyProtection="0"/>
    <xf numFmtId="0" fontId="91" fillId="58" borderId="26" applyNumberFormat="0" applyAlignment="0" applyProtection="0"/>
    <xf numFmtId="0" fontId="90" fillId="0" borderId="0" applyNumberFormat="0" applyFill="0" applyBorder="0" applyAlignment="0" applyProtection="0"/>
    <xf numFmtId="0" fontId="68" fillId="38" borderId="18" applyNumberFormat="0" applyFont="0" applyAlignment="0" applyProtection="0"/>
    <xf numFmtId="0" fontId="74" fillId="0" borderId="0" applyNumberFormat="0" applyFill="0" applyBorder="0" applyAlignment="0" applyProtection="0"/>
    <xf numFmtId="0" fontId="73" fillId="0" borderId="17" applyNumberFormat="0" applyFill="0" applyAlignment="0" applyProtection="0"/>
    <xf numFmtId="4" fontId="79" fillId="51" borderId="0" applyNumberFormat="0" applyProtection="0">
      <alignment horizontal="left" vertical="center" indent="1"/>
    </xf>
    <xf numFmtId="4" fontId="79" fillId="40" borderId="0" applyNumberFormat="0" applyProtection="0">
      <alignment horizontal="left" vertical="center" indent="1"/>
    </xf>
    <xf numFmtId="0" fontId="68" fillId="52" borderId="19" applyNumberFormat="0" applyProtection="0">
      <alignment horizontal="left" vertical="center" indent="1"/>
    </xf>
    <xf numFmtId="0" fontId="68" fillId="52" borderId="19" applyNumberFormat="0" applyProtection="0">
      <alignment horizontal="left" vertical="top" indent="1"/>
    </xf>
    <xf numFmtId="0" fontId="68" fillId="40" borderId="19" applyNumberFormat="0" applyProtection="0">
      <alignment horizontal="left" vertical="center" indent="1"/>
    </xf>
    <xf numFmtId="0" fontId="68" fillId="40" borderId="19" applyNumberFormat="0" applyProtection="0">
      <alignment horizontal="left" vertical="top" indent="1"/>
    </xf>
    <xf numFmtId="0" fontId="68" fillId="53" borderId="19" applyNumberFormat="0" applyProtection="0">
      <alignment horizontal="left" vertical="center" indent="1"/>
    </xf>
    <xf numFmtId="0" fontId="68" fillId="53" borderId="19" applyNumberFormat="0" applyProtection="0">
      <alignment horizontal="left" vertical="top" indent="1"/>
    </xf>
    <xf numFmtId="0" fontId="68" fillId="51" borderId="19" applyNumberFormat="0" applyProtection="0">
      <alignment horizontal="left" vertical="center" indent="1"/>
    </xf>
    <xf numFmtId="0" fontId="68" fillId="51" borderId="19" applyNumberFormat="0" applyProtection="0">
      <alignment horizontal="left" vertical="top" indent="1"/>
    </xf>
    <xf numFmtId="0" fontId="68" fillId="54" borderId="21" applyNumberFormat="0">
      <protection locked="0"/>
    </xf>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43" fontId="14" fillId="0" borderId="0" applyFont="0" applyFill="0" applyBorder="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9" fontId="1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51" borderId="19" applyNumberFormat="0" applyProtection="0">
      <alignment horizontal="left" vertical="top" indent="1"/>
    </xf>
    <xf numFmtId="0" fontId="68" fillId="53" borderId="19" applyNumberFormat="0" applyProtection="0">
      <alignment horizontal="left" vertical="top" indent="1"/>
    </xf>
    <xf numFmtId="0" fontId="68" fillId="40" borderId="19" applyNumberFormat="0" applyProtection="0">
      <alignment horizontal="left" vertical="top" indent="1"/>
    </xf>
    <xf numFmtId="0" fontId="68" fillId="52" borderId="19" applyNumberFormat="0" applyProtection="0">
      <alignment horizontal="left" vertical="top" indent="1"/>
    </xf>
    <xf numFmtId="4" fontId="79" fillId="40" borderId="0" applyNumberFormat="0" applyProtection="0">
      <alignment horizontal="left" vertical="center" indent="1"/>
    </xf>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0" fontId="115" fillId="0" borderId="0" applyNumberFormat="0" applyFill="0" applyBorder="0" applyAlignment="0" applyProtection="0">
      <alignment vertical="top"/>
      <protection locked="0"/>
    </xf>
    <xf numFmtId="0" fontId="68" fillId="54" borderId="21" applyNumberFormat="0">
      <protection locked="0"/>
    </xf>
    <xf numFmtId="0" fontId="68" fillId="51" borderId="19" applyNumberFormat="0" applyProtection="0">
      <alignment horizontal="left" vertical="center" indent="1"/>
    </xf>
    <xf numFmtId="0" fontId="68" fillId="53" borderId="19" applyNumberFormat="0" applyProtection="0">
      <alignment horizontal="left" vertical="center" indent="1"/>
    </xf>
    <xf numFmtId="0" fontId="68" fillId="40" borderId="19" applyNumberFormat="0" applyProtection="0">
      <alignment horizontal="left" vertical="center" indent="1"/>
    </xf>
    <xf numFmtId="0" fontId="68" fillId="52" borderId="19" applyNumberFormat="0" applyProtection="0">
      <alignment horizontal="left" vertical="center" indent="1"/>
    </xf>
    <xf numFmtId="4" fontId="79" fillId="51" borderId="0" applyNumberFormat="0" applyProtection="0">
      <alignment horizontal="left" vertical="center" indent="1"/>
    </xf>
    <xf numFmtId="0" fontId="68" fillId="38" borderId="18" applyNumberFormat="0" applyFont="0" applyAlignment="0" applyProtection="0"/>
    <xf numFmtId="0" fontId="20" fillId="0" borderId="0"/>
    <xf numFmtId="0" fontId="20"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0" fontId="1" fillId="0" borderId="0"/>
    <xf numFmtId="171" fontId="116" fillId="74" borderId="38" applyNumberFormat="0" applyAlignment="0" applyProtection="0">
      <alignment horizontal="left" vertical="center" indent="1"/>
    </xf>
    <xf numFmtId="43" fontId="1" fillId="0" borderId="0" applyFont="0" applyFill="0" applyBorder="0" applyAlignment="0" applyProtection="0"/>
    <xf numFmtId="43" fontId="48" fillId="0" borderId="0" applyFont="0" applyFill="0" applyBorder="0" applyAlignment="0" applyProtection="0"/>
    <xf numFmtId="43" fontId="1" fillId="0" borderId="0" applyFont="0" applyFill="0" applyBorder="0" applyAlignment="0" applyProtection="0"/>
    <xf numFmtId="43" fontId="48" fillId="0" borderId="0" applyFont="0" applyFill="0" applyBorder="0" applyAlignment="0" applyProtection="0"/>
    <xf numFmtId="43" fontId="1" fillId="0" borderId="0" applyFont="0" applyFill="0" applyBorder="0" applyAlignment="0" applyProtection="0"/>
    <xf numFmtId="43" fontId="48" fillId="0" borderId="0" applyFont="0" applyFill="0" applyBorder="0" applyAlignment="0" applyProtection="0"/>
    <xf numFmtId="43" fontId="1" fillId="0" borderId="0" applyFont="0" applyFill="0" applyBorder="0" applyAlignment="0" applyProtection="0"/>
    <xf numFmtId="43" fontId="48" fillId="0" borderId="0" applyFont="0" applyFill="0" applyBorder="0" applyAlignment="0" applyProtection="0"/>
  </cellStyleXfs>
  <cellXfs count="408">
    <xf numFmtId="0" fontId="0" fillId="0" borderId="0" xfId="0"/>
    <xf numFmtId="0" fontId="0" fillId="0" borderId="0" xfId="0" applyProtection="1">
      <protection hidden="1"/>
    </xf>
    <xf numFmtId="0" fontId="12" fillId="0" borderId="0" xfId="0" applyFont="1" applyProtection="1">
      <protection hidden="1"/>
    </xf>
    <xf numFmtId="0" fontId="18" fillId="0" borderId="0" xfId="2" applyFont="1" applyFill="1" applyAlignment="1" applyProtection="1">
      <alignment horizontal="left"/>
      <protection hidden="1"/>
    </xf>
    <xf numFmtId="0" fontId="14" fillId="0" borderId="0" xfId="0" applyFont="1" applyAlignment="1" applyProtection="1">
      <alignment horizontal="left"/>
      <protection hidden="1"/>
    </xf>
    <xf numFmtId="0" fontId="18" fillId="0" borderId="0" xfId="2" applyFont="1" applyProtection="1">
      <protection hidden="1"/>
    </xf>
    <xf numFmtId="0" fontId="3" fillId="0" borderId="0" xfId="0" applyFont="1" applyProtection="1">
      <protection hidden="1"/>
    </xf>
    <xf numFmtId="0" fontId="12" fillId="0" borderId="0" xfId="0" applyFont="1" applyAlignment="1" applyProtection="1">
      <alignment horizontal="right"/>
      <protection hidden="1"/>
    </xf>
    <xf numFmtId="0" fontId="0" fillId="0" borderId="0" xfId="0" applyAlignment="1" applyProtection="1">
      <alignment horizontal="left"/>
      <protection hidden="1"/>
    </xf>
    <xf numFmtId="0" fontId="0" fillId="0" borderId="0" xfId="0" applyAlignment="1" applyProtection="1">
      <alignment horizontal="right"/>
      <protection hidden="1"/>
    </xf>
    <xf numFmtId="0" fontId="9" fillId="0" borderId="0" xfId="2" applyFill="1" applyAlignment="1" applyProtection="1">
      <alignment horizontal="right"/>
      <protection hidden="1"/>
    </xf>
    <xf numFmtId="0" fontId="14" fillId="0" borderId="0" xfId="0" applyFont="1" applyAlignment="1" applyProtection="1">
      <alignment horizontal="right"/>
      <protection hidden="1"/>
    </xf>
    <xf numFmtId="3" fontId="14" fillId="0" borderId="0" xfId="0" applyNumberFormat="1" applyFont="1" applyAlignment="1" applyProtection="1">
      <alignment horizontal="right"/>
      <protection hidden="1"/>
    </xf>
    <xf numFmtId="0" fontId="0" fillId="0" borderId="0" xfId="0" applyAlignment="1" applyProtection="1">
      <alignment horizontal="left" indent="1"/>
      <protection hidden="1"/>
    </xf>
    <xf numFmtId="165" fontId="14" fillId="0" borderId="0" xfId="0" applyNumberFormat="1" applyFont="1" applyAlignment="1" applyProtection="1">
      <alignment horizontal="right"/>
      <protection hidden="1"/>
    </xf>
    <xf numFmtId="3" fontId="0" fillId="0" borderId="0" xfId="0" applyNumberFormat="1" applyAlignment="1" applyProtection="1">
      <alignment horizontal="right"/>
      <protection hidden="1"/>
    </xf>
    <xf numFmtId="0" fontId="14" fillId="0" borderId="0" xfId="0" applyFont="1" applyProtection="1">
      <protection hidden="1"/>
    </xf>
    <xf numFmtId="0" fontId="14" fillId="0" borderId="0" xfId="0" applyFont="1" applyAlignment="1" applyProtection="1">
      <alignment horizontal="left" indent="1"/>
      <protection hidden="1"/>
    </xf>
    <xf numFmtId="0" fontId="19" fillId="0" borderId="0" xfId="0" applyFont="1" applyProtection="1">
      <protection hidden="1"/>
    </xf>
    <xf numFmtId="0" fontId="20" fillId="0" borderId="0" xfId="0" applyFont="1" applyAlignment="1" applyProtection="1">
      <alignment horizontal="left" vertical="top"/>
      <protection hidden="1"/>
    </xf>
    <xf numFmtId="0" fontId="20" fillId="0" borderId="0" xfId="0" applyFont="1" applyAlignment="1" applyProtection="1">
      <alignment horizontal="left" vertical="top" wrapText="1"/>
      <protection hidden="1"/>
    </xf>
    <xf numFmtId="0" fontId="12" fillId="0" borderId="0" xfId="0" applyFont="1" applyAlignment="1" applyProtection="1">
      <alignment wrapText="1"/>
      <protection hidden="1"/>
    </xf>
    <xf numFmtId="0" fontId="14" fillId="0" borderId="0" xfId="0" applyFont="1" applyAlignment="1" applyProtection="1">
      <alignment wrapText="1"/>
      <protection hidden="1"/>
    </xf>
    <xf numFmtId="0" fontId="17" fillId="0" borderId="0" xfId="0" applyFont="1" applyProtection="1">
      <protection hidden="1"/>
    </xf>
    <xf numFmtId="0" fontId="3" fillId="0" borderId="0" xfId="0" applyFont="1" applyAlignment="1" applyProtection="1">
      <alignment wrapText="1"/>
      <protection hidden="1"/>
    </xf>
    <xf numFmtId="0" fontId="14" fillId="0" borderId="0" xfId="0" applyFont="1"/>
    <xf numFmtId="0" fontId="0" fillId="0" borderId="0" xfId="0" applyAlignment="1" applyProtection="1">
      <alignment horizontal="left" indent="2"/>
      <protection hidden="1"/>
    </xf>
    <xf numFmtId="0" fontId="5" fillId="0" borderId="0" xfId="0" applyFont="1" applyAlignment="1" applyProtection="1">
      <alignment horizontal="right" vertical="center"/>
      <protection hidden="1"/>
    </xf>
    <xf numFmtId="0" fontId="3" fillId="0" borderId="0" xfId="0" applyFont="1" applyAlignment="1" applyProtection="1">
      <alignment horizontal="right"/>
      <protection hidden="1"/>
    </xf>
    <xf numFmtId="0" fontId="20" fillId="0" borderId="0" xfId="0" applyFont="1" applyAlignment="1" applyProtection="1">
      <alignment horizontal="right" vertical="top" wrapText="1"/>
      <protection hidden="1"/>
    </xf>
    <xf numFmtId="0" fontId="20" fillId="0" borderId="0" xfId="0" applyFont="1" applyAlignment="1" applyProtection="1">
      <alignment horizontal="right"/>
      <protection hidden="1"/>
    </xf>
    <xf numFmtId="0" fontId="20" fillId="0" borderId="0" xfId="0" applyFont="1" applyAlignment="1" applyProtection="1">
      <alignment horizontal="right" vertical="top"/>
      <protection hidden="1"/>
    </xf>
    <xf numFmtId="0" fontId="5" fillId="0" borderId="0" xfId="0" applyFont="1" applyAlignment="1" applyProtection="1">
      <alignment horizontal="right" vertical="center" indent="1"/>
      <protection hidden="1"/>
    </xf>
    <xf numFmtId="0" fontId="3" fillId="0" borderId="0" xfId="0" applyFont="1" applyAlignment="1" applyProtection="1">
      <alignment horizontal="right" indent="1"/>
      <protection hidden="1"/>
    </xf>
    <xf numFmtId="0" fontId="0" fillId="0" borderId="0" xfId="0" applyAlignment="1" applyProtection="1">
      <alignment horizontal="right" indent="1"/>
      <protection hidden="1"/>
    </xf>
    <xf numFmtId="0" fontId="20" fillId="0" borderId="0" xfId="0" applyFont="1" applyAlignment="1" applyProtection="1">
      <alignment horizontal="right" vertical="top" wrapText="1" indent="1"/>
      <protection hidden="1"/>
    </xf>
    <xf numFmtId="0" fontId="20" fillId="0" borderId="0" xfId="0" applyFont="1" applyAlignment="1" applyProtection="1">
      <alignment horizontal="right" indent="1"/>
      <protection hidden="1"/>
    </xf>
    <xf numFmtId="0" fontId="20" fillId="0" borderId="0" xfId="0" applyFont="1" applyAlignment="1" applyProtection="1">
      <alignment horizontal="right" vertical="top" indent="1"/>
      <protection hidden="1"/>
    </xf>
    <xf numFmtId="0" fontId="26" fillId="0" borderId="0" xfId="0" applyFont="1" applyProtection="1">
      <protection hidden="1"/>
    </xf>
    <xf numFmtId="0" fontId="28" fillId="0" borderId="0" xfId="2" applyFont="1" applyAlignment="1" applyProtection="1">
      <alignment horizontal="right"/>
      <protection hidden="1"/>
    </xf>
    <xf numFmtId="0" fontId="29" fillId="0" borderId="0" xfId="2" applyFont="1" applyAlignment="1" applyProtection="1">
      <alignment horizontal="right"/>
      <protection hidden="1"/>
    </xf>
    <xf numFmtId="0" fontId="30" fillId="0" borderId="0" xfId="2" applyFont="1" applyAlignment="1" applyProtection="1">
      <alignment horizontal="right"/>
      <protection hidden="1"/>
    </xf>
    <xf numFmtId="0" fontId="0" fillId="0" borderId="0" xfId="0" applyAlignment="1" applyProtection="1">
      <alignment vertical="top"/>
      <protection hidden="1"/>
    </xf>
    <xf numFmtId="0" fontId="29" fillId="0" borderId="0" xfId="2" applyFont="1" applyAlignment="1" applyProtection="1">
      <alignment horizontal="right" vertical="top"/>
      <protection hidden="1"/>
    </xf>
    <xf numFmtId="0" fontId="30" fillId="0" borderId="0" xfId="2" applyFont="1" applyAlignment="1" applyProtection="1">
      <alignment horizontal="right" vertical="top"/>
      <protection hidden="1"/>
    </xf>
    <xf numFmtId="0" fontId="36" fillId="0" borderId="0" xfId="0" applyFont="1" applyAlignment="1" applyProtection="1">
      <alignment vertical="center"/>
      <protection hidden="1"/>
    </xf>
    <xf numFmtId="0" fontId="37" fillId="0" borderId="0" xfId="0" applyFont="1" applyAlignment="1" applyProtection="1">
      <alignment vertical="center"/>
      <protection hidden="1"/>
    </xf>
    <xf numFmtId="0" fontId="38" fillId="0" borderId="0" xfId="0" applyFont="1" applyProtection="1">
      <protection hidden="1"/>
    </xf>
    <xf numFmtId="0" fontId="14" fillId="0" borderId="0" xfId="3" applyProtection="1">
      <protection hidden="1"/>
    </xf>
    <xf numFmtId="164" fontId="0" fillId="0" borderId="0" xfId="1" applyNumberFormat="1" applyFont="1" applyFill="1" applyAlignment="1" applyProtection="1">
      <alignment horizontal="right"/>
      <protection hidden="1"/>
    </xf>
    <xf numFmtId="0" fontId="14" fillId="0" borderId="0" xfId="3" applyAlignment="1" applyProtection="1">
      <alignment horizontal="left" indent="1"/>
      <protection hidden="1"/>
    </xf>
    <xf numFmtId="166" fontId="0" fillId="0" borderId="0" xfId="1" applyNumberFormat="1" applyFont="1" applyFill="1" applyAlignment="1" applyProtection="1">
      <alignment horizontal="right"/>
      <protection hidden="1"/>
    </xf>
    <xf numFmtId="0" fontId="14" fillId="0" borderId="0" xfId="3" applyAlignment="1" applyProtection="1">
      <alignment horizontal="left"/>
      <protection hidden="1"/>
    </xf>
    <xf numFmtId="0" fontId="33" fillId="0" borderId="0" xfId="0" applyFont="1" applyAlignment="1" applyProtection="1">
      <alignment horizontal="right" vertical="center"/>
      <protection hidden="1"/>
    </xf>
    <xf numFmtId="0" fontId="34" fillId="0" borderId="0" xfId="0" applyFont="1" applyAlignment="1" applyProtection="1">
      <alignment horizontal="right" vertical="center"/>
      <protection hidden="1"/>
    </xf>
    <xf numFmtId="0" fontId="35" fillId="0" borderId="0" xfId="0" applyFont="1" applyAlignment="1" applyProtection="1">
      <alignment horizontal="right"/>
      <protection hidden="1"/>
    </xf>
    <xf numFmtId="0" fontId="29" fillId="0" borderId="0" xfId="0" applyFont="1" applyAlignment="1" applyProtection="1">
      <alignment horizontal="right"/>
      <protection hidden="1"/>
    </xf>
    <xf numFmtId="0" fontId="29" fillId="0" borderId="0" xfId="0" applyFont="1" applyAlignment="1" applyProtection="1">
      <alignment horizontal="right" vertical="top"/>
      <protection hidden="1"/>
    </xf>
    <xf numFmtId="0" fontId="31" fillId="0" borderId="0" xfId="0" applyFont="1" applyAlignment="1" applyProtection="1">
      <alignment horizontal="right" vertical="center"/>
      <protection hidden="1"/>
    </xf>
    <xf numFmtId="0" fontId="32" fillId="0" borderId="0" xfId="0" applyFont="1" applyAlignment="1" applyProtection="1">
      <alignment horizontal="right" vertical="center"/>
      <protection hidden="1"/>
    </xf>
    <xf numFmtId="0" fontId="27" fillId="0" borderId="0" xfId="0" applyFont="1" applyAlignment="1" applyProtection="1">
      <alignment horizontal="right"/>
      <protection hidden="1"/>
    </xf>
    <xf numFmtId="0" fontId="30" fillId="0" borderId="0" xfId="0" applyFont="1" applyAlignment="1" applyProtection="1">
      <alignment horizontal="right"/>
      <protection hidden="1"/>
    </xf>
    <xf numFmtId="0" fontId="30" fillId="0" borderId="0" xfId="0" applyFont="1" applyAlignment="1" applyProtection="1">
      <alignment horizontal="right" vertical="top"/>
      <protection hidden="1"/>
    </xf>
    <xf numFmtId="0" fontId="36" fillId="0" borderId="0" xfId="0" applyFont="1" applyAlignment="1" applyProtection="1">
      <alignment horizontal="right" vertical="center"/>
      <protection hidden="1"/>
    </xf>
    <xf numFmtId="0" fontId="37" fillId="0" borderId="0" xfId="0" applyFont="1" applyAlignment="1" applyProtection="1">
      <alignment horizontal="right" vertical="center"/>
      <protection hidden="1"/>
    </xf>
    <xf numFmtId="0" fontId="26" fillId="0" borderId="0" xfId="0" applyFont="1" applyAlignment="1" applyProtection="1">
      <alignment horizontal="right"/>
      <protection hidden="1"/>
    </xf>
    <xf numFmtId="0" fontId="38" fillId="0" borderId="0" xfId="0" applyFont="1" applyAlignment="1" applyProtection="1">
      <alignment horizontal="right"/>
      <protection hidden="1"/>
    </xf>
    <xf numFmtId="0" fontId="6" fillId="0" borderId="0" xfId="0" applyFont="1" applyAlignment="1" applyProtection="1">
      <alignment horizontal="right" vertical="center"/>
      <protection hidden="1"/>
    </xf>
    <xf numFmtId="0" fontId="9" fillId="0" borderId="0" xfId="2" applyNumberFormat="1" applyFill="1" applyAlignment="1" applyProtection="1">
      <alignment horizontal="right"/>
      <protection hidden="1"/>
    </xf>
    <xf numFmtId="0" fontId="12" fillId="0" borderId="0" xfId="0" applyFont="1" applyAlignment="1" applyProtection="1">
      <alignment horizontal="right" vertical="top" wrapText="1"/>
      <protection hidden="1"/>
    </xf>
    <xf numFmtId="0" fontId="21" fillId="0" borderId="0" xfId="0" applyFont="1" applyAlignment="1" applyProtection="1">
      <alignment horizontal="right" vertical="center"/>
      <protection hidden="1"/>
    </xf>
    <xf numFmtId="0" fontId="22" fillId="0" borderId="0" xfId="0" applyFont="1" applyAlignment="1" applyProtection="1">
      <alignment horizontal="right" vertical="center"/>
      <protection hidden="1"/>
    </xf>
    <xf numFmtId="0" fontId="3" fillId="0" borderId="0" xfId="0" applyFont="1" applyAlignment="1" applyProtection="1">
      <alignment horizontal="right" vertical="top"/>
      <protection hidden="1"/>
    </xf>
    <xf numFmtId="0" fontId="0" fillId="0" borderId="0" xfId="0" applyAlignment="1" applyProtection="1">
      <alignment horizontal="right" vertical="top"/>
      <protection hidden="1"/>
    </xf>
    <xf numFmtId="0" fontId="12" fillId="0" borderId="0" xfId="0" applyFont="1" applyAlignment="1" applyProtection="1">
      <alignment horizontal="right" vertical="top"/>
      <protection hidden="1"/>
    </xf>
    <xf numFmtId="0" fontId="14" fillId="0" borderId="0" xfId="0" applyFont="1" applyAlignment="1" applyProtection="1">
      <alignment horizontal="right" vertical="top"/>
      <protection hidden="1"/>
    </xf>
    <xf numFmtId="3" fontId="3" fillId="0" borderId="0" xfId="0" applyNumberFormat="1" applyFont="1" applyAlignment="1" applyProtection="1">
      <alignment horizontal="right"/>
      <protection hidden="1"/>
    </xf>
    <xf numFmtId="3" fontId="12" fillId="0" borderId="0" xfId="0" applyNumberFormat="1" applyFont="1" applyAlignment="1" applyProtection="1">
      <alignment horizontal="right"/>
      <protection hidden="1"/>
    </xf>
    <xf numFmtId="0" fontId="3" fillId="0" borderId="0" xfId="0" applyFont="1" applyAlignment="1" applyProtection="1">
      <alignment vertical="top"/>
      <protection hidden="1"/>
    </xf>
    <xf numFmtId="0" fontId="1" fillId="0" borderId="0" xfId="1" applyNumberFormat="1" applyFont="1" applyFill="1" applyAlignment="1" applyProtection="1">
      <alignment horizontal="right"/>
      <protection hidden="1"/>
    </xf>
    <xf numFmtId="0" fontId="14" fillId="0" borderId="0" xfId="0" quotePrefix="1" applyFont="1" applyAlignment="1" applyProtection="1">
      <alignment horizontal="right"/>
      <protection hidden="1"/>
    </xf>
    <xf numFmtId="0" fontId="14" fillId="0" borderId="0" xfId="1" applyNumberFormat="1" applyFont="1" applyFill="1" applyAlignment="1" applyProtection="1">
      <alignment horizontal="right"/>
      <protection hidden="1"/>
    </xf>
    <xf numFmtId="0" fontId="3" fillId="0" borderId="0" xfId="1" applyNumberFormat="1" applyFont="1" applyFill="1" applyAlignment="1" applyProtection="1">
      <alignment horizontal="right"/>
      <protection hidden="1"/>
    </xf>
    <xf numFmtId="0" fontId="40" fillId="0" borderId="2" xfId="0" applyFont="1" applyBorder="1" applyAlignment="1" applyProtection="1">
      <alignment horizontal="left" vertical="center" indent="1"/>
      <protection locked="0"/>
    </xf>
    <xf numFmtId="0" fontId="4" fillId="2" borderId="0" xfId="0" applyFont="1" applyFill="1" applyAlignment="1" applyProtection="1">
      <alignment vertical="top"/>
      <protection hidden="1"/>
    </xf>
    <xf numFmtId="0" fontId="18" fillId="0" borderId="0" xfId="2" applyFont="1" applyFill="1" applyProtection="1">
      <protection hidden="1"/>
    </xf>
    <xf numFmtId="0" fontId="12" fillId="0" borderId="0" xfId="0" applyFont="1" applyAlignment="1" applyProtection="1">
      <alignment horizontal="left" indent="1"/>
      <protection hidden="1"/>
    </xf>
    <xf numFmtId="0" fontId="7" fillId="2" borderId="0" xfId="0" applyFont="1" applyFill="1" applyAlignment="1" applyProtection="1">
      <alignment vertical="center"/>
      <protection hidden="1"/>
    </xf>
    <xf numFmtId="0" fontId="8" fillId="2" borderId="0" xfId="0" applyFont="1" applyFill="1" applyAlignment="1" applyProtection="1">
      <alignment vertical="center"/>
      <protection hidden="1"/>
    </xf>
    <xf numFmtId="0" fontId="6" fillId="0" borderId="0" xfId="0" applyFont="1" applyAlignment="1" applyProtection="1">
      <alignment vertical="center"/>
      <protection hidden="1"/>
    </xf>
    <xf numFmtId="0" fontId="5" fillId="0" borderId="0" xfId="0" applyFont="1" applyAlignment="1" applyProtection="1">
      <alignment vertical="center"/>
      <protection hidden="1"/>
    </xf>
    <xf numFmtId="0" fontId="0" fillId="0" borderId="0" xfId="1" applyNumberFormat="1" applyFont="1" applyFill="1" applyAlignment="1" applyProtection="1">
      <alignment horizontal="right"/>
      <protection hidden="1"/>
    </xf>
    <xf numFmtId="0" fontId="14" fillId="0" borderId="0" xfId="1" applyNumberFormat="1" applyFont="1" applyFill="1" applyBorder="1" applyAlignment="1" applyProtection="1">
      <alignment horizontal="right"/>
      <protection hidden="1"/>
    </xf>
    <xf numFmtId="0" fontId="0" fillId="0" borderId="0" xfId="1" quotePrefix="1" applyNumberFormat="1" applyFont="1" applyFill="1" applyAlignment="1" applyProtection="1">
      <alignment horizontal="right"/>
      <protection hidden="1"/>
    </xf>
    <xf numFmtId="0" fontId="0" fillId="0" borderId="0" xfId="0" quotePrefix="1" applyAlignment="1" applyProtection="1">
      <alignment horizontal="right"/>
      <protection hidden="1"/>
    </xf>
    <xf numFmtId="0" fontId="0" fillId="0" borderId="0" xfId="0" quotePrefix="1" applyAlignment="1" applyProtection="1">
      <alignment horizontal="right" indent="1"/>
      <protection hidden="1"/>
    </xf>
    <xf numFmtId="0" fontId="40" fillId="0" borderId="0" xfId="0" applyFont="1" applyAlignment="1" applyProtection="1">
      <alignment horizontal="left" vertical="center" indent="1"/>
      <protection hidden="1"/>
    </xf>
    <xf numFmtId="0" fontId="0" fillId="0" borderId="0" xfId="0" applyAlignment="1" applyProtection="1">
      <alignment wrapText="1"/>
      <protection hidden="1"/>
    </xf>
    <xf numFmtId="0" fontId="16" fillId="0" borderId="0" xfId="0" applyFont="1" applyAlignment="1" applyProtection="1">
      <alignment wrapText="1"/>
      <protection hidden="1"/>
    </xf>
    <xf numFmtId="0" fontId="1" fillId="0" borderId="0" xfId="0" applyFont="1" applyAlignment="1" applyProtection="1">
      <alignment horizontal="right"/>
      <protection hidden="1"/>
    </xf>
    <xf numFmtId="0" fontId="14" fillId="0" borderId="0" xfId="1" quotePrefix="1" applyNumberFormat="1" applyFont="1" applyFill="1" applyAlignment="1" applyProtection="1">
      <alignment horizontal="right"/>
      <protection hidden="1"/>
    </xf>
    <xf numFmtId="0" fontId="1" fillId="0" borderId="0" xfId="0" quotePrefix="1" applyFont="1" applyAlignment="1" applyProtection="1">
      <alignment horizontal="right"/>
      <protection hidden="1"/>
    </xf>
    <xf numFmtId="0" fontId="1" fillId="0" borderId="0" xfId="0" applyFont="1" applyProtection="1">
      <protection hidden="1"/>
    </xf>
    <xf numFmtId="0" fontId="16" fillId="0" borderId="0" xfId="0" applyFont="1" applyAlignment="1" applyProtection="1">
      <alignment horizontal="right"/>
      <protection hidden="1"/>
    </xf>
    <xf numFmtId="0" fontId="1" fillId="0" borderId="0" xfId="1" applyNumberFormat="1" applyFont="1" applyFill="1" applyProtection="1">
      <protection hidden="1"/>
    </xf>
    <xf numFmtId="0" fontId="16" fillId="0" borderId="0" xfId="1" applyNumberFormat="1" applyFont="1" applyFill="1" applyProtection="1">
      <protection hidden="1"/>
    </xf>
    <xf numFmtId="0" fontId="0" fillId="0" borderId="0" xfId="1" applyNumberFormat="1" applyFont="1" applyAlignment="1" applyProtection="1">
      <alignment horizontal="right"/>
      <protection hidden="1"/>
    </xf>
    <xf numFmtId="0" fontId="28" fillId="0" borderId="0" xfId="2" applyFont="1" applyProtection="1">
      <protection hidden="1"/>
    </xf>
    <xf numFmtId="0" fontId="0" fillId="0" borderId="0" xfId="0" applyAlignment="1" applyProtection="1">
      <alignment horizontal="left" wrapText="1"/>
      <protection hidden="1"/>
    </xf>
    <xf numFmtId="0" fontId="0" fillId="0" borderId="0" xfId="0" applyAlignment="1" applyProtection="1">
      <alignment horizontal="right" vertical="center"/>
      <protection hidden="1"/>
    </xf>
    <xf numFmtId="0" fontId="14" fillId="0" borderId="0" xfId="0" applyFont="1" applyAlignment="1" applyProtection="1">
      <alignment horizontal="right" vertical="top" wrapText="1"/>
      <protection hidden="1"/>
    </xf>
    <xf numFmtId="0" fontId="18" fillId="0" borderId="0" xfId="2" applyNumberFormat="1" applyFont="1" applyProtection="1">
      <protection hidden="1"/>
    </xf>
    <xf numFmtId="0" fontId="28" fillId="0" borderId="0" xfId="2" applyNumberFormat="1" applyFont="1" applyAlignment="1" applyProtection="1">
      <alignment horizontal="right" vertical="top"/>
      <protection hidden="1"/>
    </xf>
    <xf numFmtId="0" fontId="12" fillId="0" borderId="0" xfId="0" applyFont="1" applyAlignment="1" applyProtection="1">
      <alignment horizontal="left"/>
      <protection hidden="1"/>
    </xf>
    <xf numFmtId="0" fontId="14" fillId="0" borderId="0" xfId="0" applyFont="1" applyAlignment="1" applyProtection="1">
      <alignment horizontal="left" indent="2"/>
      <protection hidden="1"/>
    </xf>
    <xf numFmtId="0" fontId="14" fillId="0" borderId="0" xfId="0" applyFont="1" applyAlignment="1" applyProtection="1">
      <alignment horizontal="left" indent="4"/>
      <protection hidden="1"/>
    </xf>
    <xf numFmtId="0" fontId="14" fillId="0" borderId="0" xfId="0" applyFont="1" applyAlignment="1" applyProtection="1">
      <alignment horizontal="left" indent="3"/>
      <protection hidden="1"/>
    </xf>
    <xf numFmtId="0" fontId="23" fillId="0" borderId="0" xfId="0" applyFont="1" applyAlignment="1" applyProtection="1">
      <alignment horizontal="left"/>
      <protection hidden="1"/>
    </xf>
    <xf numFmtId="0" fontId="23" fillId="0" borderId="0" xfId="0" applyFont="1" applyProtection="1">
      <protection hidden="1"/>
    </xf>
    <xf numFmtId="0" fontId="24" fillId="0" borderId="0" xfId="0" applyFont="1" applyProtection="1">
      <protection hidden="1"/>
    </xf>
    <xf numFmtId="0" fontId="28" fillId="0" borderId="0" xfId="2" applyNumberFormat="1" applyFont="1" applyAlignment="1" applyProtection="1">
      <alignment horizontal="right"/>
      <protection hidden="1"/>
    </xf>
    <xf numFmtId="0" fontId="14" fillId="0" borderId="0" xfId="0" applyFont="1" applyAlignment="1" applyProtection="1">
      <alignment horizontal="left" vertical="top" indent="1"/>
      <protection hidden="1"/>
    </xf>
    <xf numFmtId="0" fontId="14" fillId="0" borderId="0" xfId="0" applyFont="1" applyAlignment="1" applyProtection="1">
      <alignment vertical="top" wrapText="1"/>
      <protection hidden="1"/>
    </xf>
    <xf numFmtId="0" fontId="14" fillId="0" borderId="0" xfId="0" applyFont="1" applyAlignment="1" applyProtection="1">
      <alignment horizontal="left" vertical="top" indent="2"/>
      <protection hidden="1"/>
    </xf>
    <xf numFmtId="0" fontId="0" fillId="0" borderId="0" xfId="0" applyAlignment="1" applyProtection="1">
      <alignment horizontal="left" indent="3"/>
      <protection hidden="1"/>
    </xf>
    <xf numFmtId="165" fontId="1" fillId="0" borderId="0" xfId="0" applyNumberFormat="1" applyFont="1" applyAlignment="1" applyProtection="1">
      <alignment horizontal="right"/>
      <protection hidden="1"/>
    </xf>
    <xf numFmtId="1" fontId="1" fillId="0" borderId="0" xfId="0" applyNumberFormat="1" applyFont="1" applyAlignment="1" applyProtection="1">
      <alignment horizontal="right"/>
      <protection hidden="1"/>
    </xf>
    <xf numFmtId="0" fontId="0" fillId="0" borderId="0" xfId="0" applyAlignment="1" applyProtection="1">
      <alignment horizontal="left" indent="4"/>
      <protection hidden="1"/>
    </xf>
    <xf numFmtId="0" fontId="14" fillId="0" borderId="0" xfId="0" applyFont="1" applyAlignment="1" applyProtection="1">
      <alignment horizontal="left" wrapText="1" indent="3"/>
      <protection hidden="1"/>
    </xf>
    <xf numFmtId="2" fontId="1" fillId="0" borderId="0" xfId="0" applyNumberFormat="1" applyFont="1" applyProtection="1">
      <protection hidden="1"/>
    </xf>
    <xf numFmtId="2" fontId="1" fillId="0" borderId="0" xfId="0" applyNumberFormat="1" applyFont="1" applyAlignment="1" applyProtection="1">
      <alignment horizontal="right"/>
      <protection hidden="1"/>
    </xf>
    <xf numFmtId="165" fontId="1" fillId="0" borderId="0" xfId="0" applyNumberFormat="1" applyFont="1" applyProtection="1">
      <protection hidden="1"/>
    </xf>
    <xf numFmtId="3" fontId="1" fillId="0" borderId="0" xfId="0" applyNumberFormat="1" applyFont="1" applyProtection="1">
      <protection hidden="1"/>
    </xf>
    <xf numFmtId="3" fontId="1" fillId="0" borderId="0" xfId="0" applyNumberFormat="1" applyFont="1" applyAlignment="1" applyProtection="1">
      <alignment horizontal="right"/>
      <protection hidden="1"/>
    </xf>
    <xf numFmtId="0" fontId="1" fillId="0" borderId="0" xfId="0" applyFont="1" applyAlignment="1" applyProtection="1">
      <alignment horizontal="left" indent="1"/>
      <protection hidden="1"/>
    </xf>
    <xf numFmtId="0" fontId="42" fillId="0" borderId="0" xfId="0" applyFont="1" applyAlignment="1" applyProtection="1">
      <alignment horizontal="left" vertical="top"/>
      <protection hidden="1"/>
    </xf>
    <xf numFmtId="165" fontId="14" fillId="0" borderId="0" xfId="0" quotePrefix="1" applyNumberFormat="1" applyFont="1" applyAlignment="1" applyProtection="1">
      <alignment horizontal="right"/>
      <protection hidden="1"/>
    </xf>
    <xf numFmtId="165" fontId="14" fillId="0" borderId="0" xfId="0" applyNumberFormat="1" applyFont="1" applyProtection="1">
      <protection hidden="1"/>
    </xf>
    <xf numFmtId="0" fontId="14" fillId="0" borderId="0" xfId="0" applyFont="1" applyAlignment="1" applyProtection="1">
      <alignment horizontal="left" wrapText="1"/>
      <protection hidden="1"/>
    </xf>
    <xf numFmtId="165" fontId="0" fillId="0" borderId="0" xfId="0" applyNumberFormat="1" applyProtection="1">
      <protection hidden="1"/>
    </xf>
    <xf numFmtId="165" fontId="1" fillId="0" borderId="0" xfId="4" applyNumberFormat="1" applyFont="1" applyFill="1" applyBorder="1" applyAlignment="1" applyProtection="1">
      <alignment horizontal="right"/>
      <protection hidden="1"/>
    </xf>
    <xf numFmtId="165" fontId="1" fillId="0" borderId="0" xfId="4" applyNumberFormat="1" applyFont="1" applyFill="1" applyBorder="1" applyProtection="1">
      <protection hidden="1"/>
    </xf>
    <xf numFmtId="0" fontId="0" fillId="0" borderId="0" xfId="0" applyAlignment="1" applyProtection="1">
      <alignment horizontal="left" wrapText="1" indent="1"/>
      <protection hidden="1"/>
    </xf>
    <xf numFmtId="1" fontId="1" fillId="0" borderId="0" xfId="0" applyNumberFormat="1" applyFont="1" applyProtection="1">
      <protection hidden="1"/>
    </xf>
    <xf numFmtId="49" fontId="5" fillId="0" borderId="0" xfId="0" applyNumberFormat="1" applyFont="1" applyAlignment="1" applyProtection="1">
      <alignment horizontal="right" vertical="center"/>
      <protection hidden="1"/>
    </xf>
    <xf numFmtId="49" fontId="3" fillId="0" borderId="0" xfId="0" applyNumberFormat="1" applyFont="1" applyAlignment="1" applyProtection="1">
      <alignment horizontal="right"/>
      <protection hidden="1"/>
    </xf>
    <xf numFmtId="49" fontId="0" fillId="0" borderId="0" xfId="0" applyNumberFormat="1" applyAlignment="1" applyProtection="1">
      <alignment horizontal="right"/>
      <protection hidden="1"/>
    </xf>
    <xf numFmtId="49" fontId="12" fillId="0" borderId="0" xfId="0" applyNumberFormat="1" applyFont="1" applyAlignment="1" applyProtection="1">
      <alignment horizontal="right"/>
      <protection hidden="1"/>
    </xf>
    <xf numFmtId="49" fontId="14" fillId="0" borderId="0" xfId="0" applyNumberFormat="1" applyFont="1" applyAlignment="1" applyProtection="1">
      <alignment horizontal="right"/>
      <protection hidden="1"/>
    </xf>
    <xf numFmtId="49" fontId="20" fillId="0" borderId="0" xfId="0" applyNumberFormat="1" applyFont="1" applyAlignment="1" applyProtection="1">
      <alignment horizontal="right" vertical="top"/>
      <protection hidden="1"/>
    </xf>
    <xf numFmtId="49" fontId="1" fillId="0" borderId="0" xfId="0" applyNumberFormat="1" applyFont="1" applyAlignment="1" applyProtection="1">
      <alignment horizontal="right"/>
      <protection hidden="1"/>
    </xf>
    <xf numFmtId="49" fontId="20" fillId="0" borderId="0" xfId="0" applyNumberFormat="1" applyFont="1" applyAlignment="1" applyProtection="1">
      <alignment horizontal="right"/>
      <protection hidden="1"/>
    </xf>
    <xf numFmtId="0" fontId="14" fillId="0" borderId="0" xfId="1" applyNumberFormat="1" applyFont="1" applyFill="1" applyAlignment="1" applyProtection="1">
      <alignment horizontal="right" vertical="top"/>
      <protection hidden="1"/>
    </xf>
    <xf numFmtId="0" fontId="11" fillId="2" borderId="0" xfId="0" applyFont="1" applyFill="1" applyAlignment="1" applyProtection="1">
      <alignment vertical="top" wrapText="1"/>
      <protection hidden="1"/>
    </xf>
    <xf numFmtId="0" fontId="4" fillId="2" borderId="0" xfId="2" applyFont="1" applyFill="1" applyAlignment="1" applyProtection="1">
      <alignment vertical="top"/>
      <protection hidden="1"/>
    </xf>
    <xf numFmtId="0" fontId="2" fillId="2" borderId="0" xfId="0" applyFont="1" applyFill="1" applyAlignment="1" applyProtection="1">
      <alignment vertical="top"/>
      <protection hidden="1"/>
    </xf>
    <xf numFmtId="0" fontId="11" fillId="2" borderId="0" xfId="0" applyFont="1" applyFill="1" applyAlignment="1" applyProtection="1">
      <alignment horizontal="left" vertical="top" wrapText="1"/>
      <protection hidden="1"/>
    </xf>
    <xf numFmtId="0" fontId="4" fillId="2" borderId="0" xfId="2" applyFont="1" applyFill="1" applyAlignment="1">
      <alignment vertical="top"/>
    </xf>
    <xf numFmtId="0" fontId="11" fillId="2" borderId="0" xfId="0" applyFont="1" applyFill="1" applyAlignment="1" applyProtection="1">
      <alignment vertical="center" wrapText="1"/>
      <protection hidden="1"/>
    </xf>
    <xf numFmtId="0" fontId="10" fillId="2" borderId="0" xfId="0" applyFont="1" applyFill="1" applyAlignment="1" applyProtection="1">
      <alignment vertical="top" wrapText="1"/>
      <protection hidden="1"/>
    </xf>
    <xf numFmtId="0" fontId="41" fillId="2" borderId="1" xfId="0" applyFont="1" applyFill="1" applyBorder="1" applyAlignment="1" applyProtection="1">
      <alignment horizontal="left" vertical="center" wrapText="1" indent="1"/>
      <protection locked="0"/>
    </xf>
    <xf numFmtId="0" fontId="11" fillId="2" borderId="0" xfId="0" applyFont="1" applyFill="1" applyAlignment="1" applyProtection="1">
      <alignment horizontal="left" vertical="center" indent="1"/>
      <protection hidden="1"/>
    </xf>
    <xf numFmtId="0" fontId="11" fillId="2" borderId="0" xfId="0" applyFont="1" applyFill="1" applyAlignment="1" applyProtection="1">
      <alignment horizontal="left" vertical="top" indent="1"/>
      <protection hidden="1"/>
    </xf>
    <xf numFmtId="0" fontId="10" fillId="2" borderId="0" xfId="2" applyFont="1" applyFill="1" applyAlignment="1" applyProtection="1">
      <alignment horizontal="left" vertical="top" indent="1"/>
      <protection hidden="1"/>
    </xf>
    <xf numFmtId="0" fontId="0" fillId="0" borderId="0" xfId="0" applyAlignment="1" applyProtection="1">
      <alignment horizontal="left" wrapText="1" indent="2"/>
      <protection hidden="1"/>
    </xf>
    <xf numFmtId="0" fontId="14" fillId="0" borderId="0" xfId="0" applyFont="1" applyAlignment="1" applyProtection="1">
      <alignment horizontal="left" vertical="top"/>
      <protection hidden="1"/>
    </xf>
    <xf numFmtId="0" fontId="42" fillId="0" borderId="0" xfId="0" applyFont="1" applyAlignment="1" applyProtection="1">
      <alignment horizontal="right" vertical="top"/>
      <protection hidden="1"/>
    </xf>
    <xf numFmtId="0" fontId="11" fillId="2" borderId="0" xfId="0" applyFont="1" applyFill="1" applyAlignment="1" applyProtection="1">
      <alignment horizontal="left" vertical="top" wrapText="1" indent="1"/>
      <protection hidden="1"/>
    </xf>
    <xf numFmtId="0" fontId="7" fillId="2" borderId="0" xfId="0" applyFont="1" applyFill="1" applyAlignment="1" applyProtection="1">
      <alignment horizontal="left" vertical="center" wrapText="1" indent="1"/>
      <protection hidden="1"/>
    </xf>
    <xf numFmtId="0" fontId="11" fillId="2" borderId="0" xfId="0" applyFont="1" applyFill="1" applyAlignment="1" applyProtection="1">
      <alignment horizontal="left" vertical="center" wrapText="1" indent="1"/>
      <protection hidden="1"/>
    </xf>
    <xf numFmtId="0" fontId="10" fillId="2" borderId="0" xfId="2" applyFont="1" applyFill="1" applyAlignment="1" applyProtection="1">
      <alignment horizontal="left" vertical="top" wrapText="1" indent="1"/>
      <protection hidden="1"/>
    </xf>
    <xf numFmtId="0" fontId="3" fillId="0" borderId="0" xfId="0" applyFont="1" applyAlignment="1" applyProtection="1">
      <alignment horizontal="left" indent="1"/>
      <protection hidden="1"/>
    </xf>
    <xf numFmtId="0" fontId="43" fillId="0" borderId="0" xfId="0" applyFont="1" applyAlignment="1" applyProtection="1">
      <alignment horizontal="right"/>
      <protection hidden="1"/>
    </xf>
    <xf numFmtId="0" fontId="19" fillId="0" borderId="0" xfId="0" applyFont="1" applyAlignment="1" applyProtection="1">
      <alignment horizontal="right"/>
      <protection hidden="1"/>
    </xf>
    <xf numFmtId="0" fontId="20" fillId="0" borderId="0" xfId="1" applyNumberFormat="1" applyFont="1" applyFill="1" applyAlignment="1" applyProtection="1">
      <alignment horizontal="right"/>
      <protection hidden="1"/>
    </xf>
    <xf numFmtId="0" fontId="44" fillId="0" borderId="0" xfId="0" applyFont="1" applyAlignment="1" applyProtection="1">
      <alignment horizontal="right"/>
      <protection hidden="1"/>
    </xf>
    <xf numFmtId="0" fontId="44" fillId="0" borderId="0" xfId="0" applyFont="1" applyProtection="1">
      <protection hidden="1"/>
    </xf>
    <xf numFmtId="0" fontId="44" fillId="0" borderId="0" xfId="0" applyFont="1" applyAlignment="1" applyProtection="1">
      <alignment horizontal="right" indent="1"/>
      <protection hidden="1"/>
    </xf>
    <xf numFmtId="0" fontId="45" fillId="0" borderId="0" xfId="0" applyFont="1" applyAlignment="1" applyProtection="1">
      <alignment horizontal="right"/>
      <protection hidden="1"/>
    </xf>
    <xf numFmtId="0" fontId="19" fillId="0" borderId="0" xfId="0" applyFont="1" applyAlignment="1" applyProtection="1">
      <alignment horizontal="right" indent="1"/>
      <protection hidden="1"/>
    </xf>
    <xf numFmtId="1" fontId="0" fillId="0" borderId="0" xfId="1" applyNumberFormat="1" applyFont="1" applyFill="1" applyAlignment="1" applyProtection="1">
      <alignment horizontal="right"/>
      <protection hidden="1"/>
    </xf>
    <xf numFmtId="1" fontId="0" fillId="0" borderId="0" xfId="0" applyNumberFormat="1" applyAlignment="1" applyProtection="1">
      <alignment horizontal="right"/>
      <protection hidden="1"/>
    </xf>
    <xf numFmtId="165" fontId="14" fillId="0" borderId="0" xfId="1" applyNumberFormat="1" applyFont="1" applyFill="1" applyAlignment="1" applyProtection="1">
      <alignment horizontal="right"/>
      <protection hidden="1"/>
    </xf>
    <xf numFmtId="165" fontId="0" fillId="0" borderId="0" xfId="1" applyNumberFormat="1" applyFont="1" applyFill="1" applyAlignment="1" applyProtection="1">
      <alignment horizontal="right"/>
      <protection hidden="1"/>
    </xf>
    <xf numFmtId="165" fontId="0" fillId="0" borderId="0" xfId="0" quotePrefix="1" applyNumberFormat="1" applyAlignment="1" applyProtection="1">
      <alignment horizontal="right"/>
      <protection hidden="1"/>
    </xf>
    <xf numFmtId="4" fontId="0" fillId="0" borderId="0" xfId="0" applyNumberFormat="1" applyAlignment="1" applyProtection="1">
      <alignment horizontal="right"/>
      <protection hidden="1"/>
    </xf>
    <xf numFmtId="4" fontId="14" fillId="0" borderId="0" xfId="0" applyNumberFormat="1" applyFont="1" applyAlignment="1" applyProtection="1">
      <alignment horizontal="right" vertical="top"/>
      <protection hidden="1"/>
    </xf>
    <xf numFmtId="4" fontId="14" fillId="0" borderId="0" xfId="0" applyNumberFormat="1" applyFont="1" applyAlignment="1" applyProtection="1">
      <alignment horizontal="right"/>
      <protection hidden="1"/>
    </xf>
    <xf numFmtId="1" fontId="14" fillId="0" borderId="0" xfId="0" applyNumberFormat="1" applyFont="1" applyAlignment="1" applyProtection="1">
      <alignment horizontal="right"/>
      <protection hidden="1"/>
    </xf>
    <xf numFmtId="3" fontId="1" fillId="0" borderId="0" xfId="1" applyNumberFormat="1" applyFont="1" applyFill="1" applyAlignment="1" applyProtection="1">
      <alignment horizontal="right"/>
      <protection hidden="1"/>
    </xf>
    <xf numFmtId="3" fontId="14" fillId="0" borderId="0" xfId="0" applyNumberFormat="1" applyFont="1" applyAlignment="1" applyProtection="1">
      <alignment horizontal="right" vertical="top"/>
      <protection hidden="1"/>
    </xf>
    <xf numFmtId="3" fontId="14" fillId="0" borderId="0" xfId="0" quotePrefix="1" applyNumberFormat="1" applyFont="1" applyAlignment="1" applyProtection="1">
      <alignment horizontal="right"/>
      <protection hidden="1"/>
    </xf>
    <xf numFmtId="167" fontId="0" fillId="0" borderId="0" xfId="0" applyNumberFormat="1" applyAlignment="1" applyProtection="1">
      <alignment horizontal="right"/>
      <protection hidden="1"/>
    </xf>
    <xf numFmtId="1" fontId="12" fillId="0" borderId="0" xfId="0" applyNumberFormat="1" applyFont="1" applyAlignment="1" applyProtection="1">
      <alignment horizontal="right"/>
      <protection hidden="1"/>
    </xf>
    <xf numFmtId="1" fontId="3" fillId="0" borderId="0" xfId="0" applyNumberFormat="1" applyFont="1" applyAlignment="1" applyProtection="1">
      <alignment horizontal="right"/>
      <protection hidden="1"/>
    </xf>
    <xf numFmtId="1" fontId="3" fillId="0" borderId="0" xfId="0" applyNumberFormat="1" applyFont="1" applyProtection="1">
      <protection hidden="1"/>
    </xf>
    <xf numFmtId="1" fontId="14" fillId="0" borderId="0" xfId="0" applyNumberFormat="1" applyFont="1" applyAlignment="1" applyProtection="1">
      <alignment horizontal="right" vertical="top"/>
      <protection hidden="1"/>
    </xf>
    <xf numFmtId="1" fontId="0" fillId="0" borderId="0" xfId="0" applyNumberFormat="1" applyProtection="1">
      <protection hidden="1"/>
    </xf>
    <xf numFmtId="1" fontId="0" fillId="0" borderId="0" xfId="0" quotePrefix="1" applyNumberFormat="1" applyAlignment="1" applyProtection="1">
      <alignment horizontal="right"/>
      <protection hidden="1"/>
    </xf>
    <xf numFmtId="167" fontId="14" fillId="0" borderId="0" xfId="0" quotePrefix="1" applyNumberFormat="1" applyFont="1" applyAlignment="1" applyProtection="1">
      <alignment horizontal="right"/>
      <protection hidden="1"/>
    </xf>
    <xf numFmtId="167" fontId="14" fillId="0" borderId="0" xfId="1" applyNumberFormat="1" applyFont="1" applyFill="1" applyAlignment="1" applyProtection="1">
      <alignment horizontal="right"/>
      <protection hidden="1"/>
    </xf>
    <xf numFmtId="167" fontId="0" fillId="0" borderId="0" xfId="1" applyNumberFormat="1" applyFont="1" applyFill="1" applyAlignment="1" applyProtection="1">
      <alignment horizontal="right"/>
      <protection hidden="1"/>
    </xf>
    <xf numFmtId="167" fontId="0" fillId="0" borderId="0" xfId="0" quotePrefix="1" applyNumberFormat="1" applyAlignment="1" applyProtection="1">
      <alignment horizontal="right"/>
      <protection hidden="1"/>
    </xf>
    <xf numFmtId="167" fontId="14" fillId="0" borderId="0" xfId="0" applyNumberFormat="1" applyFont="1" applyAlignment="1" applyProtection="1">
      <alignment horizontal="right"/>
      <protection hidden="1"/>
    </xf>
    <xf numFmtId="167" fontId="1" fillId="0" borderId="0" xfId="0" quotePrefix="1" applyNumberFormat="1" applyFont="1" applyAlignment="1" applyProtection="1">
      <alignment horizontal="right"/>
      <protection hidden="1"/>
    </xf>
    <xf numFmtId="167" fontId="1" fillId="0" borderId="0" xfId="0" applyNumberFormat="1" applyFont="1" applyAlignment="1" applyProtection="1">
      <alignment horizontal="right"/>
      <protection hidden="1"/>
    </xf>
    <xf numFmtId="165" fontId="1" fillId="0" borderId="0" xfId="0" quotePrefix="1" applyNumberFormat="1" applyFont="1" applyAlignment="1" applyProtection="1">
      <alignment horizontal="right"/>
      <protection hidden="1"/>
    </xf>
    <xf numFmtId="1" fontId="14" fillId="0" borderId="0" xfId="0" quotePrefix="1" applyNumberFormat="1" applyFont="1" applyAlignment="1" applyProtection="1">
      <alignment horizontal="right"/>
      <protection hidden="1"/>
    </xf>
    <xf numFmtId="1" fontId="1" fillId="0" borderId="0" xfId="0" quotePrefix="1" applyNumberFormat="1" applyFont="1" applyAlignment="1" applyProtection="1">
      <alignment horizontal="right"/>
      <protection hidden="1"/>
    </xf>
    <xf numFmtId="167" fontId="14" fillId="0" borderId="0" xfId="0" applyNumberFormat="1" applyFont="1" applyProtection="1">
      <protection hidden="1"/>
    </xf>
    <xf numFmtId="167" fontId="14" fillId="0" borderId="0" xfId="1" applyNumberFormat="1" applyFont="1" applyFill="1" applyBorder="1" applyAlignment="1" applyProtection="1">
      <alignment horizontal="right"/>
      <protection hidden="1"/>
    </xf>
    <xf numFmtId="167" fontId="1" fillId="0" borderId="0" xfId="0" applyNumberFormat="1" applyFont="1" applyProtection="1">
      <protection hidden="1"/>
    </xf>
    <xf numFmtId="167" fontId="0" fillId="0" borderId="0" xfId="0" applyNumberFormat="1" applyProtection="1">
      <protection hidden="1"/>
    </xf>
    <xf numFmtId="167" fontId="1" fillId="0" borderId="0" xfId="1" applyNumberFormat="1" applyFont="1" applyFill="1" applyAlignment="1" applyProtection="1">
      <alignment horizontal="right"/>
      <protection hidden="1"/>
    </xf>
    <xf numFmtId="1" fontId="1" fillId="0" borderId="0" xfId="1" applyNumberFormat="1" applyFont="1" applyFill="1" applyAlignment="1" applyProtection="1">
      <alignment horizontal="right"/>
      <protection hidden="1"/>
    </xf>
    <xf numFmtId="3" fontId="0" fillId="0" borderId="0" xfId="0" applyNumberFormat="1" applyProtection="1">
      <protection hidden="1"/>
    </xf>
    <xf numFmtId="3" fontId="16" fillId="0" borderId="0" xfId="0" applyNumberFormat="1" applyFont="1" applyAlignment="1" applyProtection="1">
      <alignment horizontal="right"/>
      <protection hidden="1"/>
    </xf>
    <xf numFmtId="3" fontId="0" fillId="0" borderId="0" xfId="0" quotePrefix="1" applyNumberFormat="1" applyAlignment="1" applyProtection="1">
      <alignment horizontal="right"/>
      <protection hidden="1"/>
    </xf>
    <xf numFmtId="167" fontId="14" fillId="0" borderId="0" xfId="0" applyNumberFormat="1" applyFont="1" applyAlignment="1" applyProtection="1">
      <alignment horizontal="right" vertical="top"/>
      <protection hidden="1"/>
    </xf>
    <xf numFmtId="167" fontId="0" fillId="0" borderId="0" xfId="1" quotePrefix="1" applyNumberFormat="1" applyFont="1" applyFill="1" applyAlignment="1" applyProtection="1">
      <alignment horizontal="right"/>
      <protection hidden="1"/>
    </xf>
    <xf numFmtId="4" fontId="1" fillId="0" borderId="0" xfId="0" applyNumberFormat="1" applyFont="1" applyProtection="1">
      <protection hidden="1"/>
    </xf>
    <xf numFmtId="4" fontId="1" fillId="0" borderId="0" xfId="0" applyNumberFormat="1" applyFont="1" applyAlignment="1" applyProtection="1">
      <alignment horizontal="right"/>
      <protection hidden="1"/>
    </xf>
    <xf numFmtId="4" fontId="1" fillId="0" borderId="0" xfId="1" applyNumberFormat="1" applyFont="1" applyFill="1" applyAlignment="1" applyProtection="1">
      <alignment horizontal="right"/>
      <protection hidden="1"/>
    </xf>
    <xf numFmtId="3" fontId="1" fillId="0" borderId="0" xfId="0" quotePrefix="1" applyNumberFormat="1" applyFont="1" applyAlignment="1" applyProtection="1">
      <alignment horizontal="right"/>
      <protection hidden="1"/>
    </xf>
    <xf numFmtId="4" fontId="14" fillId="0" borderId="0" xfId="0" quotePrefix="1" applyNumberFormat="1" applyFont="1" applyAlignment="1" applyProtection="1">
      <alignment horizontal="right"/>
      <protection hidden="1"/>
    </xf>
    <xf numFmtId="4" fontId="1" fillId="0" borderId="0" xfId="0" quotePrefix="1" applyNumberFormat="1" applyFont="1" applyAlignment="1" applyProtection="1">
      <alignment horizontal="right"/>
      <protection hidden="1"/>
    </xf>
    <xf numFmtId="2" fontId="0" fillId="0" borderId="0" xfId="0" applyNumberFormat="1" applyAlignment="1" applyProtection="1">
      <alignment horizontal="right"/>
      <protection hidden="1"/>
    </xf>
    <xf numFmtId="0" fontId="29" fillId="0" borderId="0" xfId="2" applyFont="1" applyFill="1" applyAlignment="1" applyProtection="1">
      <alignment horizontal="right"/>
      <protection hidden="1"/>
    </xf>
    <xf numFmtId="2" fontId="1" fillId="0" borderId="0" xfId="1" applyNumberFormat="1" applyFont="1" applyFill="1" applyAlignment="1" applyProtection="1">
      <alignment horizontal="right"/>
      <protection hidden="1"/>
    </xf>
    <xf numFmtId="2" fontId="14" fillId="0" borderId="0" xfId="0" applyNumberFormat="1" applyFont="1" applyAlignment="1" applyProtection="1">
      <alignment horizontal="right"/>
      <protection hidden="1"/>
    </xf>
    <xf numFmtId="2" fontId="14" fillId="0" borderId="0" xfId="0" quotePrefix="1" applyNumberFormat="1" applyFont="1" applyAlignment="1" applyProtection="1">
      <alignment horizontal="right"/>
      <protection hidden="1"/>
    </xf>
    <xf numFmtId="164" fontId="1" fillId="0" borderId="0" xfId="1" applyNumberFormat="1" applyFont="1" applyFill="1" applyAlignment="1" applyProtection="1">
      <alignment horizontal="right"/>
      <protection hidden="1"/>
    </xf>
    <xf numFmtId="1" fontId="14" fillId="0" borderId="0" xfId="1" applyNumberFormat="1" applyFont="1" applyFill="1" applyProtection="1">
      <protection hidden="1"/>
    </xf>
    <xf numFmtId="1" fontId="14" fillId="0" borderId="0" xfId="1" applyNumberFormat="1" applyFont="1" applyFill="1" applyAlignment="1" applyProtection="1">
      <alignment horizontal="right"/>
      <protection hidden="1"/>
    </xf>
    <xf numFmtId="3" fontId="14" fillId="0" borderId="0" xfId="1" applyNumberFormat="1" applyFont="1" applyFill="1" applyProtection="1">
      <protection hidden="1"/>
    </xf>
    <xf numFmtId="3" fontId="14" fillId="0" borderId="0" xfId="1" applyNumberFormat="1" applyFont="1" applyFill="1" applyAlignment="1" applyProtection="1">
      <alignment horizontal="right"/>
      <protection hidden="1"/>
    </xf>
    <xf numFmtId="0" fontId="49" fillId="0" borderId="0" xfId="0" applyFont="1" applyAlignment="1" applyProtection="1">
      <alignment horizontal="right"/>
      <protection hidden="1"/>
    </xf>
    <xf numFmtId="0" fontId="21" fillId="3" borderId="0" xfId="0" applyFont="1" applyFill="1" applyAlignment="1" applyProtection="1">
      <alignment horizontal="right" vertical="center"/>
      <protection hidden="1"/>
    </xf>
    <xf numFmtId="0" fontId="22" fillId="3" borderId="0" xfId="0" applyFont="1" applyFill="1" applyAlignment="1" applyProtection="1">
      <alignment horizontal="right" vertical="center"/>
      <protection hidden="1"/>
    </xf>
    <xf numFmtId="0" fontId="12" fillId="3" borderId="0" xfId="0" applyFont="1" applyFill="1" applyAlignment="1" applyProtection="1">
      <alignment horizontal="right"/>
      <protection hidden="1"/>
    </xf>
    <xf numFmtId="0" fontId="14" fillId="3" borderId="0" xfId="0" applyFont="1" applyFill="1" applyAlignment="1" applyProtection="1">
      <alignment horizontal="right"/>
      <protection hidden="1"/>
    </xf>
    <xf numFmtId="0" fontId="12" fillId="3" borderId="0" xfId="0" applyFont="1" applyFill="1" applyAlignment="1" applyProtection="1">
      <alignment horizontal="right" vertical="top"/>
      <protection hidden="1"/>
    </xf>
    <xf numFmtId="0" fontId="14" fillId="3" borderId="0" xfId="0" applyFont="1" applyFill="1" applyAlignment="1" applyProtection="1">
      <alignment horizontal="right" vertical="top"/>
      <protection hidden="1"/>
    </xf>
    <xf numFmtId="1" fontId="0" fillId="3" borderId="0" xfId="0" applyNumberFormat="1" applyFill="1" applyAlignment="1" applyProtection="1">
      <alignment horizontal="right"/>
      <protection hidden="1"/>
    </xf>
    <xf numFmtId="0" fontId="0" fillId="3" borderId="0" xfId="0" quotePrefix="1" applyFill="1" applyAlignment="1" applyProtection="1">
      <alignment horizontal="right"/>
      <protection hidden="1"/>
    </xf>
    <xf numFmtId="165" fontId="0" fillId="3" borderId="0" xfId="0" applyNumberFormat="1" applyFill="1" applyAlignment="1" applyProtection="1">
      <alignment horizontal="right"/>
      <protection hidden="1"/>
    </xf>
    <xf numFmtId="167" fontId="0" fillId="3" borderId="0" xfId="0" applyNumberFormat="1" applyFill="1" applyAlignment="1" applyProtection="1">
      <alignment horizontal="right"/>
      <protection hidden="1"/>
    </xf>
    <xf numFmtId="3" fontId="0" fillId="3" borderId="0" xfId="0" applyNumberFormat="1" applyFill="1" applyAlignment="1" applyProtection="1">
      <alignment horizontal="right"/>
      <protection hidden="1"/>
    </xf>
    <xf numFmtId="0" fontId="14" fillId="3" borderId="0" xfId="0" quotePrefix="1" applyFont="1" applyFill="1" applyAlignment="1" applyProtection="1">
      <alignment horizontal="right"/>
      <protection hidden="1"/>
    </xf>
    <xf numFmtId="0" fontId="14" fillId="3" borderId="0" xfId="1" applyNumberFormat="1" applyFont="1" applyFill="1" applyAlignment="1" applyProtection="1">
      <alignment horizontal="right"/>
      <protection hidden="1"/>
    </xf>
    <xf numFmtId="167" fontId="14" fillId="3" borderId="0" xfId="1" applyNumberFormat="1" applyFont="1" applyFill="1" applyAlignment="1" applyProtection="1">
      <alignment horizontal="right"/>
      <protection hidden="1"/>
    </xf>
    <xf numFmtId="165" fontId="14" fillId="3" borderId="0" xfId="0" applyNumberFormat="1" applyFont="1" applyFill="1" applyAlignment="1" applyProtection="1">
      <alignment horizontal="right"/>
      <protection hidden="1"/>
    </xf>
    <xf numFmtId="167" fontId="0" fillId="0" borderId="0" xfId="0" applyNumberFormat="1" applyAlignment="1">
      <alignment horizontal="right"/>
    </xf>
    <xf numFmtId="0" fontId="14" fillId="3" borderId="0" xfId="0" applyFont="1" applyFill="1" applyProtection="1">
      <protection hidden="1"/>
    </xf>
    <xf numFmtId="0" fontId="20" fillId="3" borderId="0" xfId="0" applyFont="1" applyFill="1" applyProtection="1">
      <protection hidden="1"/>
    </xf>
    <xf numFmtId="0" fontId="12" fillId="3" borderId="0" xfId="0" applyFont="1" applyFill="1" applyProtection="1">
      <protection hidden="1"/>
    </xf>
    <xf numFmtId="0" fontId="0" fillId="3" borderId="0" xfId="0" applyFill="1" applyProtection="1">
      <protection hidden="1"/>
    </xf>
    <xf numFmtId="0" fontId="20" fillId="3" borderId="0" xfId="0" applyFont="1" applyFill="1" applyAlignment="1" applyProtection="1">
      <alignment horizontal="left"/>
      <protection hidden="1"/>
    </xf>
    <xf numFmtId="0" fontId="49" fillId="3" borderId="0" xfId="0" applyFont="1" applyFill="1" applyAlignment="1" applyProtection="1">
      <alignment horizontal="right"/>
      <protection hidden="1"/>
    </xf>
    <xf numFmtId="0" fontId="0" fillId="3" borderId="0" xfId="0" applyFill="1" applyAlignment="1" applyProtection="1">
      <alignment vertical="top"/>
      <protection hidden="1"/>
    </xf>
    <xf numFmtId="0" fontId="0" fillId="3" borderId="0" xfId="0" applyFill="1" applyAlignment="1" applyProtection="1">
      <alignment horizontal="left"/>
      <protection hidden="1"/>
    </xf>
    <xf numFmtId="0" fontId="0" fillId="3" borderId="0" xfId="0" applyFill="1" applyAlignment="1" applyProtection="1">
      <alignment horizontal="left" vertical="top"/>
      <protection hidden="1"/>
    </xf>
    <xf numFmtId="0" fontId="3" fillId="3" borderId="0" xfId="0" applyFont="1" applyFill="1" applyProtection="1">
      <protection hidden="1"/>
    </xf>
    <xf numFmtId="0" fontId="0" fillId="3" borderId="0" xfId="0" applyFill="1" applyAlignment="1" applyProtection="1">
      <alignment horizontal="left" indent="1"/>
      <protection hidden="1"/>
    </xf>
    <xf numFmtId="0" fontId="0" fillId="3" borderId="0" xfId="0" applyFill="1" applyAlignment="1" applyProtection="1">
      <alignment horizontal="left" vertical="top" indent="1"/>
      <protection hidden="1"/>
    </xf>
    <xf numFmtId="49" fontId="47" fillId="0" borderId="0" xfId="0" applyNumberFormat="1" applyFont="1" applyAlignment="1" applyProtection="1">
      <alignment horizontal="right"/>
      <protection hidden="1"/>
    </xf>
    <xf numFmtId="0" fontId="20" fillId="0" borderId="0" xfId="0" applyFont="1" applyAlignment="1" applyProtection="1">
      <alignment horizontal="left"/>
      <protection hidden="1"/>
    </xf>
    <xf numFmtId="0" fontId="14" fillId="0" borderId="0" xfId="0" applyFont="1" applyAlignment="1" applyProtection="1">
      <alignment horizontal="right" indent="1"/>
      <protection hidden="1"/>
    </xf>
    <xf numFmtId="165" fontId="0" fillId="0" borderId="0" xfId="0" applyNumberFormat="1" applyAlignment="1" applyProtection="1">
      <alignment horizontal="right"/>
      <protection hidden="1"/>
    </xf>
    <xf numFmtId="0" fontId="0" fillId="3" borderId="0" xfId="0" applyFill="1" applyAlignment="1" applyProtection="1">
      <alignment horizontal="right"/>
      <protection hidden="1"/>
    </xf>
    <xf numFmtId="165" fontId="0" fillId="0" borderId="0" xfId="0" applyNumberFormat="1" applyAlignment="1">
      <alignment horizontal="right"/>
    </xf>
    <xf numFmtId="0" fontId="47" fillId="0" borderId="0" xfId="0" applyFont="1" applyAlignment="1" applyProtection="1">
      <alignment horizontal="left" indent="1"/>
      <protection hidden="1"/>
    </xf>
    <xf numFmtId="0" fontId="47" fillId="0" borderId="0" xfId="0" applyFont="1"/>
    <xf numFmtId="0" fontId="47" fillId="0" borderId="0" xfId="0" applyFont="1" applyProtection="1">
      <protection hidden="1"/>
    </xf>
    <xf numFmtId="0" fontId="47" fillId="0" borderId="0" xfId="0" applyFont="1" applyAlignment="1" applyProtection="1">
      <alignment horizontal="right"/>
      <protection hidden="1"/>
    </xf>
    <xf numFmtId="0" fontId="19" fillId="3" borderId="0" xfId="0" applyFont="1" applyFill="1" applyProtection="1">
      <protection hidden="1"/>
    </xf>
    <xf numFmtId="0" fontId="19" fillId="3" borderId="0" xfId="0" applyFont="1" applyFill="1" applyAlignment="1" applyProtection="1">
      <alignment horizontal="left"/>
      <protection hidden="1"/>
    </xf>
    <xf numFmtId="0" fontId="19" fillId="0" borderId="0" xfId="0" applyFont="1" applyAlignment="1" applyProtection="1">
      <alignment horizontal="left"/>
      <protection hidden="1"/>
    </xf>
    <xf numFmtId="3" fontId="0" fillId="0" borderId="0" xfId="0" applyNumberFormat="1" applyAlignment="1" applyProtection="1">
      <alignment horizontal="right" vertical="top"/>
      <protection hidden="1"/>
    </xf>
    <xf numFmtId="1" fontId="0" fillId="0" borderId="0" xfId="0" applyNumberFormat="1" applyAlignment="1" applyProtection="1">
      <alignment horizontal="right" vertical="top"/>
      <protection hidden="1"/>
    </xf>
    <xf numFmtId="165" fontId="0" fillId="0" borderId="0" xfId="0" applyNumberFormat="1"/>
    <xf numFmtId="0" fontId="51" fillId="0" borderId="0" xfId="0" applyFont="1" applyAlignment="1" applyProtection="1">
      <alignment horizontal="right"/>
      <protection hidden="1"/>
    </xf>
    <xf numFmtId="0" fontId="47" fillId="0" borderId="0" xfId="0" applyFont="1" applyAlignment="1" applyProtection="1">
      <alignment horizontal="right" indent="1"/>
      <protection hidden="1"/>
    </xf>
    <xf numFmtId="164" fontId="47" fillId="0" borderId="0" xfId="1" applyNumberFormat="1" applyFont="1" applyFill="1" applyAlignment="1" applyProtection="1">
      <alignment horizontal="right"/>
      <protection hidden="1"/>
    </xf>
    <xf numFmtId="0" fontId="52" fillId="0" borderId="0" xfId="0" applyFont="1" applyAlignment="1" applyProtection="1">
      <alignment horizontal="right"/>
      <protection hidden="1"/>
    </xf>
    <xf numFmtId="0" fontId="50" fillId="0" borderId="0" xfId="0" applyFont="1" applyAlignment="1" applyProtection="1">
      <alignment horizontal="left" vertical="top"/>
      <protection hidden="1"/>
    </xf>
    <xf numFmtId="0" fontId="50" fillId="0" borderId="0" xfId="0" applyFont="1" applyAlignment="1" applyProtection="1">
      <alignment horizontal="right"/>
      <protection hidden="1"/>
    </xf>
    <xf numFmtId="0" fontId="50" fillId="0" borderId="0" xfId="1" applyNumberFormat="1" applyFont="1" applyFill="1" applyAlignment="1" applyProtection="1">
      <alignment horizontal="right"/>
      <protection hidden="1"/>
    </xf>
    <xf numFmtId="0" fontId="50" fillId="0" borderId="0" xfId="0" applyFont="1" applyProtection="1">
      <protection hidden="1"/>
    </xf>
    <xf numFmtId="0" fontId="50" fillId="0" borderId="0" xfId="0" applyFont="1" applyAlignment="1" applyProtection="1">
      <alignment horizontal="left" vertical="top" wrapText="1"/>
      <protection hidden="1"/>
    </xf>
    <xf numFmtId="0" fontId="50" fillId="0" borderId="0" xfId="0" applyFont="1" applyAlignment="1" applyProtection="1">
      <alignment horizontal="right" vertical="top" wrapText="1"/>
      <protection hidden="1"/>
    </xf>
    <xf numFmtId="0" fontId="50" fillId="0" borderId="0" xfId="0" applyFont="1" applyAlignment="1" applyProtection="1">
      <alignment horizontal="right" vertical="top" wrapText="1" indent="1"/>
      <protection hidden="1"/>
    </xf>
    <xf numFmtId="0" fontId="53" fillId="0" borderId="0" xfId="0" applyFont="1" applyAlignment="1" applyProtection="1">
      <alignment horizontal="right"/>
      <protection hidden="1"/>
    </xf>
    <xf numFmtId="49" fontId="50" fillId="0" borderId="0" xfId="0" applyNumberFormat="1" applyFont="1" applyAlignment="1" applyProtection="1">
      <alignment horizontal="right" vertical="top"/>
      <protection hidden="1"/>
    </xf>
    <xf numFmtId="0" fontId="50" fillId="0" borderId="0" xfId="0" applyFont="1" applyAlignment="1" applyProtection="1">
      <alignment horizontal="right" vertical="top"/>
      <protection hidden="1"/>
    </xf>
    <xf numFmtId="0" fontId="47" fillId="0" borderId="0" xfId="1" applyNumberFormat="1" applyFont="1" applyFill="1" applyAlignment="1" applyProtection="1">
      <alignment horizontal="right"/>
      <protection hidden="1"/>
    </xf>
    <xf numFmtId="0" fontId="1" fillId="0" borderId="0" xfId="1" quotePrefix="1" applyNumberFormat="1" applyFont="1" applyFill="1" applyAlignment="1" applyProtection="1">
      <alignment horizontal="right"/>
      <protection hidden="1"/>
    </xf>
    <xf numFmtId="0" fontId="6" fillId="0" borderId="0" xfId="0" applyFont="1" applyAlignment="1" applyProtection="1">
      <alignment horizontal="left" vertical="center"/>
      <protection hidden="1"/>
    </xf>
    <xf numFmtId="0" fontId="5" fillId="0" borderId="0" xfId="0" applyFont="1" applyAlignment="1" applyProtection="1">
      <alignment horizontal="left" vertical="center"/>
      <protection hidden="1"/>
    </xf>
    <xf numFmtId="0" fontId="3" fillId="0" borderId="0" xfId="0" applyFont="1" applyAlignment="1" applyProtection="1">
      <alignment horizontal="left"/>
      <protection hidden="1"/>
    </xf>
    <xf numFmtId="0" fontId="0" fillId="0" borderId="0" xfId="0" applyAlignment="1" applyProtection="1">
      <alignment horizontal="left" vertical="top"/>
      <protection hidden="1"/>
    </xf>
    <xf numFmtId="0" fontId="14" fillId="0" borderId="0" xfId="3" applyAlignment="1" applyProtection="1">
      <alignment horizontal="left" indent="2"/>
      <protection hidden="1"/>
    </xf>
    <xf numFmtId="0" fontId="0" fillId="0" borderId="0" xfId="0" applyAlignment="1">
      <alignment horizontal="right"/>
    </xf>
    <xf numFmtId="0" fontId="55" fillId="0" borderId="0" xfId="2" applyFont="1" applyFill="1" applyAlignment="1" applyProtection="1">
      <alignment horizontal="right"/>
      <protection hidden="1"/>
    </xf>
    <xf numFmtId="168" fontId="0" fillId="0" borderId="0" xfId="0" applyNumberFormat="1" applyAlignment="1" applyProtection="1">
      <alignment horizontal="right"/>
      <protection hidden="1"/>
    </xf>
    <xf numFmtId="0" fontId="56" fillId="0" borderId="0" xfId="0" applyFont="1"/>
    <xf numFmtId="0" fontId="0" fillId="0" borderId="4" xfId="0" applyBorder="1"/>
    <xf numFmtId="0" fontId="0" fillId="0" borderId="5" xfId="0" applyBorder="1"/>
    <xf numFmtId="0" fontId="14" fillId="0" borderId="4" xfId="0" applyFont="1" applyBorder="1"/>
    <xf numFmtId="167" fontId="14" fillId="0" borderId="0" xfId="4" applyNumberFormat="1" applyFont="1" applyFill="1" applyAlignment="1" applyProtection="1">
      <alignment horizontal="right"/>
      <protection hidden="1"/>
    </xf>
    <xf numFmtId="3" fontId="14" fillId="0" borderId="0" xfId="4" applyNumberFormat="1" applyFont="1" applyFill="1" applyAlignment="1" applyProtection="1">
      <alignment horizontal="right"/>
      <protection hidden="1"/>
    </xf>
    <xf numFmtId="170" fontId="0" fillId="0" borderId="0" xfId="0" applyNumberFormat="1" applyAlignment="1" applyProtection="1">
      <alignment horizontal="right"/>
      <protection hidden="1"/>
    </xf>
    <xf numFmtId="169" fontId="0" fillId="0" borderId="0" xfId="0" applyNumberFormat="1" applyAlignment="1" applyProtection="1">
      <alignment horizontal="right"/>
      <protection hidden="1"/>
    </xf>
    <xf numFmtId="1" fontId="0" fillId="0" borderId="0" xfId="0" applyNumberFormat="1"/>
    <xf numFmtId="0" fontId="3" fillId="0" borderId="0" xfId="0" applyFont="1" applyAlignment="1" applyProtection="1">
      <alignment vertical="top" wrapText="1"/>
      <protection hidden="1"/>
    </xf>
    <xf numFmtId="0" fontId="0" fillId="0" borderId="0" xfId="0" applyAlignment="1" applyProtection="1">
      <alignment vertical="top" wrapText="1"/>
      <protection hidden="1"/>
    </xf>
    <xf numFmtId="0" fontId="0" fillId="3" borderId="0" xfId="0" applyFill="1" applyAlignment="1">
      <alignment horizontal="right"/>
    </xf>
    <xf numFmtId="0" fontId="50" fillId="0" borderId="0" xfId="0" applyFont="1" applyAlignment="1" applyProtection="1">
      <alignment horizontal="left"/>
      <protection hidden="1"/>
    </xf>
    <xf numFmtId="0" fontId="47" fillId="3" borderId="0" xfId="0" applyFont="1" applyFill="1" applyAlignment="1" applyProtection="1">
      <alignment horizontal="right"/>
      <protection hidden="1"/>
    </xf>
    <xf numFmtId="2" fontId="0" fillId="75" borderId="0" xfId="0" quotePrefix="1" applyNumberFormat="1" applyFill="1" applyAlignment="1" applyProtection="1">
      <alignment horizontal="right"/>
      <protection hidden="1"/>
    </xf>
    <xf numFmtId="0" fontId="0" fillId="75" borderId="0" xfId="0" applyFill="1" applyAlignment="1" applyProtection="1">
      <alignment horizontal="right"/>
      <protection hidden="1"/>
    </xf>
    <xf numFmtId="165" fontId="0" fillId="75" borderId="0" xfId="0" applyNumberFormat="1" applyFill="1" applyAlignment="1" applyProtection="1">
      <alignment horizontal="right"/>
      <protection hidden="1"/>
    </xf>
    <xf numFmtId="2" fontId="0" fillId="75" borderId="0" xfId="0" applyNumberFormat="1" applyFill="1" applyAlignment="1" applyProtection="1">
      <alignment horizontal="right"/>
      <protection hidden="1"/>
    </xf>
    <xf numFmtId="0" fontId="47" fillId="0" borderId="0" xfId="0" applyFont="1" applyAlignment="1" applyProtection="1">
      <alignment horizontal="left"/>
      <protection hidden="1"/>
    </xf>
    <xf numFmtId="0" fontId="29" fillId="0" borderId="0" xfId="0" applyFont="1" applyFill="1" applyAlignment="1" applyProtection="1">
      <alignment horizontal="right"/>
      <protection hidden="1"/>
    </xf>
    <xf numFmtId="0" fontId="12" fillId="0" borderId="0" xfId="0" applyFont="1" applyFill="1" applyProtection="1">
      <protection hidden="1"/>
    </xf>
    <xf numFmtId="0" fontId="0" fillId="0" borderId="0" xfId="0" applyFill="1" applyProtection="1">
      <protection hidden="1"/>
    </xf>
    <xf numFmtId="0" fontId="14" fillId="0" borderId="0" xfId="0" applyFont="1" applyFill="1" applyAlignment="1" applyProtection="1">
      <alignment horizontal="right"/>
      <protection hidden="1"/>
    </xf>
    <xf numFmtId="0" fontId="0" fillId="0" borderId="0" xfId="0" applyFill="1" applyAlignment="1" applyProtection="1">
      <alignment horizontal="right"/>
      <protection hidden="1"/>
    </xf>
    <xf numFmtId="0" fontId="0" fillId="0" borderId="0" xfId="0" applyFill="1" applyAlignment="1" applyProtection="1">
      <alignment horizontal="right" indent="1"/>
      <protection hidden="1"/>
    </xf>
    <xf numFmtId="0" fontId="0" fillId="0" borderId="0" xfId="0" quotePrefix="1" applyFill="1" applyAlignment="1" applyProtection="1">
      <alignment horizontal="right"/>
      <protection hidden="1"/>
    </xf>
    <xf numFmtId="49" fontId="0" fillId="0" borderId="0" xfId="0" applyNumberFormat="1" applyFont="1" applyAlignment="1" applyProtection="1">
      <alignment horizontal="right"/>
      <protection hidden="1"/>
    </xf>
    <xf numFmtId="0" fontId="14" fillId="0" borderId="0" xfId="0" applyFont="1" applyFill="1"/>
    <xf numFmtId="0" fontId="0" fillId="0" borderId="0" xfId="0" applyFill="1"/>
    <xf numFmtId="0" fontId="20" fillId="0" borderId="0" xfId="0" applyFont="1" applyFill="1" applyAlignment="1" applyProtection="1">
      <alignment horizontal="left"/>
      <protection hidden="1"/>
    </xf>
    <xf numFmtId="49" fontId="20" fillId="0" borderId="0" xfId="0" applyNumberFormat="1" applyFont="1" applyFill="1" applyAlignment="1" applyProtection="1">
      <alignment horizontal="right"/>
      <protection hidden="1"/>
    </xf>
    <xf numFmtId="0" fontId="20" fillId="0" borderId="0" xfId="0" applyFont="1" applyFill="1" applyAlignment="1" applyProtection="1">
      <alignment horizontal="right"/>
      <protection hidden="1"/>
    </xf>
    <xf numFmtId="0" fontId="0" fillId="0" borderId="0" xfId="0" applyFill="1" applyAlignment="1" applyProtection="1">
      <alignment horizontal="left" indent="1"/>
      <protection hidden="1"/>
    </xf>
    <xf numFmtId="49" fontId="0" fillId="0" borderId="0" xfId="0" applyNumberFormat="1" applyFill="1" applyAlignment="1" applyProtection="1">
      <alignment horizontal="right"/>
      <protection hidden="1"/>
    </xf>
    <xf numFmtId="0" fontId="54" fillId="0" borderId="0" xfId="0" applyFont="1" applyFill="1" applyAlignment="1" applyProtection="1">
      <alignment horizontal="right"/>
      <protection hidden="1"/>
    </xf>
    <xf numFmtId="0" fontId="19" fillId="0" borderId="0" xfId="0" applyFont="1" applyFill="1" applyAlignment="1" applyProtection="1">
      <alignment horizontal="left"/>
      <protection hidden="1"/>
    </xf>
    <xf numFmtId="0" fontId="0" fillId="0" borderId="0" xfId="0" applyFill="1" applyAlignment="1" applyProtection="1">
      <alignment horizontal="left"/>
      <protection hidden="1"/>
    </xf>
    <xf numFmtId="0" fontId="3" fillId="0" borderId="0" xfId="0" applyFont="1" applyAlignment="1" applyProtection="1">
      <alignment horizontal="left" vertical="top"/>
      <protection hidden="1"/>
    </xf>
    <xf numFmtId="0" fontId="0" fillId="0" borderId="0" xfId="0" applyFill="1" applyAlignment="1">
      <alignment horizontal="right"/>
    </xf>
    <xf numFmtId="49" fontId="14" fillId="0" borderId="0" xfId="0" applyNumberFormat="1" applyFont="1" applyFill="1" applyAlignment="1" applyProtection="1">
      <alignment horizontal="right"/>
      <protection hidden="1"/>
    </xf>
    <xf numFmtId="0" fontId="14" fillId="0" borderId="0" xfId="3" applyFill="1" applyProtection="1">
      <protection hidden="1"/>
    </xf>
    <xf numFmtId="0" fontId="1" fillId="0" borderId="0" xfId="0" applyFont="1" applyFill="1" applyAlignment="1" applyProtection="1">
      <alignment horizontal="right"/>
      <protection hidden="1"/>
    </xf>
    <xf numFmtId="49" fontId="20" fillId="0" borderId="0" xfId="0" applyNumberFormat="1" applyFont="1" applyFill="1" applyAlignment="1" applyProtection="1">
      <alignment horizontal="right" vertical="top"/>
      <protection hidden="1"/>
    </xf>
    <xf numFmtId="0" fontId="20" fillId="0" borderId="0" xfId="0" applyFont="1" applyFill="1" applyAlignment="1" applyProtection="1">
      <alignment horizontal="right" vertical="top"/>
      <protection hidden="1"/>
    </xf>
    <xf numFmtId="0" fontId="14" fillId="0" borderId="0" xfId="0" applyFont="1" applyFill="1" applyAlignment="1" applyProtection="1">
      <alignment horizontal="left"/>
      <protection hidden="1"/>
    </xf>
    <xf numFmtId="0" fontId="20" fillId="0" borderId="0" xfId="0" applyFont="1" applyFill="1" applyAlignment="1" applyProtection="1">
      <alignment horizontal="left" vertical="top"/>
      <protection hidden="1"/>
    </xf>
    <xf numFmtId="0" fontId="47" fillId="0" borderId="0" xfId="0" applyFont="1" applyFill="1" applyAlignment="1" applyProtection="1">
      <alignment horizontal="left"/>
      <protection hidden="1"/>
    </xf>
    <xf numFmtId="3" fontId="14" fillId="0" borderId="0" xfId="0" applyNumberFormat="1" applyFont="1" applyFill="1" applyAlignment="1" applyProtection="1">
      <alignment horizontal="right" vertical="top"/>
      <protection hidden="1"/>
    </xf>
    <xf numFmtId="0" fontId="14" fillId="0" borderId="0" xfId="0" applyFont="1" applyFill="1" applyAlignment="1" applyProtection="1">
      <alignment horizontal="right" vertical="top"/>
      <protection hidden="1"/>
    </xf>
    <xf numFmtId="0" fontId="30" fillId="0" borderId="0" xfId="0" applyFont="1" applyFill="1" applyAlignment="1" applyProtection="1">
      <alignment horizontal="right"/>
      <protection hidden="1"/>
    </xf>
    <xf numFmtId="0" fontId="19" fillId="0" borderId="0" xfId="0" applyFont="1" applyFill="1" applyProtection="1">
      <protection hidden="1"/>
    </xf>
    <xf numFmtId="0" fontId="20" fillId="0" borderId="0" xfId="0" applyFont="1" applyFill="1" applyAlignment="1" applyProtection="1">
      <alignment horizontal="left" vertical="top" wrapText="1"/>
      <protection hidden="1"/>
    </xf>
    <xf numFmtId="0" fontId="20" fillId="0" borderId="0" xfId="0" applyFont="1" applyFill="1" applyAlignment="1" applyProtection="1">
      <alignment horizontal="right" vertical="top" wrapText="1"/>
      <protection hidden="1"/>
    </xf>
    <xf numFmtId="0" fontId="20" fillId="0" borderId="0" xfId="0" applyFont="1" applyFill="1" applyAlignment="1" applyProtection="1">
      <alignment horizontal="right" vertical="top" wrapText="1" indent="1"/>
      <protection hidden="1"/>
    </xf>
    <xf numFmtId="0" fontId="3" fillId="0" borderId="0" xfId="0" applyFont="1" applyFill="1" applyAlignment="1" applyProtection="1">
      <alignment horizontal="left" vertical="top"/>
      <protection hidden="1"/>
    </xf>
    <xf numFmtId="0" fontId="0" fillId="0" borderId="0" xfId="0" applyFill="1" applyAlignment="1" applyProtection="1">
      <alignment horizontal="left" vertical="top"/>
      <protection hidden="1"/>
    </xf>
    <xf numFmtId="0" fontId="12" fillId="0" borderId="0" xfId="0" applyFont="1" applyFill="1" applyAlignment="1" applyProtection="1">
      <alignment horizontal="left" vertical="top"/>
      <protection hidden="1"/>
    </xf>
    <xf numFmtId="0" fontId="14" fillId="0" borderId="0" xfId="0" applyFont="1" applyFill="1" applyAlignment="1" applyProtection="1">
      <alignment horizontal="left" vertical="top"/>
      <protection hidden="1"/>
    </xf>
    <xf numFmtId="0" fontId="19" fillId="0" borderId="0" xfId="0" applyFont="1" applyFill="1" applyAlignment="1" applyProtection="1">
      <alignment horizontal="left" indent="1"/>
      <protection hidden="1"/>
    </xf>
    <xf numFmtId="0" fontId="47" fillId="0" borderId="0" xfId="0" applyFont="1" applyFill="1" applyAlignment="1" applyProtection="1">
      <alignment horizontal="left" indent="1"/>
      <protection hidden="1"/>
    </xf>
    <xf numFmtId="0" fontId="54" fillId="0" borderId="0" xfId="0" applyFont="1" applyAlignment="1" applyProtection="1">
      <alignment horizontal="right"/>
      <protection hidden="1"/>
    </xf>
    <xf numFmtId="0" fontId="0" fillId="0" borderId="0" xfId="0" applyFont="1" applyProtection="1">
      <protection hidden="1"/>
    </xf>
    <xf numFmtId="0" fontId="0" fillId="0" borderId="0" xfId="0" applyFont="1" applyAlignment="1" applyProtection="1">
      <alignment horizontal="right"/>
      <protection hidden="1"/>
    </xf>
    <xf numFmtId="0" fontId="0" fillId="0" borderId="0" xfId="0" applyFont="1" applyAlignment="1" applyProtection="1">
      <alignment horizontal="right" indent="1"/>
      <protection hidden="1"/>
    </xf>
    <xf numFmtId="0" fontId="0" fillId="3" borderId="0" xfId="0" applyFont="1" applyFill="1" applyAlignment="1" applyProtection="1">
      <alignment horizontal="right"/>
      <protection hidden="1"/>
    </xf>
    <xf numFmtId="0" fontId="0" fillId="0" borderId="0" xfId="0" applyFont="1" applyFill="1" applyAlignment="1" applyProtection="1">
      <alignment horizontal="left"/>
      <protection hidden="1"/>
    </xf>
    <xf numFmtId="0" fontId="0" fillId="0" borderId="0" xfId="0" applyFont="1" applyFill="1" applyProtection="1">
      <protection hidden="1"/>
    </xf>
    <xf numFmtId="0" fontId="0" fillId="0" borderId="0" xfId="0" applyFont="1" applyFill="1" applyAlignment="1" applyProtection="1">
      <alignment horizontal="right"/>
      <protection hidden="1"/>
    </xf>
    <xf numFmtId="0" fontId="0" fillId="0" borderId="0" xfId="0" applyFont="1" applyFill="1" applyAlignment="1" applyProtection="1">
      <alignment horizontal="right" indent="1"/>
      <protection hidden="1"/>
    </xf>
    <xf numFmtId="0" fontId="3" fillId="0" borderId="0" xfId="0" applyFont="1" applyFill="1" applyProtection="1">
      <protection hidden="1"/>
    </xf>
    <xf numFmtId="0" fontId="3" fillId="0" borderId="0" xfId="0" applyFont="1" applyFill="1" applyAlignment="1" applyProtection="1">
      <alignment horizontal="right"/>
      <protection hidden="1"/>
    </xf>
    <xf numFmtId="0" fontId="38" fillId="0" borderId="0" xfId="0" applyFont="1" applyFill="1" applyAlignment="1" applyProtection="1">
      <alignment horizontal="right"/>
      <protection hidden="1"/>
    </xf>
    <xf numFmtId="0" fontId="14" fillId="0" borderId="0" xfId="0" applyFont="1" applyFill="1" applyAlignment="1" applyProtection="1">
      <alignment horizontal="right" indent="1"/>
      <protection hidden="1"/>
    </xf>
    <xf numFmtId="0" fontId="19" fillId="0" borderId="0" xfId="0" applyFont="1" applyFill="1" applyAlignment="1" applyProtection="1">
      <alignment horizontal="right"/>
      <protection hidden="1"/>
    </xf>
    <xf numFmtId="0" fontId="50" fillId="0" borderId="0" xfId="0" applyFont="1" applyFill="1" applyAlignment="1" applyProtection="1">
      <alignment horizontal="right"/>
      <protection hidden="1"/>
    </xf>
    <xf numFmtId="0" fontId="3" fillId="0" borderId="0" xfId="0" applyFont="1" applyFill="1" applyAlignment="1" applyProtection="1">
      <alignment horizontal="center"/>
      <protection hidden="1"/>
    </xf>
    <xf numFmtId="0" fontId="44" fillId="0" borderId="0" xfId="0" applyFont="1" applyFill="1" applyAlignment="1" applyProtection="1">
      <alignment horizontal="right"/>
      <protection hidden="1"/>
    </xf>
    <xf numFmtId="0" fontId="19" fillId="0" borderId="0" xfId="0" applyFont="1" applyAlignment="1" applyProtection="1">
      <alignment horizontal="left" vertical="top"/>
      <protection hidden="1"/>
    </xf>
    <xf numFmtId="0" fontId="19" fillId="0" borderId="0" xfId="1" applyNumberFormat="1" applyFont="1" applyFill="1" applyAlignment="1" applyProtection="1">
      <alignment horizontal="right"/>
      <protection hidden="1"/>
    </xf>
    <xf numFmtId="0" fontId="19" fillId="0" borderId="0" xfId="0" applyFont="1" applyAlignment="1" applyProtection="1">
      <alignment horizontal="right" vertical="top" wrapText="1"/>
      <protection hidden="1"/>
    </xf>
    <xf numFmtId="0" fontId="117" fillId="0" borderId="0" xfId="0" applyFont="1" applyAlignment="1" applyProtection="1">
      <alignment horizontal="left" vertical="top"/>
      <protection hidden="1"/>
    </xf>
    <xf numFmtId="0" fontId="117" fillId="0" borderId="0" xfId="0" applyFont="1" applyAlignment="1" applyProtection="1">
      <alignment horizontal="right" vertical="top"/>
      <protection hidden="1"/>
    </xf>
    <xf numFmtId="2" fontId="0" fillId="0" borderId="0" xfId="0" applyNumberFormat="1" applyFont="1" applyAlignment="1" applyProtection="1">
      <alignment horizontal="right"/>
      <protection hidden="1"/>
    </xf>
    <xf numFmtId="1" fontId="0" fillId="0" borderId="0" xfId="0" applyNumberFormat="1" applyFont="1" applyAlignment="1" applyProtection="1">
      <alignment horizontal="right"/>
      <protection hidden="1"/>
    </xf>
    <xf numFmtId="0" fontId="1" fillId="0" borderId="0" xfId="3" applyFont="1" applyProtection="1">
      <protection hidden="1"/>
    </xf>
    <xf numFmtId="0" fontId="0" fillId="0" borderId="0" xfId="0" applyFont="1"/>
    <xf numFmtId="0" fontId="0" fillId="0" borderId="0" xfId="0" applyFont="1" applyFill="1"/>
    <xf numFmtId="0" fontId="0" fillId="0" borderId="39" xfId="0" applyFont="1" applyBorder="1"/>
    <xf numFmtId="0" fontId="14" fillId="0" borderId="0" xfId="0" applyFont="1" applyFill="1" applyProtection="1">
      <protection hidden="1"/>
    </xf>
    <xf numFmtId="0" fontId="1" fillId="0" borderId="0" xfId="0" quotePrefix="1" applyFont="1" applyFill="1" applyAlignment="1" applyProtection="1">
      <alignment horizontal="right"/>
      <protection hidden="1"/>
    </xf>
    <xf numFmtId="49" fontId="0" fillId="0" borderId="0" xfId="0" applyNumberFormat="1" applyFont="1" applyFill="1" applyAlignment="1" applyProtection="1">
      <alignment horizontal="right"/>
      <protection hidden="1"/>
    </xf>
    <xf numFmtId="0" fontId="6" fillId="0" borderId="0" xfId="0" applyFont="1" applyAlignment="1" applyProtection="1">
      <alignment vertical="center"/>
      <protection hidden="1"/>
    </xf>
    <xf numFmtId="0" fontId="5" fillId="0" borderId="0" xfId="0" applyFont="1" applyAlignment="1" applyProtection="1">
      <alignment vertical="center"/>
      <protection hidden="1"/>
    </xf>
    <xf numFmtId="0" fontId="7" fillId="2" borderId="0" xfId="0" applyFont="1" applyFill="1" applyAlignment="1" applyProtection="1">
      <alignment vertical="center"/>
      <protection hidden="1"/>
    </xf>
    <xf numFmtId="0" fontId="2" fillId="2" borderId="0" xfId="0" applyFont="1" applyFill="1" applyAlignment="1" applyProtection="1">
      <alignment vertical="top"/>
      <protection hidden="1"/>
    </xf>
    <xf numFmtId="0" fontId="8" fillId="2" borderId="0" xfId="0" applyFont="1" applyFill="1" applyAlignment="1" applyProtection="1">
      <alignment vertical="center"/>
      <protection hidden="1"/>
    </xf>
    <xf numFmtId="0" fontId="3" fillId="0" borderId="0" xfId="0" applyFont="1" applyAlignment="1" applyProtection="1">
      <alignment vertical="top" wrapText="1"/>
      <protection hidden="1"/>
    </xf>
    <xf numFmtId="0" fontId="39" fillId="0" borderId="0" xfId="2" applyFont="1" applyAlignment="1" applyProtection="1">
      <alignment horizontal="right" vertical="center" wrapText="1" indent="1"/>
      <protection hidden="1"/>
    </xf>
    <xf numFmtId="0" fontId="39" fillId="0" borderId="3" xfId="2" applyFont="1" applyBorder="1" applyAlignment="1" applyProtection="1">
      <alignment horizontal="right" vertical="center" wrapText="1" indent="1"/>
      <protection hidden="1"/>
    </xf>
    <xf numFmtId="0" fontId="12" fillId="0" borderId="0" xfId="0" applyFont="1" applyAlignment="1" applyProtection="1">
      <alignment vertical="top"/>
      <protection hidden="1"/>
    </xf>
    <xf numFmtId="0" fontId="3" fillId="0" borderId="0" xfId="0" applyFont="1" applyAlignment="1" applyProtection="1">
      <alignment vertical="top"/>
      <protection hidden="1"/>
    </xf>
    <xf numFmtId="0" fontId="6" fillId="0" borderId="0" xfId="0" applyFont="1" applyAlignment="1" applyProtection="1">
      <alignment vertical="center"/>
      <protection hidden="1"/>
    </xf>
    <xf numFmtId="0" fontId="5" fillId="0" borderId="0" xfId="0" applyFont="1" applyAlignment="1" applyProtection="1">
      <alignment vertical="center"/>
      <protection hidden="1"/>
    </xf>
  </cellXfs>
  <cellStyles count="42208">
    <cellStyle name="20 % - Accent1" xfId="12" builtinId="30" customBuiltin="1"/>
    <cellStyle name="20 % - Accent2" xfId="15" builtinId="34" customBuiltin="1"/>
    <cellStyle name="20 % - Accent3" xfId="18" builtinId="38" customBuiltin="1"/>
    <cellStyle name="20 % - Accent4" xfId="21" builtinId="42" customBuiltin="1"/>
    <cellStyle name="20 % - Accent5" xfId="24" builtinId="46" customBuiltin="1"/>
    <cellStyle name="20 % - Accent6" xfId="27" builtinId="50" customBuiltin="1"/>
    <cellStyle name="20% - Akzent1 10" xfId="181" xr:uid="{2BC4332E-22ED-4812-BA20-00C0B03F246A}"/>
    <cellStyle name="20% - Akzent1 10 10" xfId="182" xr:uid="{A57A0412-BF5E-48DB-AC75-FE3A99E4E301}"/>
    <cellStyle name="20% - Akzent1 10 10 2" xfId="183" xr:uid="{AE8475CC-7A1F-4B8D-AF2F-5B20F3512880}"/>
    <cellStyle name="20% - Akzent1 10 10 2 2" xfId="19840" xr:uid="{1D73E675-C66F-4BC0-B234-9BD00CE7A424}"/>
    <cellStyle name="20% - Akzent1 10 10 3" xfId="19839" xr:uid="{6E2090EE-0DEB-4603-8414-A5D5355EFFB2}"/>
    <cellStyle name="20% - Akzent1 10 11" xfId="184" xr:uid="{4D49FE77-FFB0-40FF-A4A6-B81BE71D9112}"/>
    <cellStyle name="20% - Akzent1 10 11 2" xfId="185" xr:uid="{E9416AA8-EFA1-44D5-A59C-AC24FBCB06EE}"/>
    <cellStyle name="20% - Akzent1 10 11 2 2" xfId="19842" xr:uid="{8C7AFADF-BF8F-48C7-AF12-1CEA767C633E}"/>
    <cellStyle name="20% - Akzent1 10 11 3" xfId="19841" xr:uid="{CE9E21B4-E1F3-4503-AE10-A5D757972460}"/>
    <cellStyle name="20% - Akzent1 10 12" xfId="186" xr:uid="{457FE184-B655-4C2C-88FA-27444298B80B}"/>
    <cellStyle name="20% - Akzent1 10 12 2" xfId="187" xr:uid="{C8E07943-814F-4BC3-BBFF-4A9DAAB9139E}"/>
    <cellStyle name="20% - Akzent1 10 12 2 2" xfId="19844" xr:uid="{87DE1D04-2EA2-4C6F-A887-7D9711C6C7EB}"/>
    <cellStyle name="20% - Akzent1 10 12 3" xfId="19843" xr:uid="{D1E18810-C888-4C42-BD34-D4F982B1F54B}"/>
    <cellStyle name="20% - Akzent1 10 13" xfId="188" xr:uid="{30AC6010-A877-4914-A4E4-5CB02D52DAE7}"/>
    <cellStyle name="20% - Akzent1 10 13 2" xfId="189" xr:uid="{EE6C3AA5-84D6-4F0B-B90A-184CD453ACE0}"/>
    <cellStyle name="20% - Akzent1 10 13 2 2" xfId="19846" xr:uid="{97F2D919-DE9C-4B42-B701-9B23EE9DC437}"/>
    <cellStyle name="20% - Akzent1 10 13 3" xfId="19845" xr:uid="{081E0A88-5ADD-4C5F-8897-8F7AF862B52A}"/>
    <cellStyle name="20% - Akzent1 10 14" xfId="190" xr:uid="{6EC5B505-0BC6-4E33-979A-50036DC7FE75}"/>
    <cellStyle name="20% - Akzent1 10 14 2" xfId="191" xr:uid="{AAAC900D-1608-4053-A923-7D159FDE30EE}"/>
    <cellStyle name="20% - Akzent1 10 14 2 2" xfId="19848" xr:uid="{AFAB3F11-ADA8-4BCC-B7DB-A9A30F95D019}"/>
    <cellStyle name="20% - Akzent1 10 14 3" xfId="19847" xr:uid="{68939A71-C3CA-473F-AA11-7BAD9132CDED}"/>
    <cellStyle name="20% - Akzent1 10 15" xfId="192" xr:uid="{856DF15F-AD05-470B-A326-657BEE07EA65}"/>
    <cellStyle name="20% - Akzent1 10 15 2" xfId="193" xr:uid="{057C7975-53D5-4679-A189-5961AB902A2D}"/>
    <cellStyle name="20% - Akzent1 10 15 2 2" xfId="19850" xr:uid="{3863EFD4-68F7-4D0B-BBDE-A5DD57989143}"/>
    <cellStyle name="20% - Akzent1 10 15 3" xfId="19849" xr:uid="{6354A03A-526F-434A-84DB-F8DB2B0C238C}"/>
    <cellStyle name="20% - Akzent1 10 16" xfId="194" xr:uid="{58ACED44-84FD-40E4-8E42-50EAD4358F8E}"/>
    <cellStyle name="20% - Akzent1 10 16 2" xfId="195" xr:uid="{E8D9B452-5798-43C1-B14E-FFBAC2734E0A}"/>
    <cellStyle name="20% - Akzent1 10 16 2 2" xfId="19852" xr:uid="{2AA60C53-413A-4771-AB17-A7CFBD830A28}"/>
    <cellStyle name="20% - Akzent1 10 16 3" xfId="19851" xr:uid="{0534ACE6-19B0-45D2-84A3-159149039037}"/>
    <cellStyle name="20% - Akzent1 10 17" xfId="196" xr:uid="{D302D817-005A-4FBE-96E7-75ADC88612DB}"/>
    <cellStyle name="20% - Akzent1 10 17 2" xfId="197" xr:uid="{92CE0D1B-77B0-4734-867B-54CA2DE32F28}"/>
    <cellStyle name="20% - Akzent1 10 17 2 2" xfId="19854" xr:uid="{E8014467-F3CD-4B8D-B923-5FFDBB105CC4}"/>
    <cellStyle name="20% - Akzent1 10 17 3" xfId="19853" xr:uid="{5C494F76-AEE0-463E-AC02-8972419078EF}"/>
    <cellStyle name="20% - Akzent1 10 18" xfId="198" xr:uid="{00D1C935-8A42-4E8D-8336-CBFEDA3D1BD6}"/>
    <cellStyle name="20% - Akzent1 10 18 2" xfId="199" xr:uid="{46A88636-603C-465A-804C-1F534A056956}"/>
    <cellStyle name="20% - Akzent1 10 18 2 2" xfId="19856" xr:uid="{DA8237D2-29DA-411E-9DA2-039FC3588840}"/>
    <cellStyle name="20% - Akzent1 10 18 3" xfId="19855" xr:uid="{A9057ED3-45EC-42A3-BE3C-06BBDA4279D2}"/>
    <cellStyle name="20% - Akzent1 10 19" xfId="200" xr:uid="{149230B6-70E1-4B30-8F83-61E066A90CCD}"/>
    <cellStyle name="20% - Akzent1 10 19 2" xfId="201" xr:uid="{9B0D1857-DF69-4CE4-813D-836E18F33D5B}"/>
    <cellStyle name="20% - Akzent1 10 19 2 2" xfId="19858" xr:uid="{F6CC8473-BCA5-463A-8216-3430F25285B3}"/>
    <cellStyle name="20% - Akzent1 10 19 3" xfId="19857" xr:uid="{7E270450-1AD8-43E7-8411-7F112D37BC91}"/>
    <cellStyle name="20% - Akzent1 10 2" xfId="202" xr:uid="{92D3D496-940E-49B4-8989-99468E39D0CC}"/>
    <cellStyle name="20% - Akzent1 10 2 2" xfId="203" xr:uid="{401144E9-9293-4BE0-81F9-7A67E0760DC1}"/>
    <cellStyle name="20% - Akzent1 10 2 2 2" xfId="19860" xr:uid="{B767352A-77D6-4783-8FF6-3BA66FC31925}"/>
    <cellStyle name="20% - Akzent1 10 2 3" xfId="19859" xr:uid="{6398222E-1DD4-489A-ADF3-9006DD45FA40}"/>
    <cellStyle name="20% - Akzent1 10 20" xfId="204" xr:uid="{5F5250CD-567F-4BDC-947E-8119340B1386}"/>
    <cellStyle name="20% - Akzent1 10 20 2" xfId="205" xr:uid="{A8F6E0BC-E214-450C-AEFB-BB00D98CFE3F}"/>
    <cellStyle name="20% - Akzent1 10 20 2 2" xfId="19862" xr:uid="{46D9545C-1AFA-4309-879E-F52872DBC943}"/>
    <cellStyle name="20% - Akzent1 10 20 3" xfId="19861" xr:uid="{5032D411-69B4-4807-895A-BC23A686AC48}"/>
    <cellStyle name="20% - Akzent1 10 21" xfId="206" xr:uid="{152E5DFB-E842-4B59-81A7-3A84B58735A5}"/>
    <cellStyle name="20% - Akzent1 10 21 2" xfId="207" xr:uid="{BD506600-55CD-4349-B670-AE0157A5384A}"/>
    <cellStyle name="20% - Akzent1 10 21 2 2" xfId="19864" xr:uid="{EA5F8581-5386-4E48-B294-1FC513429A6D}"/>
    <cellStyle name="20% - Akzent1 10 21 3" xfId="19863" xr:uid="{D3834413-3E54-4104-A043-4911656116E8}"/>
    <cellStyle name="20% - Akzent1 10 22" xfId="208" xr:uid="{F8562B8D-8FC6-432A-8697-B9DBD2833083}"/>
    <cellStyle name="20% - Akzent1 10 23" xfId="19838" xr:uid="{94ADA398-2DDA-4E38-BF58-2FA19F60DEB0}"/>
    <cellStyle name="20% - Akzent1 10 3" xfId="209" xr:uid="{F50F7F6C-0924-474E-83B8-11402511DA6D}"/>
    <cellStyle name="20% - Akzent1 10 3 2" xfId="210" xr:uid="{0318E510-AEE9-48F4-AC14-EF609117105B}"/>
    <cellStyle name="20% - Akzent1 10 3 2 2" xfId="19866" xr:uid="{D7FA4C07-FEDD-42ED-BF18-9D7B8B6A41AF}"/>
    <cellStyle name="20% - Akzent1 10 3 3" xfId="19865" xr:uid="{7791F854-F002-4B40-A2AC-E81A1D67BE6D}"/>
    <cellStyle name="20% - Akzent1 10 4" xfId="211" xr:uid="{CA68BC7A-576C-47A1-890F-6A0F8FE41BBD}"/>
    <cellStyle name="20% - Akzent1 10 4 2" xfId="212" xr:uid="{28FBE01A-52D6-40A9-A988-3AA5A4D6F5F4}"/>
    <cellStyle name="20% - Akzent1 10 4 2 2" xfId="19868" xr:uid="{F7836412-ED7D-4591-BB74-6D415A6A27FF}"/>
    <cellStyle name="20% - Akzent1 10 4 3" xfId="19867" xr:uid="{945C55DD-07B7-4D85-B756-059924CD57DD}"/>
    <cellStyle name="20% - Akzent1 10 5" xfId="213" xr:uid="{B01D2560-4E16-49EF-A823-D78832FECCB8}"/>
    <cellStyle name="20% - Akzent1 10 5 2" xfId="214" xr:uid="{BA4A1836-E603-4A1B-84DD-D55C73A70EE7}"/>
    <cellStyle name="20% - Akzent1 10 5 2 2" xfId="19870" xr:uid="{C6AA2022-7F8D-48C9-963E-0042EA379D31}"/>
    <cellStyle name="20% - Akzent1 10 5 3" xfId="19869" xr:uid="{52242DD8-E16C-4E6E-A2ED-A4490E8B85D4}"/>
    <cellStyle name="20% - Akzent1 10 6" xfId="215" xr:uid="{37D9C7FB-DD14-43A1-9BC7-389826A60A2B}"/>
    <cellStyle name="20% - Akzent1 10 6 2" xfId="216" xr:uid="{5DD49D1A-8477-4D3B-B9F8-0FC11E753288}"/>
    <cellStyle name="20% - Akzent1 10 6 2 2" xfId="19872" xr:uid="{1E0150B9-AF8E-46F9-9E90-EAB1A2776E3A}"/>
    <cellStyle name="20% - Akzent1 10 6 3" xfId="19871" xr:uid="{89672D00-5288-4E55-B641-F2DE639FFC29}"/>
    <cellStyle name="20% - Akzent1 10 7" xfId="217" xr:uid="{99F3BC2A-A068-452B-ADED-D11C28DA9AC2}"/>
    <cellStyle name="20% - Akzent1 10 7 2" xfId="218" xr:uid="{7B5DA17C-88DD-42A2-A59E-94011DFD6CD7}"/>
    <cellStyle name="20% - Akzent1 10 7 2 2" xfId="19874" xr:uid="{3E17CE1E-DA5B-4D5E-82B8-D159B4E95E97}"/>
    <cellStyle name="20% - Akzent1 10 7 3" xfId="19873" xr:uid="{A6108604-CB49-48B5-AA52-290A2C99D4A2}"/>
    <cellStyle name="20% - Akzent1 10 8" xfId="219" xr:uid="{A7365C1A-46C5-4027-BE47-2683EFB97C2E}"/>
    <cellStyle name="20% - Akzent1 10 8 2" xfId="220" xr:uid="{A9F75884-960E-4773-80D6-D15CCB37E3D2}"/>
    <cellStyle name="20% - Akzent1 10 8 2 2" xfId="19876" xr:uid="{68C709CF-4545-4492-B3CA-7375035A0E91}"/>
    <cellStyle name="20% - Akzent1 10 8 3" xfId="19875" xr:uid="{3AA364FA-60F3-4282-A258-BF98CF7F54A3}"/>
    <cellStyle name="20% - Akzent1 10 9" xfId="221" xr:uid="{B278B34E-2C59-4BB0-9938-BC66649D7646}"/>
    <cellStyle name="20% - Akzent1 10 9 2" xfId="222" xr:uid="{1FBDC67E-4A5F-4FA9-BF6A-A11489860E4A}"/>
    <cellStyle name="20% - Akzent1 10 9 2 2" xfId="19878" xr:uid="{BFD98BED-D3F8-4A29-9354-984BAC98AC42}"/>
    <cellStyle name="20% - Akzent1 10 9 3" xfId="19877" xr:uid="{D996DB64-8D17-4C8D-AB21-1EDB7051418C}"/>
    <cellStyle name="20% - Akzent1 11" xfId="223" xr:uid="{4C12CC4D-1B59-43FB-BB2F-D2CD853A57D4}"/>
    <cellStyle name="20% - Akzent1 11 10" xfId="224" xr:uid="{E5F05B41-3B6B-445E-96AC-50471F8A9270}"/>
    <cellStyle name="20% - Akzent1 11 10 2" xfId="225" xr:uid="{9882B5A5-9241-4200-BA03-A0788947897D}"/>
    <cellStyle name="20% - Akzent1 11 10 2 2" xfId="19881" xr:uid="{AEAC1C67-649E-4D22-8DC2-5ACD73E0B816}"/>
    <cellStyle name="20% - Akzent1 11 10 3" xfId="19880" xr:uid="{E56ED62E-26E2-4AF9-B3DD-CB09A60CBA47}"/>
    <cellStyle name="20% - Akzent1 11 11" xfId="226" xr:uid="{7BBDA5EA-C287-4564-8283-924C68038674}"/>
    <cellStyle name="20% - Akzent1 11 11 2" xfId="227" xr:uid="{D74806DA-58D3-49AA-94A0-D26619866F6A}"/>
    <cellStyle name="20% - Akzent1 11 11 2 2" xfId="19883" xr:uid="{72426D41-0302-40E7-9E89-8A7194F1CF00}"/>
    <cellStyle name="20% - Akzent1 11 11 3" xfId="19882" xr:uid="{8DD7245F-B892-46EF-A821-97E465E214C2}"/>
    <cellStyle name="20% - Akzent1 11 12" xfId="228" xr:uid="{1B99EFD3-7D07-4B5F-8012-12CF888CB92A}"/>
    <cellStyle name="20% - Akzent1 11 12 2" xfId="229" xr:uid="{F4186E64-020B-450A-A185-38EB617A5D55}"/>
    <cellStyle name="20% - Akzent1 11 12 2 2" xfId="19885" xr:uid="{6BFA3561-115F-449D-813D-EF426B1DD3E4}"/>
    <cellStyle name="20% - Akzent1 11 12 3" xfId="19884" xr:uid="{88D04982-17D3-4938-83E1-C1C5255B1CB9}"/>
    <cellStyle name="20% - Akzent1 11 13" xfId="230" xr:uid="{26450A0D-68D0-45A9-8524-D754AC365B38}"/>
    <cellStyle name="20% - Akzent1 11 13 2" xfId="231" xr:uid="{7D3A6B98-0EFC-4E08-8574-004DC58E43A1}"/>
    <cellStyle name="20% - Akzent1 11 13 2 2" xfId="19887" xr:uid="{3736E55C-04ED-42E9-838F-3FED2FF5E11B}"/>
    <cellStyle name="20% - Akzent1 11 13 3" xfId="19886" xr:uid="{2103829C-C472-4240-8B4A-A86036B1F8BD}"/>
    <cellStyle name="20% - Akzent1 11 14" xfId="232" xr:uid="{46673286-19CA-40BC-8878-6D5B2ECCC6D8}"/>
    <cellStyle name="20% - Akzent1 11 14 2" xfId="233" xr:uid="{9FF0C3D4-8AE8-48E3-9B6E-FD52C7C6B636}"/>
    <cellStyle name="20% - Akzent1 11 14 2 2" xfId="19889" xr:uid="{334E94A9-1EB5-42FE-9196-BACAD81BB070}"/>
    <cellStyle name="20% - Akzent1 11 14 3" xfId="19888" xr:uid="{9A7ADE99-8734-41F9-858B-138BF0932D96}"/>
    <cellStyle name="20% - Akzent1 11 15" xfId="234" xr:uid="{4D6468EA-E821-431B-B902-B44E582D2B4D}"/>
    <cellStyle name="20% - Akzent1 11 15 2" xfId="235" xr:uid="{80212DA6-0BCB-41D5-AEA0-49660AA26608}"/>
    <cellStyle name="20% - Akzent1 11 15 2 2" xfId="19891" xr:uid="{8F408CA8-56E4-4A09-98EA-E8CCF5AE2DFE}"/>
    <cellStyle name="20% - Akzent1 11 15 3" xfId="19890" xr:uid="{4C3318A7-A06C-4B91-AC31-D329CCA67D4E}"/>
    <cellStyle name="20% - Akzent1 11 16" xfId="236" xr:uid="{C33B0D88-2431-448C-8AA3-4AD5E271C405}"/>
    <cellStyle name="20% - Akzent1 11 16 2" xfId="237" xr:uid="{E3C3035E-B9AE-4B3D-AE1D-E4434154C4A0}"/>
    <cellStyle name="20% - Akzent1 11 16 2 2" xfId="19893" xr:uid="{D34C96A9-88C7-4D21-813A-F85B859EA215}"/>
    <cellStyle name="20% - Akzent1 11 16 3" xfId="19892" xr:uid="{13CF00D6-3044-4728-9ABF-0FC6837EDD8A}"/>
    <cellStyle name="20% - Akzent1 11 17" xfId="238" xr:uid="{5DE6B7DC-3012-4CB9-9082-D99009E3A7EE}"/>
    <cellStyle name="20% - Akzent1 11 17 2" xfId="239" xr:uid="{B4999C1C-0A49-42C9-87A8-A82884F41E65}"/>
    <cellStyle name="20% - Akzent1 11 17 2 2" xfId="19895" xr:uid="{B03BC730-9BE7-426D-9732-206C343F6D09}"/>
    <cellStyle name="20% - Akzent1 11 17 3" xfId="19894" xr:uid="{7A7522CB-FB61-459A-A53F-C66A8A911D96}"/>
    <cellStyle name="20% - Akzent1 11 18" xfId="240" xr:uid="{9FA84ACB-D717-40CB-A795-1703499A3408}"/>
    <cellStyle name="20% - Akzent1 11 18 2" xfId="241" xr:uid="{579C3C75-2D6A-4756-A39C-7E486EA5BBBD}"/>
    <cellStyle name="20% - Akzent1 11 18 2 2" xfId="19897" xr:uid="{DDFC621E-21D6-42DF-9DAD-4E55947E9BCA}"/>
    <cellStyle name="20% - Akzent1 11 18 3" xfId="19896" xr:uid="{F057CD70-1B4A-4A9E-9117-0E2E211B6562}"/>
    <cellStyle name="20% - Akzent1 11 19" xfId="242" xr:uid="{27245D42-5010-4178-B805-57E8653609CD}"/>
    <cellStyle name="20% - Akzent1 11 19 2" xfId="243" xr:uid="{264DB553-AAE2-4D4B-8FEE-38251EF3E7FD}"/>
    <cellStyle name="20% - Akzent1 11 19 2 2" xfId="19899" xr:uid="{8FB5F60F-5C3B-4927-AF86-429107ECC847}"/>
    <cellStyle name="20% - Akzent1 11 19 3" xfId="19898" xr:uid="{ECCCAB56-B8A5-4182-B590-24B9A94C416B}"/>
    <cellStyle name="20% - Akzent1 11 2" xfId="244" xr:uid="{CFF49FEE-FA24-4E2C-ACEF-015F983F71A1}"/>
    <cellStyle name="20% - Akzent1 11 2 2" xfId="245" xr:uid="{4C50E853-364A-4996-A592-96CAAA321AC4}"/>
    <cellStyle name="20% - Akzent1 11 2 2 2" xfId="19901" xr:uid="{BB0AEF5D-D148-46D3-AC12-1EC5F4848646}"/>
    <cellStyle name="20% - Akzent1 11 2 3" xfId="19900" xr:uid="{FF8B5754-4C5C-4F45-9168-7332DB5607A3}"/>
    <cellStyle name="20% - Akzent1 11 20" xfId="246" xr:uid="{44F67227-33F6-4EEA-B0AA-68EE0AB51D73}"/>
    <cellStyle name="20% - Akzent1 11 20 2" xfId="247" xr:uid="{36B5C3A1-1F1B-46D0-B69F-6E9408A37019}"/>
    <cellStyle name="20% - Akzent1 11 20 2 2" xfId="19903" xr:uid="{A4681F99-F459-4663-B039-84C9710BD2D7}"/>
    <cellStyle name="20% - Akzent1 11 20 3" xfId="19902" xr:uid="{4BD05428-E3BA-4A6A-A1A8-BC913E851D0C}"/>
    <cellStyle name="20% - Akzent1 11 21" xfId="248" xr:uid="{8248154B-5807-48F4-88F5-1D7D378CC9F8}"/>
    <cellStyle name="20% - Akzent1 11 21 2" xfId="249" xr:uid="{A678EE7A-46F1-4C4B-8C0E-100AD65A38EA}"/>
    <cellStyle name="20% - Akzent1 11 21 2 2" xfId="19905" xr:uid="{A79719CE-032B-42D2-9792-A678C06C4096}"/>
    <cellStyle name="20% - Akzent1 11 21 3" xfId="19904" xr:uid="{160243C3-8FCD-4910-BE24-3A11C8C5111E}"/>
    <cellStyle name="20% - Akzent1 11 22" xfId="250" xr:uid="{5A755F1E-C702-4FE4-9BAA-D3FB1D376126}"/>
    <cellStyle name="20% - Akzent1 11 23" xfId="19879" xr:uid="{507D3C31-FF56-4257-9475-99FD78A331DF}"/>
    <cellStyle name="20% - Akzent1 11 3" xfId="251" xr:uid="{4611A4BD-CD5F-4B8E-8894-1664AE733542}"/>
    <cellStyle name="20% - Akzent1 11 3 2" xfId="252" xr:uid="{33C37394-D890-4B05-92E0-129B04FF0E91}"/>
    <cellStyle name="20% - Akzent1 11 3 2 2" xfId="19907" xr:uid="{C1366159-8FFB-4455-BF1C-995F0DDD9F9B}"/>
    <cellStyle name="20% - Akzent1 11 3 3" xfId="19906" xr:uid="{03DCBCC3-018A-40BE-9A2B-217AC2BBCDE3}"/>
    <cellStyle name="20% - Akzent1 11 4" xfId="253" xr:uid="{E16A12A1-3C35-496C-BC63-69DCDF4F1044}"/>
    <cellStyle name="20% - Akzent1 11 4 2" xfId="254" xr:uid="{00459426-78A3-4D35-8AD4-5F7F456D12EB}"/>
    <cellStyle name="20% - Akzent1 11 4 2 2" xfId="19909" xr:uid="{E1536D43-339B-422F-946F-5427928B44A7}"/>
    <cellStyle name="20% - Akzent1 11 4 3" xfId="19908" xr:uid="{D1192A28-FD08-4EA2-98C6-EC60CE324F14}"/>
    <cellStyle name="20% - Akzent1 11 5" xfId="255" xr:uid="{ED1F0C94-70BD-427D-B7F5-F742EB748420}"/>
    <cellStyle name="20% - Akzent1 11 5 2" xfId="256" xr:uid="{4801139C-5B37-4D00-91B1-A758B6908790}"/>
    <cellStyle name="20% - Akzent1 11 5 2 2" xfId="19911" xr:uid="{CCAEC19B-195A-47F0-94DD-27A2828F90A9}"/>
    <cellStyle name="20% - Akzent1 11 5 3" xfId="19910" xr:uid="{A06748E3-365C-4EC3-9969-3ED0152F1996}"/>
    <cellStyle name="20% - Akzent1 11 6" xfId="257" xr:uid="{47DFFE98-2FB9-4AD6-8E72-0E39427E9624}"/>
    <cellStyle name="20% - Akzent1 11 6 2" xfId="258" xr:uid="{A9B46FDD-30EB-4AD3-9E70-C7DA0953D464}"/>
    <cellStyle name="20% - Akzent1 11 6 2 2" xfId="19913" xr:uid="{F4896C32-3718-4C96-AE5F-15C89C0602E1}"/>
    <cellStyle name="20% - Akzent1 11 6 3" xfId="19912" xr:uid="{233379DB-E283-426C-B674-4C1F03CB5907}"/>
    <cellStyle name="20% - Akzent1 11 7" xfId="259" xr:uid="{B6B40EDD-86A4-48CB-8104-C803E138F912}"/>
    <cellStyle name="20% - Akzent1 11 7 2" xfId="260" xr:uid="{26A9471C-E731-434E-BC24-190398AB6718}"/>
    <cellStyle name="20% - Akzent1 11 7 2 2" xfId="19915" xr:uid="{A84135A5-3968-4643-B3AA-9ACBA7BFA060}"/>
    <cellStyle name="20% - Akzent1 11 7 3" xfId="19914" xr:uid="{CC6A85E3-AC39-4257-AAE8-644CFBBB0351}"/>
    <cellStyle name="20% - Akzent1 11 8" xfId="261" xr:uid="{BA49D157-6C5D-4789-95A3-9970201A5D62}"/>
    <cellStyle name="20% - Akzent1 11 8 2" xfId="262" xr:uid="{4AFCEE3D-5568-4A05-8D70-032F48E0E94B}"/>
    <cellStyle name="20% - Akzent1 11 8 2 2" xfId="19917" xr:uid="{2323290E-FF56-4C9A-A33B-1AF8C6895BCE}"/>
    <cellStyle name="20% - Akzent1 11 8 3" xfId="19916" xr:uid="{52113FDD-C01C-4C6D-B0FB-659FC67BCEDA}"/>
    <cellStyle name="20% - Akzent1 11 9" xfId="263" xr:uid="{3A9DC12A-3AD5-41D7-B70D-45061D3CDDCE}"/>
    <cellStyle name="20% - Akzent1 11 9 2" xfId="264" xr:uid="{92E9D06A-C52E-4717-9351-67AF4D7D6536}"/>
    <cellStyle name="20% - Akzent1 11 9 2 2" xfId="19919" xr:uid="{A35D2247-8A09-420C-B820-5E4EE7D0A9A9}"/>
    <cellStyle name="20% - Akzent1 11 9 3" xfId="19918" xr:uid="{0878A201-5589-4929-93A0-B10F39198FFB}"/>
    <cellStyle name="20% - Akzent1 12" xfId="265" xr:uid="{C426719E-7018-4DE7-AF42-8FB819A38093}"/>
    <cellStyle name="20% - Akzent1 12 10" xfId="266" xr:uid="{9F4628C9-C5EE-4E91-9310-88B968D1C79A}"/>
    <cellStyle name="20% - Akzent1 12 10 2" xfId="267" xr:uid="{FF91DB45-A4C6-46F0-A176-4ABFCF6F3AC5}"/>
    <cellStyle name="20% - Akzent1 12 10 2 2" xfId="19922" xr:uid="{91F4F48C-81E2-4308-B326-48C242F679C1}"/>
    <cellStyle name="20% - Akzent1 12 10 3" xfId="19921" xr:uid="{45BA67D8-9B29-4E9D-87B3-6DA1A576065E}"/>
    <cellStyle name="20% - Akzent1 12 11" xfId="268" xr:uid="{A17E2BDD-5B31-4F25-8D35-CD51E9AB1618}"/>
    <cellStyle name="20% - Akzent1 12 11 2" xfId="269" xr:uid="{6E0D2F74-8864-441F-A825-30561D26AFF9}"/>
    <cellStyle name="20% - Akzent1 12 11 2 2" xfId="19924" xr:uid="{4F992B3E-B950-4BF9-9333-C65A443F06F0}"/>
    <cellStyle name="20% - Akzent1 12 11 3" xfId="19923" xr:uid="{5464D964-EF28-4CE3-8A9D-DECC07648F80}"/>
    <cellStyle name="20% - Akzent1 12 12" xfId="270" xr:uid="{8FBD01A7-396F-444C-9AF3-A54B74DF83EF}"/>
    <cellStyle name="20% - Akzent1 12 12 2" xfId="271" xr:uid="{003FD5E7-5032-494F-925F-F65896C4D775}"/>
    <cellStyle name="20% - Akzent1 12 12 2 2" xfId="19926" xr:uid="{E7E3873C-385E-4B4C-92F3-8488EB4772C6}"/>
    <cellStyle name="20% - Akzent1 12 12 3" xfId="19925" xr:uid="{6FBF9D86-E572-4F26-B019-DEE53023AB68}"/>
    <cellStyle name="20% - Akzent1 12 13" xfId="272" xr:uid="{547E4EB3-7DEE-4D05-98C1-5489C1282F6E}"/>
    <cellStyle name="20% - Akzent1 12 13 2" xfId="273" xr:uid="{4CE584C5-4102-42F6-9607-4568AF03DA62}"/>
    <cellStyle name="20% - Akzent1 12 13 2 2" xfId="19928" xr:uid="{B4718DD5-6212-48E2-BB97-4F77849A4572}"/>
    <cellStyle name="20% - Akzent1 12 13 3" xfId="19927" xr:uid="{359D74D0-FFE0-4230-8F7F-A82386814D89}"/>
    <cellStyle name="20% - Akzent1 12 14" xfId="274" xr:uid="{30477643-7D12-4A11-9794-DE0C3804947A}"/>
    <cellStyle name="20% - Akzent1 12 14 2" xfId="275" xr:uid="{C6BC03AE-D908-4DAF-B029-6F85EDC219CD}"/>
    <cellStyle name="20% - Akzent1 12 14 2 2" xfId="19930" xr:uid="{097169F8-F934-463A-8762-21C2073CC03D}"/>
    <cellStyle name="20% - Akzent1 12 14 3" xfId="19929" xr:uid="{998F99CA-67B4-4A82-8C6D-08B3AD2CCB44}"/>
    <cellStyle name="20% - Akzent1 12 15" xfId="276" xr:uid="{51A01005-EC3D-4C9C-9D40-E04BED641F90}"/>
    <cellStyle name="20% - Akzent1 12 15 2" xfId="277" xr:uid="{B2F8E536-B4B1-44FF-A9F8-39D8755CA044}"/>
    <cellStyle name="20% - Akzent1 12 15 2 2" xfId="19932" xr:uid="{2178C167-73E8-4B04-B229-3FA8C0FED789}"/>
    <cellStyle name="20% - Akzent1 12 15 3" xfId="19931" xr:uid="{A0C021EF-63F2-4541-8A19-63CC8DB4B2D0}"/>
    <cellStyle name="20% - Akzent1 12 16" xfId="278" xr:uid="{8B9BCC14-FA6C-4BDD-BF63-2AC19A55CA57}"/>
    <cellStyle name="20% - Akzent1 12 16 2" xfId="279" xr:uid="{E5875ADB-218F-473F-AA50-0A71F4861E92}"/>
    <cellStyle name="20% - Akzent1 12 16 2 2" xfId="19934" xr:uid="{B400A1EC-24A3-44C6-BF78-D1FD94DCBAF4}"/>
    <cellStyle name="20% - Akzent1 12 16 3" xfId="19933" xr:uid="{CBFB26F5-3AE8-4D3A-B398-9F1F1CBFE40C}"/>
    <cellStyle name="20% - Akzent1 12 17" xfId="280" xr:uid="{C4BFEAF9-1881-4DB4-9047-0009D0372A56}"/>
    <cellStyle name="20% - Akzent1 12 17 2" xfId="281" xr:uid="{1DDFB0C0-5603-4172-AE7D-2F58373EA4CC}"/>
    <cellStyle name="20% - Akzent1 12 17 2 2" xfId="19936" xr:uid="{967C5C6F-F766-4812-9448-E68FA4B9171D}"/>
    <cellStyle name="20% - Akzent1 12 17 3" xfId="19935" xr:uid="{A4BBE8A8-A7CD-4BAC-B8C2-3D64AE432FF8}"/>
    <cellStyle name="20% - Akzent1 12 18" xfId="282" xr:uid="{AA26B10C-875E-425D-AE7D-3EE133A66964}"/>
    <cellStyle name="20% - Akzent1 12 18 2" xfId="283" xr:uid="{E3B33F8C-BE1A-4488-89DF-6CFCB16A1D15}"/>
    <cellStyle name="20% - Akzent1 12 18 2 2" xfId="19938" xr:uid="{60D06C8F-78B2-4B29-8909-FEDDC3B50D43}"/>
    <cellStyle name="20% - Akzent1 12 18 3" xfId="19937" xr:uid="{C901267A-9A4D-4FF7-BEF8-C69FD0575FFC}"/>
    <cellStyle name="20% - Akzent1 12 19" xfId="284" xr:uid="{B3F04E66-DBD1-4D5F-808C-9D500ABEA746}"/>
    <cellStyle name="20% - Akzent1 12 19 2" xfId="285" xr:uid="{788E2030-9127-4236-9B6B-81C05C2A6AA3}"/>
    <cellStyle name="20% - Akzent1 12 19 2 2" xfId="19940" xr:uid="{7AA37B9B-22BB-40A8-92B0-BBD3B20DDC4F}"/>
    <cellStyle name="20% - Akzent1 12 19 3" xfId="19939" xr:uid="{07F631A6-6C6A-4CF9-AA7F-9C61DB78F8A5}"/>
    <cellStyle name="20% - Akzent1 12 2" xfId="286" xr:uid="{B284B3A2-80FB-4C99-8AF8-13B9B6408E90}"/>
    <cellStyle name="20% - Akzent1 12 2 2" xfId="287" xr:uid="{813F713D-C02A-4595-BEE9-D8F67939F7EE}"/>
    <cellStyle name="20% - Akzent1 12 2 2 2" xfId="19942" xr:uid="{FC9CD33E-A7CE-4085-ACA8-34DA9155CB9D}"/>
    <cellStyle name="20% - Akzent1 12 2 3" xfId="19941" xr:uid="{E2875EFF-6AB0-470B-B7EA-7E9DF5E404BE}"/>
    <cellStyle name="20% - Akzent1 12 20" xfId="288" xr:uid="{98EE26A6-7E1B-4240-BEF1-89E43E45888E}"/>
    <cellStyle name="20% - Akzent1 12 20 2" xfId="289" xr:uid="{A9784D7C-F73A-429C-AB98-4267DEAB6B44}"/>
    <cellStyle name="20% - Akzent1 12 20 2 2" xfId="19944" xr:uid="{AABF80F2-73C9-451B-B7CF-1957ED751BDB}"/>
    <cellStyle name="20% - Akzent1 12 20 3" xfId="19943" xr:uid="{F356B6F4-F9B7-48BE-BF07-0FFE89E8C6C9}"/>
    <cellStyle name="20% - Akzent1 12 21" xfId="290" xr:uid="{879CCB61-B836-4CD3-9538-1FBD257328C5}"/>
    <cellStyle name="20% - Akzent1 12 21 2" xfId="291" xr:uid="{65C78C83-0BF3-4FCF-A646-AB18BD9134B9}"/>
    <cellStyle name="20% - Akzent1 12 21 2 2" xfId="19946" xr:uid="{1BB4E4BD-F923-4B6E-B3D3-B8BB5E4E26E2}"/>
    <cellStyle name="20% - Akzent1 12 21 3" xfId="19945" xr:uid="{D78F9B69-F65B-4D36-A68C-8899533867A8}"/>
    <cellStyle name="20% - Akzent1 12 22" xfId="292" xr:uid="{474779F5-8DCE-42A4-B6C3-C62DB2938E4D}"/>
    <cellStyle name="20% - Akzent1 12 23" xfId="19920" xr:uid="{555E583E-7BFB-4CCD-A334-02C99A479A12}"/>
    <cellStyle name="20% - Akzent1 12 3" xfId="293" xr:uid="{C1354F0A-9F99-47E9-960C-723FCF8FF08F}"/>
    <cellStyle name="20% - Akzent1 12 3 2" xfId="294" xr:uid="{1C564DE6-0AC1-4EEF-A661-F3AB7181AA04}"/>
    <cellStyle name="20% - Akzent1 12 3 2 2" xfId="19948" xr:uid="{AE589782-1D00-46B4-8B37-E48A7FE580C7}"/>
    <cellStyle name="20% - Akzent1 12 3 3" xfId="19947" xr:uid="{49A90DB0-6362-48D8-ACF5-0300E5CAAB45}"/>
    <cellStyle name="20% - Akzent1 12 4" xfId="295" xr:uid="{A72A8620-D10A-4600-8682-71A256BD98E4}"/>
    <cellStyle name="20% - Akzent1 12 4 2" xfId="296" xr:uid="{AF5022E6-3E15-4E6B-B90E-5D0200301BD6}"/>
    <cellStyle name="20% - Akzent1 12 4 2 2" xfId="19950" xr:uid="{DF087A76-744A-46BA-AC33-40B2ADD2D45B}"/>
    <cellStyle name="20% - Akzent1 12 4 3" xfId="19949" xr:uid="{A193C051-FBA9-4BCC-8F92-B5DF63B757D9}"/>
    <cellStyle name="20% - Akzent1 12 5" xfId="297" xr:uid="{DDAC83F8-0EAC-4C9C-B190-C2AEBCAC8330}"/>
    <cellStyle name="20% - Akzent1 12 5 2" xfId="298" xr:uid="{44845711-44CD-40BD-835D-AE8E7FB96407}"/>
    <cellStyle name="20% - Akzent1 12 5 2 2" xfId="19952" xr:uid="{AC9E7F9D-B536-4F5B-BFE5-E06A13A9CEBF}"/>
    <cellStyle name="20% - Akzent1 12 5 3" xfId="19951" xr:uid="{97804D00-6CCF-4CDD-AC0F-188C3FB79272}"/>
    <cellStyle name="20% - Akzent1 12 6" xfId="299" xr:uid="{F24660FC-400B-4424-B72C-A263EC794E01}"/>
    <cellStyle name="20% - Akzent1 12 6 2" xfId="300" xr:uid="{906CE08F-B2F8-48E9-ADBE-6DE430058A04}"/>
    <cellStyle name="20% - Akzent1 12 6 2 2" xfId="19954" xr:uid="{5861F21D-18C9-4B09-BABE-B206A6F6C616}"/>
    <cellStyle name="20% - Akzent1 12 6 3" xfId="19953" xr:uid="{23065499-A6D8-4538-8001-40B46A1C840B}"/>
    <cellStyle name="20% - Akzent1 12 7" xfId="301" xr:uid="{C48D9481-4B92-4546-A9CC-F4550F84D1EB}"/>
    <cellStyle name="20% - Akzent1 12 7 2" xfId="302" xr:uid="{F7657ACA-7086-43F4-A35C-E5EB498143E0}"/>
    <cellStyle name="20% - Akzent1 12 7 2 2" xfId="19956" xr:uid="{2DF8C9F6-EEB1-4899-A2FF-93C51CD9FA7B}"/>
    <cellStyle name="20% - Akzent1 12 7 3" xfId="19955" xr:uid="{44D1D04D-987C-424E-9CC8-F58D3278E6A9}"/>
    <cellStyle name="20% - Akzent1 12 8" xfId="303" xr:uid="{3A473D93-6331-40D1-A8B6-8348D99E9FB3}"/>
    <cellStyle name="20% - Akzent1 12 8 2" xfId="304" xr:uid="{1CD58D5E-A63F-4859-8987-65980DF44A48}"/>
    <cellStyle name="20% - Akzent1 12 8 2 2" xfId="19958" xr:uid="{A4796C0B-174F-4FBB-A709-26505A0FA976}"/>
    <cellStyle name="20% - Akzent1 12 8 3" xfId="19957" xr:uid="{C2199662-E6EF-4052-9A49-ED28350CE08D}"/>
    <cellStyle name="20% - Akzent1 12 9" xfId="305" xr:uid="{4EDEDB2C-BA4F-4D33-8BB0-2D8CE51B00F5}"/>
    <cellStyle name="20% - Akzent1 12 9 2" xfId="306" xr:uid="{78AA77FE-BF67-4E0C-BBDB-0997594F662A}"/>
    <cellStyle name="20% - Akzent1 12 9 2 2" xfId="19960" xr:uid="{C46748C2-BF8A-412B-8A58-0E0EEC70B98D}"/>
    <cellStyle name="20% - Akzent1 12 9 3" xfId="19959" xr:uid="{BFB584F6-A09B-449C-9B6B-249FE6DC47BE}"/>
    <cellStyle name="20% - Akzent1 13" xfId="307" xr:uid="{D6DDC396-DDF6-4280-9E74-FE8487E6CFBC}"/>
    <cellStyle name="20% - Akzent1 13 10" xfId="308" xr:uid="{88C5D090-DF85-49FA-8BAE-8AD48823D2EE}"/>
    <cellStyle name="20% - Akzent1 13 10 2" xfId="309" xr:uid="{AABFA0F2-2DBB-4AEC-8AD3-1C4913F5937E}"/>
    <cellStyle name="20% - Akzent1 13 10 2 2" xfId="19963" xr:uid="{F91A16C5-880B-4B51-808C-B7199CA4D1D9}"/>
    <cellStyle name="20% - Akzent1 13 10 3" xfId="19962" xr:uid="{1E3E8B71-A159-42F8-961C-A77A2E3B6691}"/>
    <cellStyle name="20% - Akzent1 13 11" xfId="310" xr:uid="{F55176FD-9504-406B-8709-AEBB1A3F7E11}"/>
    <cellStyle name="20% - Akzent1 13 11 2" xfId="311" xr:uid="{01E261A0-0B76-4164-9A32-D37E4CE549E9}"/>
    <cellStyle name="20% - Akzent1 13 11 2 2" xfId="19965" xr:uid="{E2DFF554-B85C-4A77-9998-01154D8900AF}"/>
    <cellStyle name="20% - Akzent1 13 11 3" xfId="19964" xr:uid="{84AD5E8C-DFDC-422B-AF2A-8AB19B989263}"/>
    <cellStyle name="20% - Akzent1 13 12" xfId="312" xr:uid="{35EEAC12-B54C-4577-B261-FE2E69F0C820}"/>
    <cellStyle name="20% - Akzent1 13 12 2" xfId="313" xr:uid="{2A5FA854-F9A8-4BC6-8C0F-449811590F3F}"/>
    <cellStyle name="20% - Akzent1 13 12 2 2" xfId="19967" xr:uid="{21C778FD-080D-4895-88DF-B9BDE6D1449F}"/>
    <cellStyle name="20% - Akzent1 13 12 3" xfId="19966" xr:uid="{2E0B63A4-0C3C-45D0-A201-F65BDB0E6636}"/>
    <cellStyle name="20% - Akzent1 13 13" xfId="314" xr:uid="{36B4E1B0-D183-401F-BFDA-5BD856E66207}"/>
    <cellStyle name="20% - Akzent1 13 13 2" xfId="315" xr:uid="{8F8C3E97-0E15-4D59-9D6B-22DF8F89023D}"/>
    <cellStyle name="20% - Akzent1 13 13 2 2" xfId="19969" xr:uid="{E7282808-BC6C-4E45-8C19-AC060FEC6F79}"/>
    <cellStyle name="20% - Akzent1 13 13 3" xfId="19968" xr:uid="{C97FF41F-E396-4A10-AF67-A271861AD8B4}"/>
    <cellStyle name="20% - Akzent1 13 14" xfId="316" xr:uid="{45CF71CB-31F6-4F97-8323-86B20EF6B14F}"/>
    <cellStyle name="20% - Akzent1 13 15" xfId="19961" xr:uid="{2EE1B53B-BB71-45AB-94BD-FA1569203E00}"/>
    <cellStyle name="20% - Akzent1 13 2" xfId="317" xr:uid="{92692259-CD98-4B8F-88E8-8E94DD669E59}"/>
    <cellStyle name="20% - Akzent1 13 2 2" xfId="318" xr:uid="{88543C69-8106-48BE-9D83-56EE3182DF86}"/>
    <cellStyle name="20% - Akzent1 13 2 2 2" xfId="19971" xr:uid="{459CAF93-C28B-4374-B3F0-E6CA37CEEEB2}"/>
    <cellStyle name="20% - Akzent1 13 2 3" xfId="19970" xr:uid="{F574DE75-AEF3-4496-8E07-5EC3DC684A4A}"/>
    <cellStyle name="20% - Akzent1 13 3" xfId="319" xr:uid="{591B098A-B645-4F92-9374-B9217D38E0E3}"/>
    <cellStyle name="20% - Akzent1 13 3 2" xfId="320" xr:uid="{74E1D737-3C9F-42B4-92B3-D57A15430B9B}"/>
    <cellStyle name="20% - Akzent1 13 3 2 2" xfId="19973" xr:uid="{05F7E899-7C8A-42B7-A5F1-780D69605C16}"/>
    <cellStyle name="20% - Akzent1 13 3 3" xfId="19972" xr:uid="{5F4275C5-C664-4B55-A850-26592751A9D7}"/>
    <cellStyle name="20% - Akzent1 13 4" xfId="321" xr:uid="{00F2F1EF-3A02-47B4-BEF3-F1118DA961BE}"/>
    <cellStyle name="20% - Akzent1 13 4 2" xfId="322" xr:uid="{9CEE33B3-638D-40DD-9245-530EDC64E3CE}"/>
    <cellStyle name="20% - Akzent1 13 4 2 2" xfId="19975" xr:uid="{045A4E42-994F-4B3E-831A-1A1ECF87D481}"/>
    <cellStyle name="20% - Akzent1 13 4 3" xfId="19974" xr:uid="{03A0A791-BB40-4350-A51A-99EED950110C}"/>
    <cellStyle name="20% - Akzent1 13 5" xfId="323" xr:uid="{0A2996B8-0E6C-487D-90C0-591E11E2D90B}"/>
    <cellStyle name="20% - Akzent1 13 5 2" xfId="324" xr:uid="{D53E2E5B-C5DF-432C-932E-D63EB573615A}"/>
    <cellStyle name="20% - Akzent1 13 5 2 2" xfId="19977" xr:uid="{13143696-E902-4DBD-8B6C-6B3097E0BB43}"/>
    <cellStyle name="20% - Akzent1 13 5 3" xfId="19976" xr:uid="{7D2C060E-3ABC-403B-BBC7-DE7C146538FA}"/>
    <cellStyle name="20% - Akzent1 13 6" xfId="325" xr:uid="{626794C1-5C3E-446B-9096-5D97F7C202A3}"/>
    <cellStyle name="20% - Akzent1 13 6 2" xfId="326" xr:uid="{3DFA412B-E73E-469B-B41D-DB46F2D402C7}"/>
    <cellStyle name="20% - Akzent1 13 6 2 2" xfId="19979" xr:uid="{337C9228-6615-4B93-80A6-0EEACBF53F67}"/>
    <cellStyle name="20% - Akzent1 13 6 3" xfId="19978" xr:uid="{5120778E-216A-4D2C-AAA9-FE7C43C7519A}"/>
    <cellStyle name="20% - Akzent1 13 7" xfId="327" xr:uid="{74E607B3-05E9-4D90-9C15-A5B17C9554A7}"/>
    <cellStyle name="20% - Akzent1 13 7 2" xfId="328" xr:uid="{FA0E0773-D6D4-4857-960B-7095AC67F3EE}"/>
    <cellStyle name="20% - Akzent1 13 7 2 2" xfId="19981" xr:uid="{311D4E13-C01E-4EAA-BDCE-E1189CAFEAB6}"/>
    <cellStyle name="20% - Akzent1 13 7 3" xfId="19980" xr:uid="{9584BD2A-D1F2-4026-80AB-957BBC9334E1}"/>
    <cellStyle name="20% - Akzent1 13 8" xfId="329" xr:uid="{B1838653-4C9F-43A9-ADFB-6F5711E3FCD9}"/>
    <cellStyle name="20% - Akzent1 13 8 2" xfId="330" xr:uid="{CE370707-CBA8-4750-95E4-E5940A55AE57}"/>
    <cellStyle name="20% - Akzent1 13 8 2 2" xfId="19983" xr:uid="{236B82AC-D077-4550-9C70-9A8AB739EBEC}"/>
    <cellStyle name="20% - Akzent1 13 8 3" xfId="19982" xr:uid="{0F44F86D-7AB3-4ACD-AD0E-745C18AAC963}"/>
    <cellStyle name="20% - Akzent1 13 9" xfId="331" xr:uid="{422A5318-ADCC-4810-8DD8-C1CFBFCB5ADB}"/>
    <cellStyle name="20% - Akzent1 13 9 2" xfId="332" xr:uid="{BF65F9D4-9DAF-4276-BEE3-2FF76974E15E}"/>
    <cellStyle name="20% - Akzent1 13 9 2 2" xfId="19985" xr:uid="{4557C565-CA6F-478C-99C2-9438669245E7}"/>
    <cellStyle name="20% - Akzent1 13 9 3" xfId="19984" xr:uid="{A9CEA8AB-F552-4BB3-A41E-E01F9A81A776}"/>
    <cellStyle name="20% - Akzent1 14" xfId="333" xr:uid="{2248FD9E-00AF-4BDF-9141-B738BDBA548B}"/>
    <cellStyle name="20% - Akzent1 14 2" xfId="334" xr:uid="{269E717C-1F22-40B2-9B68-6F3975EDDCFC}"/>
    <cellStyle name="20% - Akzent1 14 2 2" xfId="19987" xr:uid="{3625F55D-6F5E-451E-855F-8DA4A5E07C97}"/>
    <cellStyle name="20% - Akzent1 14 3" xfId="335" xr:uid="{944CD221-56E0-41E7-9516-D3173EE6439D}"/>
    <cellStyle name="20% - Akzent1 14 3 2" xfId="19988" xr:uid="{AD88188F-3200-4013-9B09-25A4B8BEEE97}"/>
    <cellStyle name="20% - Akzent1 14 4" xfId="19986" xr:uid="{172B0FBC-1401-4355-9596-585CB30D24CF}"/>
    <cellStyle name="20% - Akzent1 15" xfId="336" xr:uid="{61E18899-65CA-4F80-89F5-09DF9F20AEE9}"/>
    <cellStyle name="20% - Akzent1 15 2" xfId="337" xr:uid="{18948D08-71D7-47C2-BC3F-D86250A230F4}"/>
    <cellStyle name="20% - Akzent1 15 2 2" xfId="19990" xr:uid="{8A1AB353-028D-445F-ABDD-327B6EB89D14}"/>
    <cellStyle name="20% - Akzent1 15 3" xfId="338" xr:uid="{D3361369-4EBC-48E2-B7B0-05FCCA436680}"/>
    <cellStyle name="20% - Akzent1 15 3 2" xfId="19991" xr:uid="{2575B267-1565-415F-908C-7F554922FAD7}"/>
    <cellStyle name="20% - Akzent1 15 4" xfId="19989" xr:uid="{BF48F8C3-70B1-469D-BE8C-D07E46BCC289}"/>
    <cellStyle name="20% - Akzent1 16" xfId="339" xr:uid="{4913C90E-04A7-4213-8E6C-7912759EE367}"/>
    <cellStyle name="20% - Akzent1 16 2" xfId="340" xr:uid="{3C7331F0-6B22-40C3-90A8-1055594DAFDA}"/>
    <cellStyle name="20% - Akzent1 16 2 2" xfId="19993" xr:uid="{28399347-A03E-4B53-B071-9866D684118F}"/>
    <cellStyle name="20% - Akzent1 16 3" xfId="341" xr:uid="{E8945729-9657-40BC-8D0F-6FE08FD3C9EF}"/>
    <cellStyle name="20% - Akzent1 16 3 2" xfId="19994" xr:uid="{27463D9D-FD60-45BC-958E-31480EB72A0A}"/>
    <cellStyle name="20% - Akzent1 16 4" xfId="19992" xr:uid="{E8106333-D04C-4BA1-BC42-F9900642D7DD}"/>
    <cellStyle name="20% - Akzent1 17" xfId="342" xr:uid="{C2E0C813-02B1-4C18-B6BF-3A2C3A0F70D8}"/>
    <cellStyle name="20% - Akzent1 17 2" xfId="343" xr:uid="{C87D3E23-B922-4411-96BD-F1238D08A0D7}"/>
    <cellStyle name="20% - Akzent1 17 2 2" xfId="19996" xr:uid="{4A47C7E2-58C7-450C-AE2F-598130A27B83}"/>
    <cellStyle name="20% - Akzent1 17 3" xfId="344" xr:uid="{7090CE8E-E529-447E-ABEF-178716CBC1C8}"/>
    <cellStyle name="20% - Akzent1 17 3 2" xfId="19997" xr:uid="{C91CC29C-FCF2-49F7-A2DC-C85F27F9B7B0}"/>
    <cellStyle name="20% - Akzent1 17 4" xfId="19995" xr:uid="{CB5C305E-7B8D-4D04-8E1E-23519628819F}"/>
    <cellStyle name="20% - Akzent1 18" xfId="345" xr:uid="{6882A801-F136-48E3-8BD3-E08B81CC32AB}"/>
    <cellStyle name="20% - Akzent1 18 2" xfId="346" xr:uid="{EE3BCE02-717D-4FE6-A7AF-84592CEB5EAA}"/>
    <cellStyle name="20% - Akzent1 18 2 2" xfId="19999" xr:uid="{7F99779F-ABC7-43AC-AD4C-A3555B83FA37}"/>
    <cellStyle name="20% - Akzent1 18 3" xfId="347" xr:uid="{CD0E568E-3D0A-4615-9134-23DF73FF932A}"/>
    <cellStyle name="20% - Akzent1 18 3 2" xfId="20000" xr:uid="{8B9EAAAF-12C0-4C20-89B0-36091D322313}"/>
    <cellStyle name="20% - Akzent1 18 4" xfId="19998" xr:uid="{2AF7C876-C6DF-477C-BC28-9FEEB992D951}"/>
    <cellStyle name="20% - Akzent1 19" xfId="348" xr:uid="{A1A60792-F3AB-4E93-AF66-5A51A5F4B513}"/>
    <cellStyle name="20% - Akzent1 19 2" xfId="349" xr:uid="{53279CCC-405D-45A0-8473-490FC548B8F1}"/>
    <cellStyle name="20% - Akzent1 19 2 2" xfId="20002" xr:uid="{B66D12A6-9E6D-40C6-83B8-26C677877040}"/>
    <cellStyle name="20% - Akzent1 19 3" xfId="350" xr:uid="{9D0AA32F-D0D6-4B98-B625-507EA35AF8AA}"/>
    <cellStyle name="20% - Akzent1 19 3 2" xfId="20003" xr:uid="{0183CDBA-6614-45F8-A9A0-0317C5847FDB}"/>
    <cellStyle name="20% - Akzent1 19 4" xfId="20001" xr:uid="{FC0B2B64-6B76-48CC-AAD0-E4901350A5AD}"/>
    <cellStyle name="20% - Akzent1 2" xfId="97" xr:uid="{A3DB2AAB-4943-423E-AA2A-649137305A01}"/>
    <cellStyle name="20% - Akzent1 2 10" xfId="352" xr:uid="{50E17CC8-CED9-4641-90A1-CCDEF88B36B1}"/>
    <cellStyle name="20% - Akzent1 2 10 2" xfId="353" xr:uid="{DFCDBAFA-D1B7-452D-BA0D-07423577EA14}"/>
    <cellStyle name="20% - Akzent1 2 10 2 2" xfId="20006" xr:uid="{70C6126D-B031-41C5-BF4F-D82427C68506}"/>
    <cellStyle name="20% - Akzent1 2 10 3" xfId="20005" xr:uid="{C4F03F17-5D85-4EF9-892C-62FB2310019E}"/>
    <cellStyle name="20% - Akzent1 2 11" xfId="354" xr:uid="{5B7E160E-4E4A-4539-B332-750565D105BE}"/>
    <cellStyle name="20% - Akzent1 2 11 2" xfId="355" xr:uid="{13D56C03-CF2E-4637-94E2-6CF6EC1C6254}"/>
    <cellStyle name="20% - Akzent1 2 11 2 2" xfId="20008" xr:uid="{836460CC-3784-45CD-9571-939FE785A6F8}"/>
    <cellStyle name="20% - Akzent1 2 11 3" xfId="20007" xr:uid="{3C3B3A7C-EFBF-4524-9578-D34008FC0B63}"/>
    <cellStyle name="20% - Akzent1 2 12" xfId="356" xr:uid="{F62A6A4C-8F9E-43A5-93DE-B8E58B6F4C46}"/>
    <cellStyle name="20% - Akzent1 2 12 2" xfId="357" xr:uid="{9312A019-4A60-4CF8-86C8-DCD5D1BDD529}"/>
    <cellStyle name="20% - Akzent1 2 12 2 2" xfId="20010" xr:uid="{B965649D-725C-49A9-B11D-AD91084536B4}"/>
    <cellStyle name="20% - Akzent1 2 12 3" xfId="20009" xr:uid="{8EA4D16F-A0B8-46BA-8F10-470D2AB4D615}"/>
    <cellStyle name="20% - Akzent1 2 13" xfId="358" xr:uid="{E2058C9E-32B9-44E8-9C73-959E8867E817}"/>
    <cellStyle name="20% - Akzent1 2 13 2" xfId="359" xr:uid="{8EF7E19B-3FA2-4684-B16A-5A7398A331F8}"/>
    <cellStyle name="20% - Akzent1 2 13 2 2" xfId="20012" xr:uid="{0FCD4257-64FB-4303-861E-52C2121FDCD6}"/>
    <cellStyle name="20% - Akzent1 2 13 3" xfId="20011" xr:uid="{98BA1B3F-9DC8-4A2E-9440-D94BF14C4DB0}"/>
    <cellStyle name="20% - Akzent1 2 14" xfId="360" xr:uid="{18D6A874-3171-4ADB-953A-0DCD8CC017EF}"/>
    <cellStyle name="20% - Akzent1 2 14 2" xfId="361" xr:uid="{5DF4A8A4-36B5-43FA-9DA6-C96D5930FCAF}"/>
    <cellStyle name="20% - Akzent1 2 14 2 2" xfId="20014" xr:uid="{377C38FA-306B-496A-AE19-FE41A887C295}"/>
    <cellStyle name="20% - Akzent1 2 14 3" xfId="20013" xr:uid="{EFC2AD6C-FC3F-4287-AEE4-795A47332CC1}"/>
    <cellStyle name="20% - Akzent1 2 15" xfId="362" xr:uid="{7F3D52DC-A50A-46B1-AAF2-7209C851A090}"/>
    <cellStyle name="20% - Akzent1 2 15 2" xfId="363" xr:uid="{A48B0CFE-7617-488C-9F01-EB001BC38DFD}"/>
    <cellStyle name="20% - Akzent1 2 15 2 2" xfId="20016" xr:uid="{A70CF82F-D40C-4375-9ED0-38A9FCD321E2}"/>
    <cellStyle name="20% - Akzent1 2 15 3" xfId="20015" xr:uid="{5706D4BF-EB52-4DFB-BD0D-8D374FB11CE5}"/>
    <cellStyle name="20% - Akzent1 2 16" xfId="364" xr:uid="{8CC91F72-00B0-473F-8D62-663CDFA5FFEC}"/>
    <cellStyle name="20% - Akzent1 2 16 2" xfId="365" xr:uid="{4C0E3C1E-7853-4624-8C8A-49BA9BA1997B}"/>
    <cellStyle name="20% - Akzent1 2 16 2 2" xfId="20018" xr:uid="{577220F3-3EA0-42EE-AD92-AC135ED9890E}"/>
    <cellStyle name="20% - Akzent1 2 16 3" xfId="20017" xr:uid="{0371011E-7451-47D7-867B-D72E146B16E6}"/>
    <cellStyle name="20% - Akzent1 2 17" xfId="366" xr:uid="{77CA794F-7F53-458E-BF9C-134130521BBF}"/>
    <cellStyle name="20% - Akzent1 2 17 2" xfId="367" xr:uid="{0CC0B2A5-8DBC-4128-9F51-A96B64C40E12}"/>
    <cellStyle name="20% - Akzent1 2 17 2 2" xfId="20020" xr:uid="{3F7B0C3D-5D4C-4EDC-A32C-485234B190FC}"/>
    <cellStyle name="20% - Akzent1 2 17 3" xfId="20019" xr:uid="{71ECDE87-08CF-4C47-8ACE-68012124E828}"/>
    <cellStyle name="20% - Akzent1 2 18" xfId="368" xr:uid="{902CACFE-7532-4526-9383-A2E7B9F0F9C7}"/>
    <cellStyle name="20% - Akzent1 2 18 2" xfId="369" xr:uid="{3ABD368E-3D0C-4850-8047-2C1154B96124}"/>
    <cellStyle name="20% - Akzent1 2 18 2 2" xfId="20022" xr:uid="{5079C851-E808-4395-983D-A797F06727EB}"/>
    <cellStyle name="20% - Akzent1 2 18 3" xfId="20021" xr:uid="{49BF5A33-1D41-44DA-8CA5-7185A9E39711}"/>
    <cellStyle name="20% - Akzent1 2 19" xfId="370" xr:uid="{3B976E46-56CC-4DD3-BC30-395CEF55BF11}"/>
    <cellStyle name="20% - Akzent1 2 19 2" xfId="371" xr:uid="{ABCCF337-4B9F-470C-86EC-FDFB2B1CDDF4}"/>
    <cellStyle name="20% - Akzent1 2 19 2 2" xfId="20024" xr:uid="{3170E18B-CD62-4F42-83DA-33658452CD60}"/>
    <cellStyle name="20% - Akzent1 2 19 3" xfId="20023" xr:uid="{2997BA27-7E76-4BB9-90A0-F01A8FBF6CC7}"/>
    <cellStyle name="20% - Akzent1 2 2" xfId="372" xr:uid="{295B7E50-A8D1-4CE6-9005-F1D8F651AEA5}"/>
    <cellStyle name="20% - Akzent1 2 2 10" xfId="373" xr:uid="{EAB33884-AE15-48CA-8EEA-040BF20BEAF8}"/>
    <cellStyle name="20% - Akzent1 2 2 11" xfId="374" xr:uid="{9E6EE6A8-88CA-457D-95EF-642D72B07CB4}"/>
    <cellStyle name="20% - Akzent1 2 2 12" xfId="375" xr:uid="{DEBACB5C-BB09-41B5-9AD6-271C07C30548}"/>
    <cellStyle name="20% - Akzent1 2 2 13" xfId="376" xr:uid="{E3F0D865-3EF1-4C69-9DCE-E687FE9CCD3A}"/>
    <cellStyle name="20% - Akzent1 2 2 13 2" xfId="377" xr:uid="{B564FDE0-984B-4A36-BAC5-96B63C0A9524}"/>
    <cellStyle name="20% - Akzent1 2 2 13 2 2" xfId="20027" xr:uid="{442B3E6C-AAF8-46C2-A52C-555A34920ACC}"/>
    <cellStyle name="20% - Akzent1 2 2 13 3" xfId="20026" xr:uid="{D53324B2-46FC-43FC-97BC-C269A0FE38E0}"/>
    <cellStyle name="20% - Akzent1 2 2 14" xfId="378" xr:uid="{84D0F330-8100-4009-A466-8B79F21C7F59}"/>
    <cellStyle name="20% - Akzent1 2 2 14 2" xfId="379" xr:uid="{ABE9BB51-1F51-4696-91BD-C3F39335802D}"/>
    <cellStyle name="20% - Akzent1 2 2 14 2 2" xfId="20029" xr:uid="{9C9D1496-6DE0-459F-95D9-AF272A72C13A}"/>
    <cellStyle name="20% - Akzent1 2 2 14 3" xfId="20028" xr:uid="{61AE9EBB-16F7-4079-A8CE-198A72BD6310}"/>
    <cellStyle name="20% - Akzent1 2 2 15" xfId="380" xr:uid="{C713BAD2-8576-4940-9D69-0DD33C77469B}"/>
    <cellStyle name="20% - Akzent1 2 2 15 2" xfId="381" xr:uid="{D03DE0FE-7F47-4A1E-BAED-E37C6AE6F140}"/>
    <cellStyle name="20% - Akzent1 2 2 15 2 2" xfId="20031" xr:uid="{47E5710E-0B9F-4E23-8A3E-0545F6941BC7}"/>
    <cellStyle name="20% - Akzent1 2 2 15 3" xfId="20030" xr:uid="{06418B4B-6362-47F5-908E-8DC667EE27F6}"/>
    <cellStyle name="20% - Akzent1 2 2 16" xfId="382" xr:uid="{897B3086-1F6B-46C2-92B5-5E9CAF27E80A}"/>
    <cellStyle name="20% - Akzent1 2 2 16 2" xfId="383" xr:uid="{092E388E-457A-4751-995A-4E5654C7EEF0}"/>
    <cellStyle name="20% - Akzent1 2 2 16 2 2" xfId="20033" xr:uid="{552692C9-B8C2-44F2-8C89-3D35C4E9F662}"/>
    <cellStyle name="20% - Akzent1 2 2 16 3" xfId="20032" xr:uid="{4F3BFC7D-E0D5-4D9E-9FB0-FABC320C0EA2}"/>
    <cellStyle name="20% - Akzent1 2 2 17" xfId="384" xr:uid="{F4B994F2-3922-4FF6-BBBE-213DEFA7895A}"/>
    <cellStyle name="20% - Akzent1 2 2 17 2" xfId="385" xr:uid="{EE4127CC-A67E-4E28-81F8-B391E87589CB}"/>
    <cellStyle name="20% - Akzent1 2 2 17 2 2" xfId="20035" xr:uid="{2B5E1E1D-0DEE-432D-8080-F4725A936CB4}"/>
    <cellStyle name="20% - Akzent1 2 2 17 3" xfId="20034" xr:uid="{25C5B61F-AD58-44D3-8454-B39D2A442489}"/>
    <cellStyle name="20% - Akzent1 2 2 18" xfId="386" xr:uid="{795DAB24-B2EB-45FE-91A3-3872D6FCD74A}"/>
    <cellStyle name="20% - Akzent1 2 2 18 2" xfId="387" xr:uid="{FBC1DFC3-9C08-4F93-A1D5-A904DDFD2104}"/>
    <cellStyle name="20% - Akzent1 2 2 18 2 2" xfId="20037" xr:uid="{BFA4E260-422D-4E5B-9EB3-F1C4A9AE274C}"/>
    <cellStyle name="20% - Akzent1 2 2 18 3" xfId="20036" xr:uid="{A7667D06-E823-4CB2-BAA6-DF30AA3D9113}"/>
    <cellStyle name="20% - Akzent1 2 2 19" xfId="388" xr:uid="{E151BC17-86AB-41FA-8DD2-80125C39E2FA}"/>
    <cellStyle name="20% - Akzent1 2 2 19 2" xfId="389" xr:uid="{4E1119F8-216B-43E9-9DE7-6459186288D8}"/>
    <cellStyle name="20% - Akzent1 2 2 19 2 2" xfId="20039" xr:uid="{80351FC6-23DB-4207-B282-612B174A2736}"/>
    <cellStyle name="20% - Akzent1 2 2 19 3" xfId="20038" xr:uid="{B077BD4D-0AA2-4D48-B71F-D2E8B42DA412}"/>
    <cellStyle name="20% - Akzent1 2 2 2" xfId="390" xr:uid="{904F5E1B-EAA9-4082-936E-50CA19F3BDDE}"/>
    <cellStyle name="20% - Akzent1 2 2 2 10" xfId="391" xr:uid="{C7E8B136-4F29-4258-B56E-99C30358D61D}"/>
    <cellStyle name="20% - Akzent1 2 2 2 10 2" xfId="392" xr:uid="{6399A17A-B678-47D6-BC84-1C32A4043080}"/>
    <cellStyle name="20% - Akzent1 2 2 2 10 2 2" xfId="20042" xr:uid="{6A45F3E7-57A3-45FF-BEE3-8D5C6A2AE7EC}"/>
    <cellStyle name="20% - Akzent1 2 2 2 10 3" xfId="20041" xr:uid="{DC7A054C-CE27-41A9-85F4-642F759DB6AA}"/>
    <cellStyle name="20% - Akzent1 2 2 2 11" xfId="393" xr:uid="{7C61931B-EAFD-4B63-9BDB-C1C6911CEC87}"/>
    <cellStyle name="20% - Akzent1 2 2 2 11 2" xfId="20043" xr:uid="{867163D6-FA9D-46B6-87EC-69113984F7FB}"/>
    <cellStyle name="20% - Akzent1 2 2 2 12" xfId="20040" xr:uid="{EA185A48-9E6B-48D0-BB19-26D39A81A841}"/>
    <cellStyle name="20% - Akzent1 2 2 2 13" xfId="39901" xr:uid="{4646FF45-5502-45E4-B824-185E84728054}"/>
    <cellStyle name="20% - Akzent1 2 2 2 2" xfId="394" xr:uid="{8729483B-B933-48E8-9846-4C16E7FC2C52}"/>
    <cellStyle name="20% - Akzent1 2 2 2 2 2" xfId="395" xr:uid="{3A4F89AD-CBD8-44AE-A66C-98A73692E095}"/>
    <cellStyle name="20% - Akzent1 2 2 2 2 2 10" xfId="20044" xr:uid="{C97C73C5-3E37-4F59-88F2-C1E4F1EACD86}"/>
    <cellStyle name="20% - Akzent1 2 2 2 2 2 2" xfId="396" xr:uid="{BB1C5E35-4B4B-4C79-91E6-FBE30D9977DD}"/>
    <cellStyle name="20% - Akzent1 2 2 2 2 2 2 2" xfId="397" xr:uid="{5CA6C093-D96B-4BD2-B3E2-4BF85815F58A}"/>
    <cellStyle name="20% - Akzent1 2 2 2 2 2 2 2 2" xfId="398" xr:uid="{DA15BC34-B146-4AE5-9D35-0300C124C596}"/>
    <cellStyle name="20% - Akzent1 2 2 2 2 2 2 2 2 2" xfId="20046" xr:uid="{3E01AF4B-D2F4-4D83-8701-3FA596FBA8AC}"/>
    <cellStyle name="20% - Akzent1 2 2 2 2 2 2 2 3" xfId="20045" xr:uid="{FEB64D5A-E68B-4EE4-AC66-4ADB387DD539}"/>
    <cellStyle name="20% - Akzent1 2 2 2 2 2 3" xfId="399" xr:uid="{277E1AD1-20F5-4F14-9387-F050C4DC9B87}"/>
    <cellStyle name="20% - Akzent1 2 2 2 2 2 3 2" xfId="400" xr:uid="{E75A4FEF-DC51-4B36-8AE9-1B0F2BF7FBFB}"/>
    <cellStyle name="20% - Akzent1 2 2 2 2 2 3 2 2" xfId="20048" xr:uid="{A059532B-AAEE-4DEC-B631-0693F5AC629F}"/>
    <cellStyle name="20% - Akzent1 2 2 2 2 2 3 3" xfId="20047" xr:uid="{3D1763F4-30DA-481B-B63A-F04E3FCEA384}"/>
    <cellStyle name="20% - Akzent1 2 2 2 2 2 4" xfId="401" xr:uid="{AA8768C5-A05C-4716-8C4E-6D67287C01FC}"/>
    <cellStyle name="20% - Akzent1 2 2 2 2 2 4 2" xfId="402" xr:uid="{D4FF6538-B3B5-4EF1-9AEA-B16F4CAAEF11}"/>
    <cellStyle name="20% - Akzent1 2 2 2 2 2 4 2 2" xfId="20050" xr:uid="{319CED88-3111-4BE7-A64A-70BB454C9442}"/>
    <cellStyle name="20% - Akzent1 2 2 2 2 2 4 3" xfId="20049" xr:uid="{4ED8693F-DE1A-4922-9678-ECD936120BA9}"/>
    <cellStyle name="20% - Akzent1 2 2 2 2 2 5" xfId="403" xr:uid="{D02CB84F-04C7-4941-B598-D9FF254C6180}"/>
    <cellStyle name="20% - Akzent1 2 2 2 2 2 5 2" xfId="404" xr:uid="{C023D239-4BC9-4B7E-A793-74F90FDBF09A}"/>
    <cellStyle name="20% - Akzent1 2 2 2 2 2 5 2 2" xfId="20052" xr:uid="{68EA82AB-B069-41BA-8733-8B365B9D21D8}"/>
    <cellStyle name="20% - Akzent1 2 2 2 2 2 5 3" xfId="20051" xr:uid="{5F8591C3-DF86-45AC-8AF7-6FAF29A32E86}"/>
    <cellStyle name="20% - Akzent1 2 2 2 2 2 6" xfId="405" xr:uid="{E5A8DB31-C87C-4532-A6F1-3051E760CE51}"/>
    <cellStyle name="20% - Akzent1 2 2 2 2 2 6 2" xfId="406" xr:uid="{20FAC176-0A8B-47A8-8D70-97CBF372CF49}"/>
    <cellStyle name="20% - Akzent1 2 2 2 2 2 6 2 2" xfId="20054" xr:uid="{B29EFC18-3819-4F76-9B64-BB8465CEDEA2}"/>
    <cellStyle name="20% - Akzent1 2 2 2 2 2 6 3" xfId="20053" xr:uid="{A1B09984-3C01-4E30-B035-8AA33CAD445D}"/>
    <cellStyle name="20% - Akzent1 2 2 2 2 2 7" xfId="407" xr:uid="{3F347DEE-7E50-4024-AF41-23BB20E0588F}"/>
    <cellStyle name="20% - Akzent1 2 2 2 2 2 7 2" xfId="408" xr:uid="{71692E1B-C594-4903-AC73-3283BD6FA35F}"/>
    <cellStyle name="20% - Akzent1 2 2 2 2 2 7 2 2" xfId="20056" xr:uid="{4A7B9560-8557-4E6F-8753-355774A5ED5E}"/>
    <cellStyle name="20% - Akzent1 2 2 2 2 2 7 3" xfId="20055" xr:uid="{CA077E09-5147-4152-B19F-9A9DE0B538F5}"/>
    <cellStyle name="20% - Akzent1 2 2 2 2 2 8" xfId="409" xr:uid="{5687621E-370D-43D9-8A96-DE63FD3F867B}"/>
    <cellStyle name="20% - Akzent1 2 2 2 2 2 8 2" xfId="410" xr:uid="{6C0F4412-6874-43D3-9EC4-A18804589398}"/>
    <cellStyle name="20% - Akzent1 2 2 2 2 2 8 2 2" xfId="20058" xr:uid="{E5D28B29-726D-4EAD-BBCD-810850710C03}"/>
    <cellStyle name="20% - Akzent1 2 2 2 2 2 8 3" xfId="20057" xr:uid="{F4619676-CE11-478A-BC96-731BFEC69758}"/>
    <cellStyle name="20% - Akzent1 2 2 2 2 2 9" xfId="411" xr:uid="{427CAB53-5FF0-4C68-91A5-728FB4D1950C}"/>
    <cellStyle name="20% - Akzent1 2 2 2 2 2 9 2" xfId="20059" xr:uid="{CF23AC8F-BF9C-44DE-8DA7-FF3E2F59CFCE}"/>
    <cellStyle name="20% - Akzent1 2 2 2 2 3" xfId="412" xr:uid="{478BD4E1-B070-4874-A170-419C58E70413}"/>
    <cellStyle name="20% - Akzent1 2 2 2 2 3 2" xfId="413" xr:uid="{0446DE6B-EE5A-4A48-AB75-781AFE3B4765}"/>
    <cellStyle name="20% - Akzent1 2 2 2 2 3 3" xfId="414" xr:uid="{19EFA937-91EB-4A57-8EDE-D0350A780028}"/>
    <cellStyle name="20% - Akzent1 2 2 2 2 3 3 2" xfId="20061" xr:uid="{F4417E0C-E5E9-44F6-8D82-8309BC46DCAC}"/>
    <cellStyle name="20% - Akzent1 2 2 2 2 3 4" xfId="20060" xr:uid="{2FC38524-C585-4850-9542-50251F2BB8F1}"/>
    <cellStyle name="20% - Akzent1 2 2 2 2 4" xfId="415" xr:uid="{6E1762FE-FF19-4616-A5D3-191F250B6ED1}"/>
    <cellStyle name="20% - Akzent1 2 2 2 2 5" xfId="416" xr:uid="{EB5D369E-AA58-4336-A3AE-DC5F7B3CA7DA}"/>
    <cellStyle name="20% - Akzent1 2 2 2 2 6" xfId="417" xr:uid="{BBABC7DC-01C7-4281-B5EC-2783C4580D00}"/>
    <cellStyle name="20% - Akzent1 2 2 2 2 7" xfId="418" xr:uid="{E142A4A9-E2F5-4452-84D9-2B129920411F}"/>
    <cellStyle name="20% - Akzent1 2 2 2 2 8" xfId="419" xr:uid="{25359BCC-1001-4F43-8FF2-56B794CAD778}"/>
    <cellStyle name="20% - Akzent1 2 2 2 2 9" xfId="40847" xr:uid="{CA35ABA5-974D-47B4-B2F3-442EA6339D42}"/>
    <cellStyle name="20% - Akzent1 2 2 2 3" xfId="420" xr:uid="{8121DCED-92AD-4DB2-854A-BCC370F3E674}"/>
    <cellStyle name="20% - Akzent1 2 2 2 3 2" xfId="421" xr:uid="{7462CDFB-441E-4B72-A533-1591BF119D90}"/>
    <cellStyle name="20% - Akzent1 2 2 2 3 2 2" xfId="20063" xr:uid="{10BA1A31-3CB0-4E0B-9C40-DBA9697074C1}"/>
    <cellStyle name="20% - Akzent1 2 2 2 3 3" xfId="20062" xr:uid="{DBD46820-D772-4D9D-B69C-C134305E3B62}"/>
    <cellStyle name="20% - Akzent1 2 2 2 3 4" xfId="41707" xr:uid="{320B4AA2-34C2-4DDB-A881-73EAC8F06394}"/>
    <cellStyle name="20% - Akzent1 2 2 2 4" xfId="422" xr:uid="{D5535575-FC6C-48AA-B0BB-978347C3847F}"/>
    <cellStyle name="20% - Akzent1 2 2 2 4 2" xfId="423" xr:uid="{0D5F8DA4-4CD6-4EA8-A762-1DD8DB2DD5F4}"/>
    <cellStyle name="20% - Akzent1 2 2 2 4 2 2" xfId="20065" xr:uid="{B470658F-4A02-4EFF-A17C-56F9CAC01F2B}"/>
    <cellStyle name="20% - Akzent1 2 2 2 4 3" xfId="20064" xr:uid="{84EEC4D1-D71E-4011-990A-D3A49CB0AF7F}"/>
    <cellStyle name="20% - Akzent1 2 2 2 5" xfId="424" xr:uid="{A6996EDA-6DD8-40DF-BECF-614E595E9A32}"/>
    <cellStyle name="20% - Akzent1 2 2 2 5 2" xfId="425" xr:uid="{F3A7F8B6-2ED7-4C0C-9987-40B7D02D1358}"/>
    <cellStyle name="20% - Akzent1 2 2 2 5 2 2" xfId="426" xr:uid="{D912EC2C-731B-4B7F-8033-2EE01B91F8EC}"/>
    <cellStyle name="20% - Akzent1 2 2 2 5 2 2 2" xfId="20067" xr:uid="{296A6DE3-6B4D-48E6-8B9D-7205B83A7810}"/>
    <cellStyle name="20% - Akzent1 2 2 2 5 2 3" xfId="20066" xr:uid="{F6E07B6D-63D4-4698-87BF-6F675102019F}"/>
    <cellStyle name="20% - Akzent1 2 2 2 6" xfId="427" xr:uid="{8946D4B6-B3F1-4427-98A3-4037C3B06841}"/>
    <cellStyle name="20% - Akzent1 2 2 2 6 2" xfId="428" xr:uid="{7493F9CA-F52A-4403-B866-72E88C134B18}"/>
    <cellStyle name="20% - Akzent1 2 2 2 6 2 2" xfId="20069" xr:uid="{C66B4626-74D7-40E3-9A16-B8846CDE0867}"/>
    <cellStyle name="20% - Akzent1 2 2 2 6 3" xfId="20068" xr:uid="{FC1A92AB-8393-4B9E-8931-34C3C2DBA7A4}"/>
    <cellStyle name="20% - Akzent1 2 2 2 7" xfId="429" xr:uid="{58F8D356-D680-4F59-9C13-B49AB866C08B}"/>
    <cellStyle name="20% - Akzent1 2 2 2 7 2" xfId="430" xr:uid="{27B6439F-A76B-4FA7-99C1-31E9AF593405}"/>
    <cellStyle name="20% - Akzent1 2 2 2 7 2 2" xfId="20071" xr:uid="{F7C6D283-F54E-4485-B089-D19906705F66}"/>
    <cellStyle name="20% - Akzent1 2 2 2 7 3" xfId="20070" xr:uid="{B84C9499-8FF8-456B-BEB6-341B607A513D}"/>
    <cellStyle name="20% - Akzent1 2 2 2 8" xfId="431" xr:uid="{9087FB74-B2B8-49EC-9A84-0FBFCBB7C1B4}"/>
    <cellStyle name="20% - Akzent1 2 2 2 8 2" xfId="432" xr:uid="{7E65FA7C-17D6-4FD0-BC35-20E8A9F96178}"/>
    <cellStyle name="20% - Akzent1 2 2 2 8 2 2" xfId="20073" xr:uid="{0DFF10DF-504A-475B-8F2F-56B8DE960EDB}"/>
    <cellStyle name="20% - Akzent1 2 2 2 8 3" xfId="20072" xr:uid="{2C550D55-9B28-4E8E-98AF-EEB73BE1E769}"/>
    <cellStyle name="20% - Akzent1 2 2 2 9" xfId="433" xr:uid="{A1BF3FDD-C9DE-4198-9418-FF5E5308FF47}"/>
    <cellStyle name="20% - Akzent1 2 2 2 9 2" xfId="434" xr:uid="{D891BABD-56A3-470F-9A88-D0B5A6B519CC}"/>
    <cellStyle name="20% - Akzent1 2 2 2 9 2 2" xfId="20075" xr:uid="{9499D539-0AF0-4168-928A-764BD981DC48}"/>
    <cellStyle name="20% - Akzent1 2 2 2 9 3" xfId="20074" xr:uid="{8E09378D-2A6A-4D18-8158-207ED52A77C4}"/>
    <cellStyle name="20% - Akzent1 2 2 20" xfId="435" xr:uid="{1DFFCF3A-E073-44A1-9B4D-9DF8B8D0089B}"/>
    <cellStyle name="20% - Akzent1 2 2 20 2" xfId="436" xr:uid="{8A343D7A-87A1-426B-A2C4-77C6740DAFE1}"/>
    <cellStyle name="20% - Akzent1 2 2 20 2 2" xfId="20077" xr:uid="{C66931AC-9501-463D-B723-20C0EE4C6973}"/>
    <cellStyle name="20% - Akzent1 2 2 20 3" xfId="20076" xr:uid="{9C1E7FCF-5CE9-4820-8C3A-22CACD8EA272}"/>
    <cellStyle name="20% - Akzent1 2 2 21" xfId="437" xr:uid="{FDD52B51-38BD-4F81-9579-C24F223B60A5}"/>
    <cellStyle name="20% - Akzent1 2 2 21 2" xfId="438" xr:uid="{984F97D2-C481-4833-AB10-936A803D1750}"/>
    <cellStyle name="20% - Akzent1 2 2 21 2 2" xfId="20079" xr:uid="{842D0424-3F35-4DE6-A122-DF2268E97AAC}"/>
    <cellStyle name="20% - Akzent1 2 2 21 3" xfId="20078" xr:uid="{57D60762-79D9-48E8-8596-23968011EF1E}"/>
    <cellStyle name="20% - Akzent1 2 2 22" xfId="439" xr:uid="{22CA88E0-127F-4B9B-BB68-CFC012CC712A}"/>
    <cellStyle name="20% - Akzent1 2 2 22 2" xfId="20080" xr:uid="{8A75F651-214B-4960-AB8B-DE94C929E01A}"/>
    <cellStyle name="20% - Akzent1 2 2 23" xfId="20025" xr:uid="{72AE3160-AB65-408C-B7B2-7E7DCE4D5C96}"/>
    <cellStyle name="20% - Akzent1 2 2 24" xfId="39274" xr:uid="{8ED0FFD0-CB28-492C-9EDB-5C4283665506}"/>
    <cellStyle name="20% - Akzent1 2 2 3" xfId="440" xr:uid="{C9F9BFF2-A7FC-41E3-917C-CBCF1683E950}"/>
    <cellStyle name="20% - Akzent1 2 2 3 2" xfId="441" xr:uid="{68CA05EA-A6B5-473F-88DD-8071A02342F0}"/>
    <cellStyle name="20% - Akzent1 2 2 3 2 2" xfId="20082" xr:uid="{8125445B-2E2A-49E8-86CC-327C839427E9}"/>
    <cellStyle name="20% - Akzent1 2 2 3 3" xfId="20081" xr:uid="{680626CB-3D28-4102-9E3E-32E63F85688E}"/>
    <cellStyle name="20% - Akzent1 2 2 3 4" xfId="40431" xr:uid="{4D2BD53C-73E3-4537-8476-2CF7E606FAEB}"/>
    <cellStyle name="20% - Akzent1 2 2 4" xfId="442" xr:uid="{8149C2E9-A3CF-4030-AC83-8254D510C783}"/>
    <cellStyle name="20% - Akzent1 2 2 4 2" xfId="443" xr:uid="{C0DD6A15-3618-44D2-AFFA-854B212E1738}"/>
    <cellStyle name="20% - Akzent1 2 2 4 2 2" xfId="20084" xr:uid="{EF2D234E-18E0-40C8-80BB-D16632A30B23}"/>
    <cellStyle name="20% - Akzent1 2 2 4 3" xfId="20083" xr:uid="{1C1A7352-C947-4B6F-85ED-A6AEFFB8729F}"/>
    <cellStyle name="20% - Akzent1 2 2 4 4" xfId="41291" xr:uid="{80E9F9D2-898C-409F-B516-49171E1ABC1D}"/>
    <cellStyle name="20% - Akzent1 2 2 5" xfId="444" xr:uid="{2F42AE30-8A42-42AB-B17C-B41DE0275F54}"/>
    <cellStyle name="20% - Akzent1 2 2 5 2" xfId="445" xr:uid="{9AB10AEA-B317-4237-A645-0843817E8A1A}"/>
    <cellStyle name="20% - Akzent1 2 2 5 3" xfId="446" xr:uid="{41821430-776F-4635-8E3C-2AF24E382915}"/>
    <cellStyle name="20% - Akzent1 2 2 5 3 2" xfId="20086" xr:uid="{03E21A50-A976-4BF5-B764-B6D8F1EC0799}"/>
    <cellStyle name="20% - Akzent1 2 2 5 4" xfId="20085" xr:uid="{DBBC97C9-06BE-4221-87B5-02849F62601F}"/>
    <cellStyle name="20% - Akzent1 2 2 6" xfId="447" xr:uid="{3205DC7F-2EB7-4418-AE2F-280C0133D1F7}"/>
    <cellStyle name="20% - Akzent1 2 2 7" xfId="448" xr:uid="{31F191E6-DBFF-4EF1-A5B6-70B51D140C08}"/>
    <cellStyle name="20% - Akzent1 2 2 7 2" xfId="449" xr:uid="{D70E0580-C655-4CC7-83AA-5AD7119D7221}"/>
    <cellStyle name="20% - Akzent1 2 2 7 3" xfId="450" xr:uid="{E2E7CEF4-7DA1-462B-8EFA-7EF1570B5ECF}"/>
    <cellStyle name="20% - Akzent1 2 2 7 3 2" xfId="20088" xr:uid="{5CBDCD3D-3821-4A6A-9D7B-90F7A028E892}"/>
    <cellStyle name="20% - Akzent1 2 2 7 4" xfId="20087" xr:uid="{A5EDA0E2-2996-4B33-BEDD-CAEF1F9ADD51}"/>
    <cellStyle name="20% - Akzent1 2 2 8" xfId="451" xr:uid="{6E1567B7-4379-42D2-927D-3BC420771B8C}"/>
    <cellStyle name="20% - Akzent1 2 2 9" xfId="452" xr:uid="{CD79F6BC-DBDC-49F2-86D7-718DF945D96C}"/>
    <cellStyle name="20% - Akzent1 2 20" xfId="453" xr:uid="{3790BCAA-CF85-4845-BE04-BD8AB0AB383D}"/>
    <cellStyle name="20% - Akzent1 2 20 2" xfId="454" xr:uid="{049A58C5-E34F-4EB3-8E90-6BD2515FC391}"/>
    <cellStyle name="20% - Akzent1 2 20 2 2" xfId="20090" xr:uid="{8B5708E6-6609-407D-9F2B-5696A4BF8ABC}"/>
    <cellStyle name="20% - Akzent1 2 20 3" xfId="20089" xr:uid="{26C1071F-881B-4DBF-8C30-EA79DB964596}"/>
    <cellStyle name="20% - Akzent1 2 21" xfId="455" xr:uid="{81511B0B-97C8-4AEA-958E-33CAC0197332}"/>
    <cellStyle name="20% - Akzent1 2 21 2" xfId="456" xr:uid="{66C9F614-F736-473B-BB27-661AF8723781}"/>
    <cellStyle name="20% - Akzent1 2 21 2 2" xfId="20092" xr:uid="{6EE5A9DA-4FE0-40AA-B244-3B959EDC2580}"/>
    <cellStyle name="20% - Akzent1 2 21 3" xfId="20091" xr:uid="{5A6BF0ED-2C06-4DBB-AFC1-29D690005FD8}"/>
    <cellStyle name="20% - Akzent1 2 22" xfId="457" xr:uid="{2CC04F42-86C5-4818-9D74-424060ABAB17}"/>
    <cellStyle name="20% - Akzent1 2 22 2" xfId="458" xr:uid="{DE1BFBDB-B4D6-4574-8997-80C11A11399D}"/>
    <cellStyle name="20% - Akzent1 2 22 2 2" xfId="20094" xr:uid="{0C85A024-66F5-4C96-BCF5-EC6DA85F9DEC}"/>
    <cellStyle name="20% - Akzent1 2 22 3" xfId="20093" xr:uid="{C877FBE4-62D0-4C7A-B834-5BFFE1A03B45}"/>
    <cellStyle name="20% - Akzent1 2 23" xfId="459" xr:uid="{CA0D0767-AE3A-4CE6-9980-4FFFD2B1CC25}"/>
    <cellStyle name="20% - Akzent1 2 23 2" xfId="460" xr:uid="{0E3447BC-D3A3-45B1-9851-D9962E0F93E3}"/>
    <cellStyle name="20% - Akzent1 2 23 2 2" xfId="20096" xr:uid="{03D60499-07D1-4051-891D-66E687A49BDB}"/>
    <cellStyle name="20% - Akzent1 2 23 3" xfId="20095" xr:uid="{5E57E9CB-0B61-4449-96C5-80F387F88A5E}"/>
    <cellStyle name="20% - Akzent1 2 24" xfId="461" xr:uid="{E233C88D-EE0D-451B-A030-608BF2B22097}"/>
    <cellStyle name="20% - Akzent1 2 25" xfId="20004" xr:uid="{A4A3CFE6-B9D9-4590-82CB-D72BA97D9A17}"/>
    <cellStyle name="20% - Akzent1 2 26" xfId="39273" xr:uid="{528569B1-5F8E-40A2-B15A-93CB9F5DA47D}"/>
    <cellStyle name="20% - Akzent1 2 27" xfId="351" xr:uid="{B6FED68B-A0C2-436E-8254-D42173B5EDE9}"/>
    <cellStyle name="20% - Akzent1 2 3" xfId="462" xr:uid="{4752EE86-F23C-4C99-8F7F-7A307C9900AD}"/>
    <cellStyle name="20% - Akzent1 2 3 10" xfId="463" xr:uid="{2C58ED49-83BB-4AAF-999A-B1B326CA4780}"/>
    <cellStyle name="20% - Akzent1 2 3 10 2" xfId="464" xr:uid="{A852D3A0-0B4B-4EC5-AD60-C94327CEAE33}"/>
    <cellStyle name="20% - Akzent1 2 3 10 2 2" xfId="20099" xr:uid="{9BCE8D08-8753-4C72-A736-C242BAB8C0F3}"/>
    <cellStyle name="20% - Akzent1 2 3 10 3" xfId="20098" xr:uid="{D35B4348-C1D8-4B54-BE20-AADBCBA88568}"/>
    <cellStyle name="20% - Akzent1 2 3 11" xfId="465" xr:uid="{0E8A6288-3B16-4C6C-97D6-9C3A2D8948BB}"/>
    <cellStyle name="20% - Akzent1 2 3 11 2" xfId="466" xr:uid="{DF8A20B4-7088-4430-814A-3D46AFAB3731}"/>
    <cellStyle name="20% - Akzent1 2 3 11 2 2" xfId="20101" xr:uid="{9EE41147-B558-4428-AAB2-505683EBB50D}"/>
    <cellStyle name="20% - Akzent1 2 3 11 3" xfId="20100" xr:uid="{7D0F87F1-FCB6-469F-ACE0-630EA3AE1B4D}"/>
    <cellStyle name="20% - Akzent1 2 3 12" xfId="467" xr:uid="{1F7963D8-9090-45D9-8972-2EB3AB045D2D}"/>
    <cellStyle name="20% - Akzent1 2 3 12 2" xfId="468" xr:uid="{C09667FA-A50E-4C57-B37A-E67B74F73FEE}"/>
    <cellStyle name="20% - Akzent1 2 3 12 2 2" xfId="20103" xr:uid="{E7F845EC-DD2A-44B9-82AD-8D58BD9BAA8C}"/>
    <cellStyle name="20% - Akzent1 2 3 12 3" xfId="20102" xr:uid="{0237EE40-3504-4B12-BCCC-6B7FCD0ACB50}"/>
    <cellStyle name="20% - Akzent1 2 3 13" xfId="469" xr:uid="{73576570-A64A-4CAF-8630-67BF6322FFE2}"/>
    <cellStyle name="20% - Akzent1 2 3 13 2" xfId="470" xr:uid="{1A38D07D-76DD-43E8-AEE6-1E1A25490D51}"/>
    <cellStyle name="20% - Akzent1 2 3 13 2 2" xfId="20105" xr:uid="{B5CCFCAC-7826-46E1-9EA3-A5724D9C7771}"/>
    <cellStyle name="20% - Akzent1 2 3 13 3" xfId="20104" xr:uid="{DC027A0A-A8AA-4570-BF2A-B722D9F7B44E}"/>
    <cellStyle name="20% - Akzent1 2 3 14" xfId="471" xr:uid="{89C1A9A9-C5CE-4D1F-B773-EC5F0C65A764}"/>
    <cellStyle name="20% - Akzent1 2 3 14 2" xfId="472" xr:uid="{160567C3-E6FC-4B6E-ADBB-D95216C61206}"/>
    <cellStyle name="20% - Akzent1 2 3 14 2 2" xfId="20107" xr:uid="{2AF833C5-3966-4129-A2D3-0FFC625A9B8B}"/>
    <cellStyle name="20% - Akzent1 2 3 14 3" xfId="20106" xr:uid="{C163FA8C-DDE1-47D4-8C2F-659A169F6220}"/>
    <cellStyle name="20% - Akzent1 2 3 15" xfId="473" xr:uid="{2B832F0F-E6B4-4541-885E-8493B90B3A0B}"/>
    <cellStyle name="20% - Akzent1 2 3 15 2" xfId="474" xr:uid="{63B5AABF-E10B-428C-850A-3CC05BCFDFF0}"/>
    <cellStyle name="20% - Akzent1 2 3 15 2 2" xfId="20109" xr:uid="{834A15B2-662A-4425-8E4F-96D1EEEA74E8}"/>
    <cellStyle name="20% - Akzent1 2 3 15 3" xfId="20108" xr:uid="{E5723E0F-0D5B-4E0A-A17E-A55D1B9E4BE0}"/>
    <cellStyle name="20% - Akzent1 2 3 16" xfId="475" xr:uid="{5DE44CAB-FDAF-42BE-A600-54E251547D2B}"/>
    <cellStyle name="20% - Akzent1 2 3 16 2" xfId="476" xr:uid="{156EBE48-6187-4C49-8213-95034C122A7D}"/>
    <cellStyle name="20% - Akzent1 2 3 16 2 2" xfId="20111" xr:uid="{9C6B0A82-410D-4ECC-BAB4-612855DE17E6}"/>
    <cellStyle name="20% - Akzent1 2 3 16 3" xfId="20110" xr:uid="{A55A657F-1709-450E-82AC-41C6D47E7724}"/>
    <cellStyle name="20% - Akzent1 2 3 17" xfId="477" xr:uid="{76D6E4A3-4A91-4D2F-AA6C-4593B176CBF1}"/>
    <cellStyle name="20% - Akzent1 2 3 17 2" xfId="478" xr:uid="{6B32AF37-E4A6-4674-93DB-11EBECFFB14B}"/>
    <cellStyle name="20% - Akzent1 2 3 17 2 2" xfId="20113" xr:uid="{9CDA43EE-EB65-4ADA-87AA-156B5AD7D4A0}"/>
    <cellStyle name="20% - Akzent1 2 3 17 3" xfId="20112" xr:uid="{C70D94BE-B20F-4C42-B505-D89FD80FEA00}"/>
    <cellStyle name="20% - Akzent1 2 3 18" xfId="479" xr:uid="{8E319C4C-42B8-4DED-A083-6A76A41B8CE5}"/>
    <cellStyle name="20% - Akzent1 2 3 18 2" xfId="480" xr:uid="{217CBFF3-68E3-4A51-97B0-94A50EC67EBF}"/>
    <cellStyle name="20% - Akzent1 2 3 18 2 2" xfId="20115" xr:uid="{DDF58C58-56D4-4CE8-8DCA-E74DF9D2621B}"/>
    <cellStyle name="20% - Akzent1 2 3 18 3" xfId="20114" xr:uid="{245D96B0-EB44-4DE8-BB70-29C8F02BD4F5}"/>
    <cellStyle name="20% - Akzent1 2 3 19" xfId="481" xr:uid="{61B6B4B8-EDF6-46C3-8AE3-48FA3EF7350A}"/>
    <cellStyle name="20% - Akzent1 2 3 19 2" xfId="482" xr:uid="{199341E2-A95C-4F98-80AA-D54B5390A911}"/>
    <cellStyle name="20% - Akzent1 2 3 19 2 2" xfId="20117" xr:uid="{A6EC9480-1A8A-40D0-9DA0-4A96CBCEED8A}"/>
    <cellStyle name="20% - Akzent1 2 3 19 3" xfId="20116" xr:uid="{F21814B5-DBAE-494F-94CF-465127DFFB72}"/>
    <cellStyle name="20% - Akzent1 2 3 2" xfId="483" xr:uid="{CBEF993C-C2C0-4FAD-B107-2464C6CD574B}"/>
    <cellStyle name="20% - Akzent1 2 3 2 2" xfId="484" xr:uid="{967CE32E-134F-476C-8A8E-CE68672DFF05}"/>
    <cellStyle name="20% - Akzent1 2 3 2 2 2" xfId="20119" xr:uid="{F4FDBC47-3AC9-4091-83CE-34A377D0B693}"/>
    <cellStyle name="20% - Akzent1 2 3 2 3" xfId="20118" xr:uid="{73AF1742-3C35-4507-865A-9F7081319821}"/>
    <cellStyle name="20% - Akzent1 2 3 2 4" xfId="40846" xr:uid="{60E0DC48-2E6B-43E8-B223-D227D1925946}"/>
    <cellStyle name="20% - Akzent1 2 3 20" xfId="485" xr:uid="{368FE480-A3E9-4B60-B4E2-7EEABEAD7502}"/>
    <cellStyle name="20% - Akzent1 2 3 20 2" xfId="486" xr:uid="{675A852C-E92B-4A8C-8004-3084A0BABE93}"/>
    <cellStyle name="20% - Akzent1 2 3 20 2 2" xfId="20121" xr:uid="{074C1CD3-E7EA-4D7A-AB58-E6E9877E9C55}"/>
    <cellStyle name="20% - Akzent1 2 3 20 3" xfId="20120" xr:uid="{64A0148E-B097-457C-8563-1D0AD89DE620}"/>
    <cellStyle name="20% - Akzent1 2 3 21" xfId="487" xr:uid="{16A537DF-ECF3-4B35-A67E-17788E4CD2AE}"/>
    <cellStyle name="20% - Akzent1 2 3 21 2" xfId="488" xr:uid="{56520A9F-419A-4849-A9B4-97CF1E8A6C87}"/>
    <cellStyle name="20% - Akzent1 2 3 21 2 2" xfId="20123" xr:uid="{94C6F460-700E-4C52-9415-119F93E76EEC}"/>
    <cellStyle name="20% - Akzent1 2 3 21 3" xfId="20122" xr:uid="{5EE6A84E-BA45-4047-A641-324F02BDE306}"/>
    <cellStyle name="20% - Akzent1 2 3 22" xfId="489" xr:uid="{E856BA9F-98F5-4D26-86B7-37E60617687D}"/>
    <cellStyle name="20% - Akzent1 2 3 22 2" xfId="20124" xr:uid="{D6F32FF6-B054-49F3-A263-DF73A8D0AA1C}"/>
    <cellStyle name="20% - Akzent1 2 3 23" xfId="20097" xr:uid="{2053E25F-8C9F-4EFE-832C-D495C5D12AAD}"/>
    <cellStyle name="20% - Akzent1 2 3 24" xfId="39900" xr:uid="{5FF7DC22-A5F6-421B-A928-9561DE862D27}"/>
    <cellStyle name="20% - Akzent1 2 3 3" xfId="490" xr:uid="{58D19126-D353-4BFF-B9F1-C8BF5CCC75AA}"/>
    <cellStyle name="20% - Akzent1 2 3 3 2" xfId="491" xr:uid="{0892806B-9DF7-4B2C-AE9F-9F714E73BD89}"/>
    <cellStyle name="20% - Akzent1 2 3 3 2 2" xfId="20126" xr:uid="{FB5B3D0B-D575-4468-BC16-CBE496A05BFD}"/>
    <cellStyle name="20% - Akzent1 2 3 3 3" xfId="20125" xr:uid="{6CAAC100-9A24-45E9-80C7-4BC958A91F44}"/>
    <cellStyle name="20% - Akzent1 2 3 3 4" xfId="41706" xr:uid="{51EAEC49-5C0A-4E2F-9F36-863243E65F3B}"/>
    <cellStyle name="20% - Akzent1 2 3 4" xfId="492" xr:uid="{1BAC5D3E-5E1B-41CF-8101-F133E580A17D}"/>
    <cellStyle name="20% - Akzent1 2 3 4 2" xfId="493" xr:uid="{97D25E8C-8016-40C3-816F-060BD2C28389}"/>
    <cellStyle name="20% - Akzent1 2 3 4 2 2" xfId="20128" xr:uid="{F6F81CF4-A1E2-4876-A406-DB94B11AFAEB}"/>
    <cellStyle name="20% - Akzent1 2 3 4 3" xfId="20127" xr:uid="{3EE42D17-2325-4249-9940-5A3F8910E65B}"/>
    <cellStyle name="20% - Akzent1 2 3 5" xfId="494" xr:uid="{6D9F5871-B210-4EBB-B65D-A058E5575F2B}"/>
    <cellStyle name="20% - Akzent1 2 3 5 2" xfId="495" xr:uid="{7B26A6D7-BE4E-43F1-A55D-6B46ADF2D135}"/>
    <cellStyle name="20% - Akzent1 2 3 5 2 2" xfId="20130" xr:uid="{5513B187-0217-4172-AC00-D575FC12188E}"/>
    <cellStyle name="20% - Akzent1 2 3 5 3" xfId="20129" xr:uid="{D92C7E45-5538-492F-B158-5A6ED47B826D}"/>
    <cellStyle name="20% - Akzent1 2 3 6" xfId="496" xr:uid="{3B01366A-37EF-4E77-B491-E3547AA0EBC1}"/>
    <cellStyle name="20% - Akzent1 2 3 6 2" xfId="497" xr:uid="{85271FA3-0E9A-467C-9FAA-0475EC1231FC}"/>
    <cellStyle name="20% - Akzent1 2 3 6 2 2" xfId="20132" xr:uid="{0920F25F-9CB3-440F-8B02-48D2E3F2E8E9}"/>
    <cellStyle name="20% - Akzent1 2 3 6 3" xfId="20131" xr:uid="{A7BCA86E-E357-4DDE-8795-613151FEDD1E}"/>
    <cellStyle name="20% - Akzent1 2 3 7" xfId="498" xr:uid="{67354AA1-90AE-4497-B782-928F66251930}"/>
    <cellStyle name="20% - Akzent1 2 3 7 2" xfId="499" xr:uid="{77DCA35F-1217-4F6C-877B-92115B9AE657}"/>
    <cellStyle name="20% - Akzent1 2 3 7 2 2" xfId="20134" xr:uid="{E74A1C9B-020A-4762-AB63-29C0037E3AE3}"/>
    <cellStyle name="20% - Akzent1 2 3 7 3" xfId="20133" xr:uid="{F06D9EC6-1B41-4376-992F-2E6472EA78B1}"/>
    <cellStyle name="20% - Akzent1 2 3 8" xfId="500" xr:uid="{B2DB8DB2-4F8F-4E56-ADE9-8F6C990E7BF2}"/>
    <cellStyle name="20% - Akzent1 2 3 8 2" xfId="501" xr:uid="{52DE31AF-AB55-4512-9F08-30C2E2916DB3}"/>
    <cellStyle name="20% - Akzent1 2 3 8 2 2" xfId="20136" xr:uid="{C76522B4-E627-4D84-8FB6-6591EB5C9F52}"/>
    <cellStyle name="20% - Akzent1 2 3 8 3" xfId="20135" xr:uid="{4428DE66-206D-48C3-8A1F-47E42E9BFA7F}"/>
    <cellStyle name="20% - Akzent1 2 3 9" xfId="502" xr:uid="{62A1F15A-3DF4-44F6-B57E-DFCC3AA1FBE3}"/>
    <cellStyle name="20% - Akzent1 2 3 9 2" xfId="503" xr:uid="{CE80D616-7588-44C1-9D7E-0A1BC0AA4F23}"/>
    <cellStyle name="20% - Akzent1 2 3 9 2 2" xfId="20138" xr:uid="{04184C12-5DCF-427A-8758-717C557CEEAE}"/>
    <cellStyle name="20% - Akzent1 2 3 9 3" xfId="20137" xr:uid="{715D7666-C6FC-4CBB-AE55-3F63B3BAA7B4}"/>
    <cellStyle name="20% - Akzent1 2 4" xfId="504" xr:uid="{F26EFF4C-0089-4F71-9390-B61CA674AC23}"/>
    <cellStyle name="20% - Akzent1 2 4 2" xfId="505" xr:uid="{F414AED7-F753-40C0-8E34-8920459979E7}"/>
    <cellStyle name="20% - Akzent1 2 4 2 2" xfId="506" xr:uid="{CC49A41C-47EE-45AA-A90C-431C7CA687E5}"/>
    <cellStyle name="20% - Akzent1 2 4 2 3" xfId="507" xr:uid="{B5F967D8-9B8C-4777-97F8-484D8A2DBEFE}"/>
    <cellStyle name="20% - Akzent1 2 4 2 3 2" xfId="20140" xr:uid="{57536B11-33A4-4C65-8885-9BDEDBE3ECC5}"/>
    <cellStyle name="20% - Akzent1 2 4 2 4" xfId="20139" xr:uid="{B9923330-346D-44A2-8D57-D88DDA0AA69A}"/>
    <cellStyle name="20% - Akzent1 2 4 3" xfId="508" xr:uid="{884CD42B-B896-4567-81F5-A1BE34442EA7}"/>
    <cellStyle name="20% - Akzent1 2 4 4" xfId="509" xr:uid="{5C1AAF4A-68FE-43AA-ACD2-DB626F3E8EC2}"/>
    <cellStyle name="20% - Akzent1 2 4 5" xfId="40430" xr:uid="{C6CCBC30-7621-4539-BBC2-78D06C7EF105}"/>
    <cellStyle name="20% - Akzent1 2 5" xfId="510" xr:uid="{9181614E-B72F-459B-94E0-9C31F99115E0}"/>
    <cellStyle name="20% - Akzent1 2 5 2" xfId="41290" xr:uid="{3E826D93-08CE-4727-AA67-E86FB817FA65}"/>
    <cellStyle name="20% - Akzent1 2 6" xfId="511" xr:uid="{2EE53A3C-4AEA-49BC-A8DC-68A35B786969}"/>
    <cellStyle name="20% - Akzent1 2 6 2" xfId="512" xr:uid="{AF99CECC-A052-4832-A608-E7935AD85549}"/>
    <cellStyle name="20% - Akzent1 2 6 2 2" xfId="513" xr:uid="{5F35850B-BCEE-4F33-9950-C9FA90D34800}"/>
    <cellStyle name="20% - Akzent1 2 6 2 2 2" xfId="20142" xr:uid="{65E663A6-C389-46D6-B23C-5204BB82C3DC}"/>
    <cellStyle name="20% - Akzent1 2 6 2 3" xfId="20141" xr:uid="{D1C0905C-3389-4F4D-A91D-C6FFDF202A55}"/>
    <cellStyle name="20% - Akzent1 2 7" xfId="514" xr:uid="{7BCC8049-A657-4917-A73B-96CEA614B3A2}"/>
    <cellStyle name="20% - Akzent1 2 7 2" xfId="515" xr:uid="{0B97CA52-BD64-4287-969B-7D50011E0D75}"/>
    <cellStyle name="20% - Akzent1 2 7 2 2" xfId="20144" xr:uid="{1C69A015-3C30-4615-955E-B4764D8203D0}"/>
    <cellStyle name="20% - Akzent1 2 7 3" xfId="20143" xr:uid="{D6FBB2B5-53EA-4994-876D-1B0AEF290A76}"/>
    <cellStyle name="20% - Akzent1 2 8" xfId="516" xr:uid="{6C1A1135-9801-4197-890F-F34786CBFFFC}"/>
    <cellStyle name="20% - Akzent1 2 8 2" xfId="517" xr:uid="{D79D067A-BA5E-4C50-A7A2-7680440B1E87}"/>
    <cellStyle name="20% - Akzent1 2 8 2 2" xfId="518" xr:uid="{76E68CA9-1705-417C-A8F3-A73730732115}"/>
    <cellStyle name="20% - Akzent1 2 8 2 2 2" xfId="20146" xr:uid="{AB9CDBD3-9B1D-4666-A19D-0C5B53206FF8}"/>
    <cellStyle name="20% - Akzent1 2 8 2 3" xfId="20145" xr:uid="{E465B38A-5B4C-41F9-97DD-9BD76AA15BEE}"/>
    <cellStyle name="20% - Akzent1 2 9" xfId="519" xr:uid="{7172F86B-FAD2-44E8-A559-136EBA34D3F8}"/>
    <cellStyle name="20% - Akzent1 2 9 2" xfId="520" xr:uid="{A68EDA6F-B6A3-4F46-A1CD-49CF17A7A5EA}"/>
    <cellStyle name="20% - Akzent1 2 9 2 2" xfId="20148" xr:uid="{E764C9B3-9F77-42B7-9606-F663A5DFECD6}"/>
    <cellStyle name="20% - Akzent1 2 9 3" xfId="20147" xr:uid="{B2567057-B43E-4995-97D6-AB4B6E4A393C}"/>
    <cellStyle name="20% - Akzent1 20" xfId="521" xr:uid="{961ABBE0-EE4E-45B8-A797-6BAFC0EF06C1}"/>
    <cellStyle name="20% - Akzent1 20 2" xfId="522" xr:uid="{5F2CE366-F40F-4992-9368-BF88CAB98568}"/>
    <cellStyle name="20% - Akzent1 20 2 2" xfId="20150" xr:uid="{DB485308-22A9-418B-BEA5-214DA108F1BD}"/>
    <cellStyle name="20% - Akzent1 20 3" xfId="523" xr:uid="{3DE037F8-88F8-4EF8-830A-EC3396657955}"/>
    <cellStyle name="20% - Akzent1 20 3 2" xfId="20151" xr:uid="{211633EE-B2C3-45BA-9096-10E011AE9416}"/>
    <cellStyle name="20% - Akzent1 20 4" xfId="20149" xr:uid="{A5471489-5FAA-4FA0-98FF-9542181EBF1A}"/>
    <cellStyle name="20% - Akzent1 21" xfId="524" xr:uid="{D20B6FED-D764-44B6-A878-100BAE97077F}"/>
    <cellStyle name="20% - Akzent1 21 2" xfId="525" xr:uid="{9A595E8E-69D0-47A9-8F4E-DF28FF4CFC60}"/>
    <cellStyle name="20% - Akzent1 21 2 2" xfId="20153" xr:uid="{31EDAB72-A566-46E9-B573-5AEB31347715}"/>
    <cellStyle name="20% - Akzent1 21 3" xfId="526" xr:uid="{1E294B26-BA80-4F58-98F6-C4C0D169BAF2}"/>
    <cellStyle name="20% - Akzent1 21 3 2" xfId="20154" xr:uid="{85DA5BF1-D04F-4F25-9A75-F65E52DB7A21}"/>
    <cellStyle name="20% - Akzent1 21 4" xfId="20152" xr:uid="{DAF21354-14B4-4ED4-A3F7-3ACC0D1DB336}"/>
    <cellStyle name="20% - Akzent1 22" xfId="527" xr:uid="{2860BD8A-1D33-4227-87C9-F3CEC2466F5A}"/>
    <cellStyle name="20% - Akzent1 22 2" xfId="528" xr:uid="{F853E0C1-55B5-4741-8A59-53B508B02222}"/>
    <cellStyle name="20% - Akzent1 22 2 2" xfId="20156" xr:uid="{90CE66D7-5578-4D31-B568-C072C00F8E0B}"/>
    <cellStyle name="20% - Akzent1 22 3" xfId="529" xr:uid="{F06E2809-0894-4749-8294-A1FD5AECEC19}"/>
    <cellStyle name="20% - Akzent1 22 3 2" xfId="20157" xr:uid="{45B52774-C44F-4340-B3D0-C37977ADD906}"/>
    <cellStyle name="20% - Akzent1 22 4" xfId="20155" xr:uid="{45AA1C75-B63C-427D-B64C-825E4EF184F0}"/>
    <cellStyle name="20% - Akzent1 23" xfId="530" xr:uid="{1A128DCA-1B01-486D-A9CC-0676B1B880CB}"/>
    <cellStyle name="20% - Akzent1 23 2" xfId="531" xr:uid="{76BE7128-C80C-49C5-992D-5D5EFADB377E}"/>
    <cellStyle name="20% - Akzent1 23 2 2" xfId="20159" xr:uid="{8A0B58F5-3BE0-4A89-8895-547357BC90AC}"/>
    <cellStyle name="20% - Akzent1 23 3" xfId="532" xr:uid="{DEECECDB-46D6-4FF7-BE0E-826DB71DDBA3}"/>
    <cellStyle name="20% - Akzent1 23 3 2" xfId="20160" xr:uid="{EE33B93D-7A7C-44B6-A2E0-3364D9E1253B}"/>
    <cellStyle name="20% - Akzent1 23 4" xfId="20158" xr:uid="{814171B8-EEE9-40C3-B0F1-5B73DA7DAE86}"/>
    <cellStyle name="20% - Akzent1 24" xfId="533" xr:uid="{43F823BD-3827-4777-A7BF-B522736E1285}"/>
    <cellStyle name="20% - Akzent1 24 2" xfId="534" xr:uid="{1B8D76BD-D0F1-478E-84B9-F0C9FF5478F2}"/>
    <cellStyle name="20% - Akzent1 24 2 2" xfId="20162" xr:uid="{8DF964C0-025D-49C6-B9B5-EE0A98A72C08}"/>
    <cellStyle name="20% - Akzent1 24 3" xfId="535" xr:uid="{28460D46-14F2-4DE9-853E-F4DF1A9061B0}"/>
    <cellStyle name="20% - Akzent1 24 3 2" xfId="20163" xr:uid="{D1A870F3-D768-42F5-9C80-49145B4478A7}"/>
    <cellStyle name="20% - Akzent1 24 4" xfId="20161" xr:uid="{5C9E4AC0-A5DE-4E47-8AB3-23C9EAC208C3}"/>
    <cellStyle name="20% - Akzent1 25" xfId="536" xr:uid="{D38AE314-1608-4FCA-B066-21DC62941012}"/>
    <cellStyle name="20% - Akzent1 25 2" xfId="537" xr:uid="{C157F7F4-0F84-4FD6-BE7B-676AA892C957}"/>
    <cellStyle name="20% - Akzent1 25 2 2" xfId="20165" xr:uid="{45E9D210-D134-4ABC-8FBC-11982497B2FD}"/>
    <cellStyle name="20% - Akzent1 25 3" xfId="538" xr:uid="{3057F7C2-20F4-4C76-AB43-900E1D24A379}"/>
    <cellStyle name="20% - Akzent1 25 3 2" xfId="20166" xr:uid="{EDEDF5D5-D026-4BA4-B82C-4C1E3C866A27}"/>
    <cellStyle name="20% - Akzent1 25 4" xfId="20164" xr:uid="{3837DF15-A625-4C40-9136-E9EA88A6D52C}"/>
    <cellStyle name="20% - Akzent1 26" xfId="539" xr:uid="{849BEA63-C905-439B-AACE-195796EC9BD4}"/>
    <cellStyle name="20% - Akzent1 26 2" xfId="540" xr:uid="{88CA7502-B3EF-4CA3-900B-0006211484BA}"/>
    <cellStyle name="20% - Akzent1 26 2 2" xfId="20168" xr:uid="{D4F71BB8-6C4B-4D26-B3CD-28B1E9CF983C}"/>
    <cellStyle name="20% - Akzent1 26 3" xfId="541" xr:uid="{5E9F48C6-7901-4ECF-8D80-BADBCFE51239}"/>
    <cellStyle name="20% - Akzent1 26 3 2" xfId="20169" xr:uid="{76051EE7-CF4D-4786-BF38-FF1A8FFC1550}"/>
    <cellStyle name="20% - Akzent1 26 4" xfId="20167" xr:uid="{2B40072E-0C75-4C2A-BEBD-80A9BD66DF19}"/>
    <cellStyle name="20% - Akzent1 27" xfId="542" xr:uid="{2B09C39D-F86D-45E4-B2E3-FC60623D888B}"/>
    <cellStyle name="20% - Akzent1 27 2" xfId="543" xr:uid="{A29F220F-97ED-40E3-917A-6B8ACA5352BD}"/>
    <cellStyle name="20% - Akzent1 27 2 2" xfId="20171" xr:uid="{C8C42E4F-2D98-4386-AFCF-33B967C3808A}"/>
    <cellStyle name="20% - Akzent1 27 3" xfId="544" xr:uid="{FAC4F019-E526-4B43-8831-16838D6D9A8A}"/>
    <cellStyle name="20% - Akzent1 27 3 2" xfId="20172" xr:uid="{AFE9FC57-2D3F-4B1D-94C5-EE26B6B4AD85}"/>
    <cellStyle name="20% - Akzent1 27 4" xfId="20170" xr:uid="{2B8906E6-3742-4135-9E95-96BF57639915}"/>
    <cellStyle name="20% - Akzent1 28" xfId="545" xr:uid="{DFE9DE75-1AF8-444E-8A40-01A2D2654E64}"/>
    <cellStyle name="20% - Akzent1 28 2" xfId="546" xr:uid="{C9579DEE-86BA-4079-9CC6-9DAF6493B81F}"/>
    <cellStyle name="20% - Akzent1 28 2 2" xfId="20174" xr:uid="{0FE8C9B0-69CB-426C-8D81-2EDBD4E38C5C}"/>
    <cellStyle name="20% - Akzent1 28 3" xfId="547" xr:uid="{07BCF4FB-1366-4CAE-BA34-82AC79CE95FC}"/>
    <cellStyle name="20% - Akzent1 28 3 2" xfId="20175" xr:uid="{7A816028-BB51-4306-AA63-2333A68620BC}"/>
    <cellStyle name="20% - Akzent1 28 4" xfId="20173" xr:uid="{CBB1F105-E0BF-4285-B95B-D7E8D2ACD409}"/>
    <cellStyle name="20% - Akzent1 29" xfId="548" xr:uid="{3CD2A31B-800A-4AED-97F3-4160007AEB04}"/>
    <cellStyle name="20% - Akzent1 29 2" xfId="549" xr:uid="{1CB08507-D25C-4474-A4DB-60708CACC41A}"/>
    <cellStyle name="20% - Akzent1 29 2 2" xfId="20177" xr:uid="{5403CE30-A373-4739-A2CE-776E7CCBF415}"/>
    <cellStyle name="20% - Akzent1 29 3" xfId="550" xr:uid="{F0E6F442-9CE8-4121-B533-479B7D1C6967}"/>
    <cellStyle name="20% - Akzent1 29 3 2" xfId="20178" xr:uid="{3F2ABB47-4034-419C-BB66-548F36CE5B4C}"/>
    <cellStyle name="20% - Akzent1 29 4" xfId="20176" xr:uid="{E1C79411-04FA-469A-BD99-134E406C469B}"/>
    <cellStyle name="20% - Akzent1 3" xfId="113" xr:uid="{788B5EFF-A524-4592-8791-659E289B53F9}"/>
    <cellStyle name="20% - Akzent1 3 10" xfId="552" xr:uid="{787681EC-E524-4B5A-BC80-8261888D3480}"/>
    <cellStyle name="20% - Akzent1 3 10 2" xfId="553" xr:uid="{83ADD916-D39F-4387-BCC4-A21A84BCC2ED}"/>
    <cellStyle name="20% - Akzent1 3 10 2 2" xfId="20181" xr:uid="{0D305CBD-4658-4BB0-AA51-1A026B61ABE7}"/>
    <cellStyle name="20% - Akzent1 3 10 3" xfId="20180" xr:uid="{E9D2813E-E0CC-4930-868E-D61DDE667038}"/>
    <cellStyle name="20% - Akzent1 3 11" xfId="554" xr:uid="{5E65BB01-C562-448A-904A-2E6BAC559B60}"/>
    <cellStyle name="20% - Akzent1 3 11 2" xfId="555" xr:uid="{C00501D1-CAC0-41D8-949A-9F4E449D7116}"/>
    <cellStyle name="20% - Akzent1 3 11 2 2" xfId="20183" xr:uid="{EA31D78E-D344-4E8D-A40D-73E709C40158}"/>
    <cellStyle name="20% - Akzent1 3 11 3" xfId="20182" xr:uid="{A74514CD-00D5-40AD-9361-AEC9298D4440}"/>
    <cellStyle name="20% - Akzent1 3 12" xfId="556" xr:uid="{7F81AE62-BA51-4E1E-8F77-CD98B97DCCBB}"/>
    <cellStyle name="20% - Akzent1 3 12 2" xfId="557" xr:uid="{A4AB783A-F0AA-4FD7-81C6-855DDB169967}"/>
    <cellStyle name="20% - Akzent1 3 12 2 2" xfId="20185" xr:uid="{F4DA19FB-7CD0-40F0-A5FF-B24DB8A41AD6}"/>
    <cellStyle name="20% - Akzent1 3 12 3" xfId="20184" xr:uid="{C914B94C-29F2-4024-A344-F43D48F9455A}"/>
    <cellStyle name="20% - Akzent1 3 13" xfId="558" xr:uid="{31521B98-B708-4FA6-B02D-40A2DF42444F}"/>
    <cellStyle name="20% - Akzent1 3 13 2" xfId="559" xr:uid="{58988A67-05CA-4105-9C49-6AA4813E1289}"/>
    <cellStyle name="20% - Akzent1 3 13 2 2" xfId="20187" xr:uid="{77A10902-5737-4E75-BB8F-4BDEC666D0C3}"/>
    <cellStyle name="20% - Akzent1 3 13 3" xfId="20186" xr:uid="{FF7FE334-A737-4F58-9468-8D7058410CA8}"/>
    <cellStyle name="20% - Akzent1 3 14" xfId="560" xr:uid="{A453767D-2262-45F7-B2B0-971D8DEC608B}"/>
    <cellStyle name="20% - Akzent1 3 14 2" xfId="561" xr:uid="{DE90F0CC-A025-48AC-93C8-F52F45448305}"/>
    <cellStyle name="20% - Akzent1 3 14 2 2" xfId="20189" xr:uid="{64B3E7E6-3A4E-4CCA-B2D7-9CC600DDE67A}"/>
    <cellStyle name="20% - Akzent1 3 14 3" xfId="20188" xr:uid="{8B24EB01-69FA-46E8-95F9-2C81736A5696}"/>
    <cellStyle name="20% - Akzent1 3 15" xfId="562" xr:uid="{FEE9E712-1480-47FA-B1C3-C0009A9AA6D3}"/>
    <cellStyle name="20% - Akzent1 3 15 2" xfId="563" xr:uid="{D7B6DEFE-7CAB-42A7-B500-E9B7B6A847EE}"/>
    <cellStyle name="20% - Akzent1 3 15 2 2" xfId="20191" xr:uid="{41372D42-70C6-4B09-87C7-2073FF803CE3}"/>
    <cellStyle name="20% - Akzent1 3 15 3" xfId="20190" xr:uid="{94099EF4-2AA0-48F0-AAAE-BDD8715AF882}"/>
    <cellStyle name="20% - Akzent1 3 16" xfId="564" xr:uid="{B654A981-AC67-4549-BB9C-CBF5B185EB93}"/>
    <cellStyle name="20% - Akzent1 3 16 2" xfId="565" xr:uid="{7E3E717B-77EE-41F7-B315-64536CDE75EC}"/>
    <cellStyle name="20% - Akzent1 3 16 2 2" xfId="20193" xr:uid="{1F9D55DB-1274-4AD2-8E89-8E8EACFC5741}"/>
    <cellStyle name="20% - Akzent1 3 16 3" xfId="20192" xr:uid="{1BA11B67-83CE-4BBC-8A46-946169DA1925}"/>
    <cellStyle name="20% - Akzent1 3 17" xfId="566" xr:uid="{FEEC29FE-E4AD-4A67-82DF-C5C94D614CE7}"/>
    <cellStyle name="20% - Akzent1 3 17 2" xfId="567" xr:uid="{372A5166-B555-49F3-A428-59541C72EE02}"/>
    <cellStyle name="20% - Akzent1 3 17 2 2" xfId="20195" xr:uid="{04FA5C50-767A-47FD-9693-93C8EB8C9586}"/>
    <cellStyle name="20% - Akzent1 3 17 3" xfId="20194" xr:uid="{93A8CC11-8ECC-4987-A758-175515FE0B61}"/>
    <cellStyle name="20% - Akzent1 3 18" xfId="568" xr:uid="{7EC4F381-FB51-4BCB-9DAB-72F6B6E48F0F}"/>
    <cellStyle name="20% - Akzent1 3 18 2" xfId="569" xr:uid="{D56EC0C1-8F19-4880-A666-9194C6B6C356}"/>
    <cellStyle name="20% - Akzent1 3 18 2 2" xfId="20197" xr:uid="{7168ACBF-3819-45C0-87EF-2C665A1895F7}"/>
    <cellStyle name="20% - Akzent1 3 18 3" xfId="20196" xr:uid="{27AD35D1-7835-4B50-AE62-4B9F290E1E02}"/>
    <cellStyle name="20% - Akzent1 3 19" xfId="570" xr:uid="{51F62F29-700A-4210-A70A-685EBCB67F95}"/>
    <cellStyle name="20% - Akzent1 3 19 2" xfId="571" xr:uid="{DB77A719-A68A-4EAD-9ED0-5B14AFAF8114}"/>
    <cellStyle name="20% - Akzent1 3 19 2 2" xfId="20199" xr:uid="{49D0C5C5-97BD-4072-A5BF-8AF8667462B2}"/>
    <cellStyle name="20% - Akzent1 3 19 3" xfId="20198" xr:uid="{471EC6EC-13AE-4294-91DA-7B434183ABF6}"/>
    <cellStyle name="20% - Akzent1 3 2" xfId="572" xr:uid="{DF9C25A7-330B-4C59-B712-BCD7E7E5A3ED}"/>
    <cellStyle name="20% - Akzent1 3 2 2" xfId="573" xr:uid="{84DE9BDD-A970-460F-9FD7-44468C283945}"/>
    <cellStyle name="20% - Akzent1 3 2 2 2" xfId="574" xr:uid="{CB1627D3-2E22-4AE0-90F0-C2F3D9F1B710}"/>
    <cellStyle name="20% - Akzent1 3 2 2 3" xfId="575" xr:uid="{B4D67994-268B-4912-963A-CF7F680DC6E2}"/>
    <cellStyle name="20% - Akzent1 3 2 2 3 2" xfId="20201" xr:uid="{82ED6922-AE17-4CDE-AD3D-7F664CC728BA}"/>
    <cellStyle name="20% - Akzent1 3 2 2 4" xfId="20200" xr:uid="{98528CAC-78E0-4C78-84DD-A0BF4C317818}"/>
    <cellStyle name="20% - Akzent1 3 2 2 5" xfId="40849" xr:uid="{14C599CD-E3C5-462A-B050-F7D8045EA02B}"/>
    <cellStyle name="20% - Akzent1 3 2 3" xfId="576" xr:uid="{E265E6C9-BAEA-42E4-B231-CBE70E5B2953}"/>
    <cellStyle name="20% - Akzent1 3 2 3 2" xfId="41709" xr:uid="{44BCF977-1574-4960-8594-AC79376102C6}"/>
    <cellStyle name="20% - Akzent1 3 2 4" xfId="577" xr:uid="{8DFE6958-4B29-42DA-89BD-69BCBCE0639E}"/>
    <cellStyle name="20% - Akzent1 3 2 5" xfId="39903" xr:uid="{0BCAE51C-E335-486D-8ABE-67FE0C1DC2BA}"/>
    <cellStyle name="20% - Akzent1 3 20" xfId="578" xr:uid="{547BD973-0D18-46EF-B5BE-FD7BE8B5B485}"/>
    <cellStyle name="20% - Akzent1 3 20 2" xfId="579" xr:uid="{545D725C-8DB3-4304-B09B-8788A2217A01}"/>
    <cellStyle name="20% - Akzent1 3 20 2 2" xfId="20203" xr:uid="{CB165626-D80F-42C2-8B3D-A11114232927}"/>
    <cellStyle name="20% - Akzent1 3 20 3" xfId="20202" xr:uid="{0C4D68A5-AAB6-4203-BAB7-807981E5DE48}"/>
    <cellStyle name="20% - Akzent1 3 21" xfId="580" xr:uid="{DD8B369F-185C-419A-AA2E-08AB277C0C67}"/>
    <cellStyle name="20% - Akzent1 3 21 2" xfId="581" xr:uid="{88BEC8F0-D60E-4F68-A89E-C32E9B36D63E}"/>
    <cellStyle name="20% - Akzent1 3 21 2 2" xfId="20205" xr:uid="{ED2C7716-1668-4F3B-AC14-4948E8A9E8F4}"/>
    <cellStyle name="20% - Akzent1 3 21 3" xfId="20204" xr:uid="{12C696EB-B305-4689-BC12-6B252A19D270}"/>
    <cellStyle name="20% - Akzent1 3 22" xfId="582" xr:uid="{1D5D6395-E349-4523-8452-C07F833663B1}"/>
    <cellStyle name="20% - Akzent1 3 22 2" xfId="20206" xr:uid="{42B9288E-04C4-4BAA-9E11-5A72CBB64D8A}"/>
    <cellStyle name="20% - Akzent1 3 23" xfId="583" xr:uid="{76497529-5E5C-4C55-80E4-012F330FD945}"/>
    <cellStyle name="20% - Akzent1 3 23 2" xfId="20207" xr:uid="{3C25F692-94CD-4475-9674-4C948C1EC70B}"/>
    <cellStyle name="20% - Akzent1 3 24" xfId="20179" xr:uid="{74A93975-278F-4AFD-A19D-8C230B9FF1A5}"/>
    <cellStyle name="20% - Akzent1 3 25" xfId="39275" xr:uid="{A06F755A-52EB-41E4-852B-3E4CB0D1380F}"/>
    <cellStyle name="20% - Akzent1 3 26" xfId="551" xr:uid="{DEA5CBFA-B6C8-4137-887C-8A62C85B39AC}"/>
    <cellStyle name="20% - Akzent1 3 3" xfId="584" xr:uid="{466B26D0-7D6A-4908-8985-7D9301A1C141}"/>
    <cellStyle name="20% - Akzent1 3 3 2" xfId="40848" xr:uid="{652EFDBE-6F8B-4A04-97E9-AB04AA81491A}"/>
    <cellStyle name="20% - Akzent1 3 3 3" xfId="41708" xr:uid="{FC6FBA3C-09E4-4778-88EF-1775CB467338}"/>
    <cellStyle name="20% - Akzent1 3 3 4" xfId="39902" xr:uid="{D1EAD9E3-53E1-4702-9F1C-212626DFF974}"/>
    <cellStyle name="20% - Akzent1 3 4" xfId="585" xr:uid="{D1E4D0A0-D2AD-42E0-8BB9-7A7C0CCA591D}"/>
    <cellStyle name="20% - Akzent1 3 4 2" xfId="40432" xr:uid="{5DEBE1AB-577B-45A8-A363-766A01D13D8F}"/>
    <cellStyle name="20% - Akzent1 3 5" xfId="586" xr:uid="{F71C851C-4341-4D76-A38F-63FBF4AA3107}"/>
    <cellStyle name="20% - Akzent1 3 5 2" xfId="587" xr:uid="{131A3E8A-5C7E-451D-BBD4-8E4156D6917D}"/>
    <cellStyle name="20% - Akzent1 3 5 2 2" xfId="588" xr:uid="{676F6C56-580F-4A48-8D7C-E2138B72958D}"/>
    <cellStyle name="20% - Akzent1 3 5 2 2 2" xfId="20209" xr:uid="{FC1050C8-CBF5-4292-9DD7-0A3B1F3531C0}"/>
    <cellStyle name="20% - Akzent1 3 5 2 3" xfId="20208" xr:uid="{B67D3907-50B2-48AF-911C-607FE2CFD313}"/>
    <cellStyle name="20% - Akzent1 3 5 3" xfId="41292" xr:uid="{9BBB0037-D0B5-4C53-AE50-0DEB7EC06F8B}"/>
    <cellStyle name="20% - Akzent1 3 6" xfId="589" xr:uid="{0FE83C58-7569-4827-BDB5-30F246977BFA}"/>
    <cellStyle name="20% - Akzent1 3 6 2" xfId="590" xr:uid="{576330FB-3EE5-434A-A1C7-C5591DC04E5F}"/>
    <cellStyle name="20% - Akzent1 3 6 2 2" xfId="20211" xr:uid="{F5B377FF-DA25-41AE-8147-6A7283672A0F}"/>
    <cellStyle name="20% - Akzent1 3 6 3" xfId="20210" xr:uid="{B8931883-F227-42F4-99D1-2FD6D88DF356}"/>
    <cellStyle name="20% - Akzent1 3 7" xfId="591" xr:uid="{50ECE9A7-C3AD-4270-AB38-4A354DAF8384}"/>
    <cellStyle name="20% - Akzent1 3 7 2" xfId="592" xr:uid="{DD320179-C667-4AFB-B6A4-08B615897206}"/>
    <cellStyle name="20% - Akzent1 3 7 2 2" xfId="20213" xr:uid="{5C877B9F-1288-40DB-94D7-53496A69AAAD}"/>
    <cellStyle name="20% - Akzent1 3 7 3" xfId="20212" xr:uid="{A603ED6F-BE93-4919-95B5-60A5260F1F69}"/>
    <cellStyle name="20% - Akzent1 3 8" xfId="593" xr:uid="{627F7159-8F03-48C3-A178-9EB3CE1B396A}"/>
    <cellStyle name="20% - Akzent1 3 8 2" xfId="594" xr:uid="{58788F9A-B017-4D28-AB4F-21319029323E}"/>
    <cellStyle name="20% - Akzent1 3 8 2 2" xfId="20215" xr:uid="{1F6F38B7-60CF-4007-8883-74CB8D0B7F0D}"/>
    <cellStyle name="20% - Akzent1 3 8 3" xfId="20214" xr:uid="{3217538A-5E9B-4E49-B0E6-8F96CBC53D0A}"/>
    <cellStyle name="20% - Akzent1 3 9" xfId="595" xr:uid="{0CAB1C28-52B2-4E98-BE2B-27A93B9469B1}"/>
    <cellStyle name="20% - Akzent1 3 9 2" xfId="596" xr:uid="{464BF05A-86B6-44C6-AE09-368983CD57B6}"/>
    <cellStyle name="20% - Akzent1 3 9 2 2" xfId="20217" xr:uid="{B9BF7356-952E-41D9-839C-4B99546BF822}"/>
    <cellStyle name="20% - Akzent1 3 9 3" xfId="20216" xr:uid="{61FB8591-AC51-4D21-B9AA-0F2CE93DBF14}"/>
    <cellStyle name="20% - Akzent1 30" xfId="597" xr:uid="{99B3EC00-1090-4147-B43C-845765C6980F}"/>
    <cellStyle name="20% - Akzent1 30 2" xfId="598" xr:uid="{D84E2B82-679F-4ECC-A3A4-F73AD3F0B9EF}"/>
    <cellStyle name="20% - Akzent1 30 2 2" xfId="20219" xr:uid="{EF125D46-9C58-41CD-A63F-D81EE0A93B68}"/>
    <cellStyle name="20% - Akzent1 30 3" xfId="599" xr:uid="{3D131227-94D9-4D1A-A129-6DC897EE7884}"/>
    <cellStyle name="20% - Akzent1 30 3 2" xfId="20220" xr:uid="{C6378A36-79A8-4B21-9E47-092D27A5D15B}"/>
    <cellStyle name="20% - Akzent1 30 4" xfId="20218" xr:uid="{FDF89C0F-4134-43F2-AF4C-D6231EC4F5C2}"/>
    <cellStyle name="20% - Akzent1 31" xfId="600" xr:uid="{DC318D2C-6D31-400E-BF02-9F6FABB5C4DF}"/>
    <cellStyle name="20% - Akzent1 31 2" xfId="601" xr:uid="{6530A148-6CA4-4A8A-89FE-40FDC7652338}"/>
    <cellStyle name="20% - Akzent1 31 2 2" xfId="20222" xr:uid="{1B46D842-A20E-42AD-B902-39E2CA9E1408}"/>
    <cellStyle name="20% - Akzent1 31 3" xfId="602" xr:uid="{48A26578-ACF6-401B-8603-F9EC5A8CA596}"/>
    <cellStyle name="20% - Akzent1 31 3 2" xfId="20223" xr:uid="{9E296E67-47F7-4B03-87F0-BE7A73C3119B}"/>
    <cellStyle name="20% - Akzent1 31 4" xfId="20221" xr:uid="{091037A4-9C6F-40B1-B837-52079175423E}"/>
    <cellStyle name="20% - Akzent1 32" xfId="603" xr:uid="{EB6D94A6-1599-4E1B-9DCC-0403732A2FE1}"/>
    <cellStyle name="20% - Akzent1 32 2" xfId="604" xr:uid="{BA68965C-5B2A-4967-8139-304C3F9A34CF}"/>
    <cellStyle name="20% - Akzent1 32 2 2" xfId="20225" xr:uid="{9DBABCD2-C46E-44DE-9B27-FE8D75575862}"/>
    <cellStyle name="20% - Akzent1 32 3" xfId="605" xr:uid="{FB7E6E31-45C1-495D-9046-87C58A16D20C}"/>
    <cellStyle name="20% - Akzent1 32 3 2" xfId="20226" xr:uid="{A23DBADD-FC6C-4316-8C71-8D38B761653B}"/>
    <cellStyle name="20% - Akzent1 32 4" xfId="20224" xr:uid="{09E1DD1C-3FB4-40C3-973D-99C4D56F97BE}"/>
    <cellStyle name="20% - Akzent1 33" xfId="606" xr:uid="{86772711-BF21-4218-BFA1-A04AD82B4B4B}"/>
    <cellStyle name="20% - Akzent1 33 2" xfId="607" xr:uid="{E5B447C4-53BB-4A2E-A8EF-C68E9D6E0BE3}"/>
    <cellStyle name="20% - Akzent1 33 2 2" xfId="20228" xr:uid="{E704C86B-DDC2-4112-BC22-419E9A319972}"/>
    <cellStyle name="20% - Akzent1 33 3" xfId="608" xr:uid="{E0FF5C70-D3B8-4566-92CF-3B506799F460}"/>
    <cellStyle name="20% - Akzent1 33 3 2" xfId="20229" xr:uid="{33DEC6FE-7915-4136-B0A8-07C7B493D4B9}"/>
    <cellStyle name="20% - Akzent1 33 4" xfId="20227" xr:uid="{42E5C23B-A2FC-403B-BC65-25FC3A561B8A}"/>
    <cellStyle name="20% - Akzent1 34" xfId="609" xr:uid="{A7FDE3A1-E277-4E96-8A01-6C87F2D7E0F8}"/>
    <cellStyle name="20% - Akzent1 34 2" xfId="610" xr:uid="{C90C4A6E-BBDD-4DE0-BAF9-1D861EECD242}"/>
    <cellStyle name="20% - Akzent1 34 2 2" xfId="20231" xr:uid="{A11D705D-A07F-483A-8D1F-76538EBFB9CE}"/>
    <cellStyle name="20% - Akzent1 34 3" xfId="611" xr:uid="{DD20873A-1195-4063-975D-6675C277F5A9}"/>
    <cellStyle name="20% - Akzent1 34 3 2" xfId="20232" xr:uid="{4FE36C62-1C66-46AB-A501-0153EF2648AF}"/>
    <cellStyle name="20% - Akzent1 34 4" xfId="20230" xr:uid="{91B232C3-8C4E-48D7-B87E-A4EDA5FE5887}"/>
    <cellStyle name="20% - Akzent1 35" xfId="612" xr:uid="{02045002-A4F5-4DC9-B7B3-C539016CE94F}"/>
    <cellStyle name="20% - Akzent1 35 2" xfId="613" xr:uid="{A3ECB29C-D193-4364-97E9-E2D721A7591F}"/>
    <cellStyle name="20% - Akzent1 35 2 2" xfId="20234" xr:uid="{CFC33ECB-EFBB-460C-BD92-8BC44067A8C5}"/>
    <cellStyle name="20% - Akzent1 35 3" xfId="614" xr:uid="{F69DE6E9-7FC0-47DA-88DD-5804A88D7259}"/>
    <cellStyle name="20% - Akzent1 35 3 2" xfId="20235" xr:uid="{4B99A9C0-9BC4-4C81-A305-648B76952861}"/>
    <cellStyle name="20% - Akzent1 35 4" xfId="20233" xr:uid="{C47B742B-597C-4F6B-8003-D7829F09421D}"/>
    <cellStyle name="20% - Akzent1 36" xfId="615" xr:uid="{F609C726-4C79-4D39-9E6E-E28520C3CA04}"/>
    <cellStyle name="20% - Akzent1 36 2" xfId="616" xr:uid="{B3C6FAD4-43DF-41FA-9C4D-C7D3F01B8DC4}"/>
    <cellStyle name="20% - Akzent1 36 2 2" xfId="20237" xr:uid="{59D62CC5-95B2-428A-82A6-5B70BD7AD2A2}"/>
    <cellStyle name="20% - Akzent1 36 3" xfId="617" xr:uid="{1EE33DE8-B426-42B6-95FA-A675D95DABE9}"/>
    <cellStyle name="20% - Akzent1 36 3 2" xfId="20238" xr:uid="{BC1C11EF-6B2F-4D99-A858-8EF620F5C837}"/>
    <cellStyle name="20% - Akzent1 36 4" xfId="20236" xr:uid="{F05BE6E7-B5B0-4C45-BC1A-9BE5AA10DBC7}"/>
    <cellStyle name="20% - Akzent1 37" xfId="618" xr:uid="{465327F3-3FB1-4535-BD43-73C22CF41D7A}"/>
    <cellStyle name="20% - Akzent1 37 2" xfId="619" xr:uid="{E671AA59-279B-42E3-A6B0-B362675162AA}"/>
    <cellStyle name="20% - Akzent1 37 2 2" xfId="20240" xr:uid="{786C2649-AF74-48B5-82B9-983F2C9849C6}"/>
    <cellStyle name="20% - Akzent1 37 3" xfId="20239" xr:uid="{D580ADC6-8113-4631-A914-DCFE80513B43}"/>
    <cellStyle name="20% - Akzent1 38" xfId="620" xr:uid="{6F197D26-547E-46D7-8CED-E45D27491592}"/>
    <cellStyle name="20% - Akzent1 38 2" xfId="621" xr:uid="{AE6C96C3-F4E6-431E-8362-FD6E6604508A}"/>
    <cellStyle name="20% - Akzent1 38 2 2" xfId="20242" xr:uid="{5C1239D0-33AE-4BCD-B0C1-8DD3D70E64D2}"/>
    <cellStyle name="20% - Akzent1 38 3" xfId="20241" xr:uid="{28FC8B53-9AE7-460A-99E2-08D0233BE088}"/>
    <cellStyle name="20% - Akzent1 39" xfId="622" xr:uid="{F87A0C50-2E19-437C-A0CD-6CFA5D304176}"/>
    <cellStyle name="20% - Akzent1 39 2" xfId="623" xr:uid="{994CB1A4-A2CD-46B8-B078-13EDA669DD4D}"/>
    <cellStyle name="20% - Akzent1 39 2 2" xfId="20244" xr:uid="{A7586860-E0BE-46E0-AC84-52AAD65EDFE0}"/>
    <cellStyle name="20% - Akzent1 39 3" xfId="20243" xr:uid="{21960F26-AA1E-4A58-A9F9-D1581259C094}"/>
    <cellStyle name="20% - Akzent1 4" xfId="127" xr:uid="{F44CE632-913F-4E1A-9829-C68330FAC9FE}"/>
    <cellStyle name="20% - Akzent1 4 10" xfId="625" xr:uid="{B6B3D4AE-76E3-48AC-8390-E458BE96257F}"/>
    <cellStyle name="20% - Akzent1 4 10 2" xfId="626" xr:uid="{FCBEE37A-7685-44EF-A51E-B2988C3023F4}"/>
    <cellStyle name="20% - Akzent1 4 10 2 2" xfId="20247" xr:uid="{691B7061-FD2F-46F2-B9AA-CF5ABF1F84ED}"/>
    <cellStyle name="20% - Akzent1 4 10 3" xfId="20246" xr:uid="{BB480D19-AD95-4175-981B-3F0A749AA417}"/>
    <cellStyle name="20% - Akzent1 4 11" xfId="627" xr:uid="{FDA0C551-93EC-4181-94BA-4D243AE04BA3}"/>
    <cellStyle name="20% - Akzent1 4 11 2" xfId="628" xr:uid="{97626B28-83B7-4238-A8FE-05C7CCFBAC86}"/>
    <cellStyle name="20% - Akzent1 4 11 2 2" xfId="20249" xr:uid="{90F08E6F-86ED-439F-BE59-E6FB83A40D03}"/>
    <cellStyle name="20% - Akzent1 4 11 3" xfId="20248" xr:uid="{D99DFB83-583A-4F32-9E97-950A6B5B2D7A}"/>
    <cellStyle name="20% - Akzent1 4 12" xfId="629" xr:uid="{48E150B5-1851-41EF-AA02-21E2B494593D}"/>
    <cellStyle name="20% - Akzent1 4 12 2" xfId="630" xr:uid="{9BBCCFD1-3AD6-4827-9641-AE6D8218F2AC}"/>
    <cellStyle name="20% - Akzent1 4 12 2 2" xfId="20251" xr:uid="{3C5DC28B-0402-4E36-BD40-F3B4BBF6320D}"/>
    <cellStyle name="20% - Akzent1 4 12 3" xfId="20250" xr:uid="{FE26FA03-5135-48C6-991A-D6481195F23B}"/>
    <cellStyle name="20% - Akzent1 4 13" xfId="631" xr:uid="{41F02071-2206-45F1-9186-58580B236809}"/>
    <cellStyle name="20% - Akzent1 4 13 2" xfId="632" xr:uid="{8D090D19-0DC7-4454-85AD-0B66A1572570}"/>
    <cellStyle name="20% - Akzent1 4 13 2 2" xfId="20253" xr:uid="{C87A97F1-10CD-43F3-A03B-54C49B8EB7A2}"/>
    <cellStyle name="20% - Akzent1 4 13 3" xfId="20252" xr:uid="{53067FAB-46D2-48C0-8530-D13117FF5373}"/>
    <cellStyle name="20% - Akzent1 4 14" xfId="633" xr:uid="{15AD8F2B-078F-4822-A6BF-AEF7A871F836}"/>
    <cellStyle name="20% - Akzent1 4 14 2" xfId="634" xr:uid="{069B4B21-CDF0-43B6-B771-24916F981183}"/>
    <cellStyle name="20% - Akzent1 4 14 2 2" xfId="20255" xr:uid="{53B07744-EED3-4E83-A4CB-97847DCA8428}"/>
    <cellStyle name="20% - Akzent1 4 14 3" xfId="20254" xr:uid="{D8772692-AD62-4640-B0AB-D1ED5F3A8E3B}"/>
    <cellStyle name="20% - Akzent1 4 15" xfId="635" xr:uid="{303ECE46-81C6-4A3E-A1DC-BD63D398F80B}"/>
    <cellStyle name="20% - Akzent1 4 15 2" xfId="636" xr:uid="{4C79DFE7-2ACC-4A63-801E-19EE48C687A2}"/>
    <cellStyle name="20% - Akzent1 4 15 2 2" xfId="20257" xr:uid="{5B797CA1-261B-4888-ADCC-6AF2D959BA3F}"/>
    <cellStyle name="20% - Akzent1 4 15 3" xfId="20256" xr:uid="{0AC3E2A9-A870-44C8-AC92-AC3E0F4CF5AF}"/>
    <cellStyle name="20% - Akzent1 4 16" xfId="637" xr:uid="{55B9FBB3-4E28-4BF1-A9E0-B2A28C9EF209}"/>
    <cellStyle name="20% - Akzent1 4 16 2" xfId="638" xr:uid="{75F70E02-467F-41AD-A84B-8407FD7F0C25}"/>
    <cellStyle name="20% - Akzent1 4 16 2 2" xfId="20259" xr:uid="{31F6CBFB-B118-4453-84D5-00BE2B3D2AFE}"/>
    <cellStyle name="20% - Akzent1 4 16 3" xfId="20258" xr:uid="{E3D5FAFD-C9C2-40F1-8B89-D27A85126ACD}"/>
    <cellStyle name="20% - Akzent1 4 17" xfId="639" xr:uid="{2C5269AF-C261-4DAA-805B-464E7E60B3CE}"/>
    <cellStyle name="20% - Akzent1 4 17 2" xfId="640" xr:uid="{18B5C31B-64DD-4E2E-A3EA-6892A24C7288}"/>
    <cellStyle name="20% - Akzent1 4 17 2 2" xfId="20261" xr:uid="{1D4E1CE2-6A26-4F1C-82D2-0F22B61E70E1}"/>
    <cellStyle name="20% - Akzent1 4 17 3" xfId="20260" xr:uid="{653617B6-0866-4DE0-9DAC-24869B645F8A}"/>
    <cellStyle name="20% - Akzent1 4 18" xfId="641" xr:uid="{16813B2B-59AE-4B8B-815A-1EDAC0EEBF07}"/>
    <cellStyle name="20% - Akzent1 4 18 2" xfId="642" xr:uid="{BF76D812-5594-4ACA-B391-448656BDC735}"/>
    <cellStyle name="20% - Akzent1 4 18 2 2" xfId="20263" xr:uid="{0F8ED636-B2A2-428E-880E-90200D6E2536}"/>
    <cellStyle name="20% - Akzent1 4 18 3" xfId="20262" xr:uid="{458BEE40-5364-496E-A5FF-E72F1BF55E17}"/>
    <cellStyle name="20% - Akzent1 4 19" xfId="643" xr:uid="{0C3CD2A5-5438-40FF-9932-79C0F2A29491}"/>
    <cellStyle name="20% - Akzent1 4 19 2" xfId="644" xr:uid="{DE672164-BBAB-4D45-B560-69986104B3AA}"/>
    <cellStyle name="20% - Akzent1 4 19 2 2" xfId="20265" xr:uid="{B9D9E237-421B-4898-8E09-4DD7595926DF}"/>
    <cellStyle name="20% - Akzent1 4 19 3" xfId="20264" xr:uid="{B3273B3C-04C5-4C9C-8AED-FF754D1929D3}"/>
    <cellStyle name="20% - Akzent1 4 2" xfId="645" xr:uid="{8A839959-B755-44FF-8EF7-4349A8F7B7B2}"/>
    <cellStyle name="20% - Akzent1 4 2 2" xfId="646" xr:uid="{657AC0BD-E56E-4799-B45B-13DAE4D3EF2F}"/>
    <cellStyle name="20% - Akzent1 4 2 2 2" xfId="647" xr:uid="{5644F222-7448-41AB-A897-CF5C77585881}"/>
    <cellStyle name="20% - Akzent1 4 2 2 2 2" xfId="20267" xr:uid="{ADCF89AC-1086-4141-8992-4FE6E6DC72D5}"/>
    <cellStyle name="20% - Akzent1 4 2 2 3" xfId="20266" xr:uid="{AE3AEF92-9DAF-43B7-B631-CA05BA23F3E8}"/>
    <cellStyle name="20% - Akzent1 4 2 2 4" xfId="40851" xr:uid="{DE61B5BC-D99A-4ECD-9C1D-BA55177F6F6B}"/>
    <cellStyle name="20% - Akzent1 4 2 3" xfId="41711" xr:uid="{F7D95E6E-C86B-4A9E-88DE-626EA12558D5}"/>
    <cellStyle name="20% - Akzent1 4 2 4" xfId="39905" xr:uid="{D4538B46-9648-45B5-8B40-77D6436D87BA}"/>
    <cellStyle name="20% - Akzent1 4 20" xfId="648" xr:uid="{AA9634AA-9CA9-4F40-A179-E2FC9D6474B3}"/>
    <cellStyle name="20% - Akzent1 4 20 2" xfId="649" xr:uid="{1524919C-58F2-457C-82C4-EF4370216C98}"/>
    <cellStyle name="20% - Akzent1 4 20 2 2" xfId="20269" xr:uid="{866123FB-021C-4843-8E31-396208B9C59A}"/>
    <cellStyle name="20% - Akzent1 4 20 3" xfId="20268" xr:uid="{8E444283-E1F2-48DE-ABA5-32B65E88FA01}"/>
    <cellStyle name="20% - Akzent1 4 21" xfId="650" xr:uid="{F4BC4B0A-E23F-4BC3-B9B5-8731A0387AE1}"/>
    <cellStyle name="20% - Akzent1 4 21 2" xfId="651" xr:uid="{28F675BC-3B18-4E9D-9A35-409CA45027E9}"/>
    <cellStyle name="20% - Akzent1 4 21 2 2" xfId="20271" xr:uid="{81CFA922-DAEA-44E1-BE9A-485456CA1AAC}"/>
    <cellStyle name="20% - Akzent1 4 21 3" xfId="20270" xr:uid="{C70C7045-7C94-4B9B-9E21-EBB06ED2C2D8}"/>
    <cellStyle name="20% - Akzent1 4 22" xfId="652" xr:uid="{1384AFF7-C541-4850-815E-8CA1DCA66E8A}"/>
    <cellStyle name="20% - Akzent1 4 22 2" xfId="20272" xr:uid="{3C131E8D-A922-468E-BE09-DF43AC64B065}"/>
    <cellStyle name="20% - Akzent1 4 23" xfId="653" xr:uid="{B6C24B4C-1656-4C2F-A790-5A51E3233970}"/>
    <cellStyle name="20% - Akzent1 4 23 2" xfId="20273" xr:uid="{E0436285-ED6F-4392-8EDF-11BE95C06941}"/>
    <cellStyle name="20% - Akzent1 4 24" xfId="20245" xr:uid="{519A1C12-710A-45AD-8E5A-004AA587D86A}"/>
    <cellStyle name="20% - Akzent1 4 25" xfId="39276" xr:uid="{1206D2D9-5B35-40F1-8AE3-E36F6B81ED85}"/>
    <cellStyle name="20% - Akzent1 4 26" xfId="624" xr:uid="{40D4DD33-CF89-4E23-BED5-D1A210882244}"/>
    <cellStyle name="20% - Akzent1 4 3" xfId="654" xr:uid="{F7F0947B-ECEA-43DE-9D35-C4BD465436F5}"/>
    <cellStyle name="20% - Akzent1 4 3 2" xfId="655" xr:uid="{A52A4501-9C97-48C0-A0E2-478BC3CF6D47}"/>
    <cellStyle name="20% - Akzent1 4 3 2 2" xfId="20275" xr:uid="{BBF2E77B-B612-4C9A-8056-16DC0914C982}"/>
    <cellStyle name="20% - Akzent1 4 3 2 3" xfId="40850" xr:uid="{9421D83E-AE1D-4B9E-BA07-D70738393347}"/>
    <cellStyle name="20% - Akzent1 4 3 3" xfId="20274" xr:uid="{BD8664FF-50A6-4320-92EF-FF0699879A41}"/>
    <cellStyle name="20% - Akzent1 4 3 3 2" xfId="41710" xr:uid="{6739B307-A47D-4F6A-B204-0BD140024ACE}"/>
    <cellStyle name="20% - Akzent1 4 3 4" xfId="39904" xr:uid="{E8F78E5B-9574-418B-95BD-83E9A314D874}"/>
    <cellStyle name="20% - Akzent1 4 4" xfId="656" xr:uid="{9962BDD2-F4B9-40FB-83A3-7C7EEF2FD239}"/>
    <cellStyle name="20% - Akzent1 4 4 2" xfId="657" xr:uid="{FB9D9BF1-01BD-4E2C-9A9A-464F8FD97F1A}"/>
    <cellStyle name="20% - Akzent1 4 4 2 2" xfId="20277" xr:uid="{993A30FA-6445-4DB8-AEB2-CB1C54A09C0C}"/>
    <cellStyle name="20% - Akzent1 4 4 3" xfId="20276" xr:uid="{07D44922-F934-4E46-888F-73D102247C87}"/>
    <cellStyle name="20% - Akzent1 4 4 4" xfId="40433" xr:uid="{1BD033B0-77A3-4EB7-89CD-F045406F5315}"/>
    <cellStyle name="20% - Akzent1 4 5" xfId="658" xr:uid="{E08B85AF-4F44-4572-BC2E-1696565FE121}"/>
    <cellStyle name="20% - Akzent1 4 5 2" xfId="659" xr:uid="{6A8712D7-71B2-4976-A8BC-32D41E185383}"/>
    <cellStyle name="20% - Akzent1 4 5 2 2" xfId="20279" xr:uid="{DD1D846A-FBCB-4407-A377-7A03587871EA}"/>
    <cellStyle name="20% - Akzent1 4 5 3" xfId="20278" xr:uid="{69714103-FC2F-451D-A860-C3CD68430B8E}"/>
    <cellStyle name="20% - Akzent1 4 5 4" xfId="41293" xr:uid="{992D7299-C023-4F72-8203-3E81DEE0FB87}"/>
    <cellStyle name="20% - Akzent1 4 6" xfId="660" xr:uid="{A68DEE8A-6BD0-4D60-B9F9-BA0C2C8CD594}"/>
    <cellStyle name="20% - Akzent1 4 6 2" xfId="661" xr:uid="{A5492AF2-813D-43FB-871B-8CD0EDD35C10}"/>
    <cellStyle name="20% - Akzent1 4 6 2 2" xfId="20281" xr:uid="{AFFF6A3A-66CD-4498-94B9-A2479655D892}"/>
    <cellStyle name="20% - Akzent1 4 6 3" xfId="20280" xr:uid="{15CF4ED6-7880-46CF-9927-A7E2183792B0}"/>
    <cellStyle name="20% - Akzent1 4 7" xfId="662" xr:uid="{FED3AB30-FE2D-4E3A-A833-CF9DD942727A}"/>
    <cellStyle name="20% - Akzent1 4 7 2" xfId="663" xr:uid="{2454C434-871D-4E36-BF0B-3C0EBBD07A40}"/>
    <cellStyle name="20% - Akzent1 4 7 2 2" xfId="20283" xr:uid="{0F921FF1-51EC-481D-B75F-38488CE69B59}"/>
    <cellStyle name="20% - Akzent1 4 7 3" xfId="20282" xr:uid="{D001F7DA-B1AF-4E96-BC10-130A4C55D967}"/>
    <cellStyle name="20% - Akzent1 4 8" xfId="664" xr:uid="{74712D8B-60B6-4475-9B6A-C2B36D830E47}"/>
    <cellStyle name="20% - Akzent1 4 8 2" xfId="665" xr:uid="{4D6465F0-FFEF-4350-9D75-1DE57ABC6CA3}"/>
    <cellStyle name="20% - Akzent1 4 8 2 2" xfId="20285" xr:uid="{55D0DF9A-BB83-456F-88FD-066BFF0AE797}"/>
    <cellStyle name="20% - Akzent1 4 8 3" xfId="20284" xr:uid="{A8AF80BB-618F-4FCA-AA59-04FE6F477B1E}"/>
    <cellStyle name="20% - Akzent1 4 9" xfId="666" xr:uid="{F0F14226-9F42-498B-B8A9-642DBF50722E}"/>
    <cellStyle name="20% - Akzent1 4 9 2" xfId="667" xr:uid="{8A5BEE9E-C432-43E8-94A2-74A80DD9DBB2}"/>
    <cellStyle name="20% - Akzent1 4 9 2 2" xfId="20287" xr:uid="{8892D55C-8CC8-4287-B53F-1DDFA07496D5}"/>
    <cellStyle name="20% - Akzent1 4 9 3" xfId="20286" xr:uid="{D29293B4-2DB0-49AB-B0BA-024E39F07A87}"/>
    <cellStyle name="20% - Akzent1 40" xfId="668" xr:uid="{F0F792E8-900A-44E0-9BF6-07DC0D7231D5}"/>
    <cellStyle name="20% - Akzent1 40 2" xfId="669" xr:uid="{FE300B32-265C-4CD6-8FC5-FF98B8B93B4D}"/>
    <cellStyle name="20% - Akzent1 40 2 2" xfId="20289" xr:uid="{06BE876E-EBB4-4640-B851-C39DA55E1942}"/>
    <cellStyle name="20% - Akzent1 40 3" xfId="20288" xr:uid="{6F8E670F-7C4D-4546-998B-728E2D8F694E}"/>
    <cellStyle name="20% - Akzent1 41" xfId="670" xr:uid="{71C1801A-24F4-4E23-A6B0-91BFF5B2B940}"/>
    <cellStyle name="20% - Akzent1 41 2" xfId="671" xr:uid="{140FE7AE-CD6A-432D-8F46-F912C934B330}"/>
    <cellStyle name="20% - Akzent1 41 2 2" xfId="20291" xr:uid="{0E703173-E9A1-447D-BDAF-BD1F9C603E46}"/>
    <cellStyle name="20% - Akzent1 41 3" xfId="20290" xr:uid="{4B67FCFC-3823-423A-B23E-345DE98B2A79}"/>
    <cellStyle name="20% - Akzent1 42" xfId="672" xr:uid="{5CA3B07D-7697-45E7-873F-02745A72DE1E}"/>
    <cellStyle name="20% - Akzent1 42 2" xfId="673" xr:uid="{8EFAB8CD-1916-4714-B85C-736F8F8F3622}"/>
    <cellStyle name="20% - Akzent1 42 2 2" xfId="20293" xr:uid="{07CCE07E-41A1-4FB0-ADFA-566D9F2D2CB7}"/>
    <cellStyle name="20% - Akzent1 42 3" xfId="20292" xr:uid="{25D7888F-1A2B-4206-9F4C-D553819FB443}"/>
    <cellStyle name="20% - Akzent1 43" xfId="674" xr:uid="{D08A5671-5F54-4E66-AAC2-6865DBCE7213}"/>
    <cellStyle name="20% - Akzent1 43 2" xfId="675" xr:uid="{6A62DB53-30E7-4C9C-89E1-F972652952F1}"/>
    <cellStyle name="20% - Akzent1 43 2 2" xfId="20295" xr:uid="{E3D14DF5-BDE6-425B-AD3B-1B7A4E9D6E38}"/>
    <cellStyle name="20% - Akzent1 43 3" xfId="20294" xr:uid="{0EDCD59F-D721-4828-985B-9D5BA9B930B7}"/>
    <cellStyle name="20% - Akzent1 44" xfId="676" xr:uid="{75E00721-8A7D-4919-9A91-99942945C588}"/>
    <cellStyle name="20% - Akzent1 44 2" xfId="677" xr:uid="{1FAD4226-7152-4DD9-84AF-B76F78421CA7}"/>
    <cellStyle name="20% - Akzent1 44 2 2" xfId="20297" xr:uid="{B0C7A380-EEBD-418A-B4F0-3F460AF007D1}"/>
    <cellStyle name="20% - Akzent1 44 3" xfId="20296" xr:uid="{014CD202-3F1B-48BB-A7E8-F960875AA525}"/>
    <cellStyle name="20% - Akzent1 45" xfId="678" xr:uid="{A9167520-3DB7-4CA6-B188-F1C990D72724}"/>
    <cellStyle name="20% - Akzent1 45 2" xfId="679" xr:uid="{8CBE732E-674F-4BB4-A808-4D654A552D26}"/>
    <cellStyle name="20% - Akzent1 45 2 2" xfId="20299" xr:uid="{71CB704C-34A7-4E4F-A1E1-17E7C3050596}"/>
    <cellStyle name="20% - Akzent1 45 3" xfId="20298" xr:uid="{79AFB0BC-371D-412D-880D-11F45171C306}"/>
    <cellStyle name="20% - Akzent1 46" xfId="680" xr:uid="{5D3A4639-8B8B-43CA-80C3-695CE5F2E097}"/>
    <cellStyle name="20% - Akzent1 46 2" xfId="681" xr:uid="{042C8966-D787-4345-BC7D-50AACDF8E8F7}"/>
    <cellStyle name="20% - Akzent1 46 2 2" xfId="20301" xr:uid="{1C883017-B928-4AF6-916A-3C7729084E75}"/>
    <cellStyle name="20% - Akzent1 46 3" xfId="20300" xr:uid="{35AF1C3B-93E0-4DAB-B691-E3D7A4C85EA7}"/>
    <cellStyle name="20% - Akzent1 47" xfId="682" xr:uid="{086C0AB0-3880-49B2-A6C5-0844DED0FFA7}"/>
    <cellStyle name="20% - Akzent1 47 2" xfId="683" xr:uid="{4827080B-EA6B-49A6-8E22-D3806BC71D66}"/>
    <cellStyle name="20% - Akzent1 47 2 2" xfId="20303" xr:uid="{E847C815-558E-4B5E-B0D4-613B220F8B4F}"/>
    <cellStyle name="20% - Akzent1 47 3" xfId="20302" xr:uid="{89F76317-1403-46EF-8F88-7D3ABCD56AA8}"/>
    <cellStyle name="20% - Akzent1 48" xfId="684" xr:uid="{00CF604B-0ABB-4B3F-901C-7D852ED927CF}"/>
    <cellStyle name="20% - Akzent1 48 2" xfId="685" xr:uid="{CF6C55D8-38E2-4FF6-AD37-3814E99BCB25}"/>
    <cellStyle name="20% - Akzent1 48 2 2" xfId="20305" xr:uid="{0D21572A-DCB6-45B2-A3A2-433C5915F0E8}"/>
    <cellStyle name="20% - Akzent1 48 3" xfId="20304" xr:uid="{0F82A365-76FA-4E2D-B637-FEAF606D2E98}"/>
    <cellStyle name="20% - Akzent1 49" xfId="686" xr:uid="{D0965C51-7FB4-4523-91E0-ED525751A388}"/>
    <cellStyle name="20% - Akzent1 49 2" xfId="687" xr:uid="{D3BFEF53-39C8-4410-9A05-45FF89D8E88F}"/>
    <cellStyle name="20% - Akzent1 49 2 2" xfId="20307" xr:uid="{80F41DF1-98DF-4FC7-8AC0-658D495A10AD}"/>
    <cellStyle name="20% - Akzent1 49 3" xfId="20306" xr:uid="{8E61B1AF-A75D-49BA-841B-BFC46099668F}"/>
    <cellStyle name="20% - Akzent1 5" xfId="688" xr:uid="{2027CE1A-068A-4E68-8310-A4429845720F}"/>
    <cellStyle name="20% - Akzent1 5 10" xfId="689" xr:uid="{07724C4E-61A5-42F7-B338-CF0E089DDF6D}"/>
    <cellStyle name="20% - Akzent1 5 10 2" xfId="690" xr:uid="{6ECE8C15-6C21-4340-848A-8A4A24A49C4D}"/>
    <cellStyle name="20% - Akzent1 5 10 2 2" xfId="20310" xr:uid="{D42210C6-ECEF-487A-BBCB-3D40C3997CCA}"/>
    <cellStyle name="20% - Akzent1 5 10 3" xfId="20309" xr:uid="{EDA15B55-A2DA-46FC-BBAD-0579E7E05255}"/>
    <cellStyle name="20% - Akzent1 5 11" xfId="691" xr:uid="{F3EF6D9B-AEBD-4A65-8DD9-98674EC058A5}"/>
    <cellStyle name="20% - Akzent1 5 11 2" xfId="692" xr:uid="{92EC34E9-3201-4CB0-8CBA-11109537955D}"/>
    <cellStyle name="20% - Akzent1 5 11 2 2" xfId="20312" xr:uid="{E3E081D8-6237-4F17-A829-B8000E2F5453}"/>
    <cellStyle name="20% - Akzent1 5 11 3" xfId="20311" xr:uid="{5363AB2A-B9FC-43AF-A3E5-2FC88C6615A8}"/>
    <cellStyle name="20% - Akzent1 5 12" xfId="693" xr:uid="{54A93DBD-60CC-41E4-A96B-D46634E39025}"/>
    <cellStyle name="20% - Akzent1 5 12 2" xfId="694" xr:uid="{DC95B3EF-F576-477F-8EF2-4EA5175AB6C0}"/>
    <cellStyle name="20% - Akzent1 5 12 2 2" xfId="20314" xr:uid="{811C8B73-CB6F-4B61-B593-72F3BD86FAC0}"/>
    <cellStyle name="20% - Akzent1 5 12 3" xfId="20313" xr:uid="{DFEA237F-E91F-4947-A5CB-C63927BD167B}"/>
    <cellStyle name="20% - Akzent1 5 13" xfId="695" xr:uid="{755024A9-0D8A-469A-8BE5-5F128F1C7F32}"/>
    <cellStyle name="20% - Akzent1 5 13 2" xfId="696" xr:uid="{58A72D93-E8A9-4D85-B8DF-5229CAA20AD3}"/>
    <cellStyle name="20% - Akzent1 5 13 2 2" xfId="20316" xr:uid="{B956E38E-C8F5-43F0-9A09-F54CF3CDB32F}"/>
    <cellStyle name="20% - Akzent1 5 13 3" xfId="20315" xr:uid="{AAB48C56-3AE8-4F34-BF34-33B29D847D10}"/>
    <cellStyle name="20% - Akzent1 5 14" xfId="697" xr:uid="{CE394CB1-5E01-4DF6-8252-7E067D2822F5}"/>
    <cellStyle name="20% - Akzent1 5 14 2" xfId="698" xr:uid="{A793B891-1922-4228-A482-8C8A98F4D357}"/>
    <cellStyle name="20% - Akzent1 5 14 2 2" xfId="20318" xr:uid="{B7CEB55A-FD8E-4499-816A-459605EED863}"/>
    <cellStyle name="20% - Akzent1 5 14 3" xfId="20317" xr:uid="{9B975368-5A66-4182-AFD1-9502E3BA9F97}"/>
    <cellStyle name="20% - Akzent1 5 15" xfId="699" xr:uid="{C3B2B4C7-69F2-4B33-B9BB-E4760307BD52}"/>
    <cellStyle name="20% - Akzent1 5 15 2" xfId="700" xr:uid="{B6DF5787-8992-4C59-83DE-6B7DC45AD3C1}"/>
    <cellStyle name="20% - Akzent1 5 15 2 2" xfId="20320" xr:uid="{813AEBD5-D554-4AFA-AFA9-3FB113453B5A}"/>
    <cellStyle name="20% - Akzent1 5 15 3" xfId="20319" xr:uid="{B4DA1FF2-2914-4FD3-892F-D9BFC5254ECC}"/>
    <cellStyle name="20% - Akzent1 5 16" xfId="701" xr:uid="{D919977E-68F1-4C11-B39B-10A7378B4F35}"/>
    <cellStyle name="20% - Akzent1 5 16 2" xfId="702" xr:uid="{71E71609-A71B-442A-AA54-B9B92D47D84C}"/>
    <cellStyle name="20% - Akzent1 5 16 2 2" xfId="20322" xr:uid="{0889C82D-86A6-4D73-86DC-12547165FBA5}"/>
    <cellStyle name="20% - Akzent1 5 16 3" xfId="20321" xr:uid="{661A401B-B485-4446-BD60-9DEE9BE6F4F2}"/>
    <cellStyle name="20% - Akzent1 5 17" xfId="703" xr:uid="{285F2380-04AF-4011-9EAB-144D0D74AE70}"/>
    <cellStyle name="20% - Akzent1 5 17 2" xfId="704" xr:uid="{50D04475-BDAA-4119-BC08-BE3235BB7DEE}"/>
    <cellStyle name="20% - Akzent1 5 17 2 2" xfId="20324" xr:uid="{ED5E91A1-3BE7-4FFA-81BC-ACEED142C820}"/>
    <cellStyle name="20% - Akzent1 5 17 3" xfId="20323" xr:uid="{C2B9C343-36A8-4A66-87E2-416FBEE828C6}"/>
    <cellStyle name="20% - Akzent1 5 18" xfId="705" xr:uid="{A870C353-08D1-48DF-B8B7-03FD1A3655B2}"/>
    <cellStyle name="20% - Akzent1 5 18 2" xfId="706" xr:uid="{EFC7CC87-FFC2-4857-853A-B14490C6921F}"/>
    <cellStyle name="20% - Akzent1 5 18 2 2" xfId="20326" xr:uid="{5148ABB4-C332-441D-9970-95B3D1E39BA9}"/>
    <cellStyle name="20% - Akzent1 5 18 3" xfId="20325" xr:uid="{140D2035-0FD4-4763-9FC4-CA771627E3F1}"/>
    <cellStyle name="20% - Akzent1 5 19" xfId="707" xr:uid="{04DA8074-A13F-4B0C-BE70-EA5FC245CC46}"/>
    <cellStyle name="20% - Akzent1 5 19 2" xfId="708" xr:uid="{332A7B09-0010-4507-9D9C-F5B1695C5F0F}"/>
    <cellStyle name="20% - Akzent1 5 19 2 2" xfId="20328" xr:uid="{D097414B-0841-40AC-B0A6-52BA4D14411A}"/>
    <cellStyle name="20% - Akzent1 5 19 3" xfId="20327" xr:uid="{9D9F6107-329D-4143-8A45-3B1E325ACC93}"/>
    <cellStyle name="20% - Akzent1 5 2" xfId="709" xr:uid="{EB6F32BB-77A3-4015-ABE6-0D5E1CE5C1E4}"/>
    <cellStyle name="20% - Akzent1 5 2 2" xfId="710" xr:uid="{F8E365BC-E2E4-477C-9D9A-43525E2D5F05}"/>
    <cellStyle name="20% - Akzent1 5 2 2 2" xfId="20330" xr:uid="{B6D32C7B-34D8-4681-90E8-A32B2A64670F}"/>
    <cellStyle name="20% - Akzent1 5 2 3" xfId="20329" xr:uid="{7A84AC45-362B-4C0E-83C4-23D322416423}"/>
    <cellStyle name="20% - Akzent1 5 20" xfId="711" xr:uid="{941EB162-0BE7-4F7E-9AF4-1476765613F7}"/>
    <cellStyle name="20% - Akzent1 5 20 2" xfId="712" xr:uid="{C5B92E94-73DB-471A-8BA0-F64B013FAECF}"/>
    <cellStyle name="20% - Akzent1 5 20 2 2" xfId="20332" xr:uid="{A6F47762-7E78-4204-BF29-653E656677C8}"/>
    <cellStyle name="20% - Akzent1 5 20 3" xfId="20331" xr:uid="{3C0E97CB-06CE-4DB6-A025-E278B0C626BF}"/>
    <cellStyle name="20% - Akzent1 5 21" xfId="713" xr:uid="{516D9267-008D-4DC0-90DE-0E81ECE01A28}"/>
    <cellStyle name="20% - Akzent1 5 21 2" xfId="714" xr:uid="{5AD556A3-6635-4092-A894-430556DF727D}"/>
    <cellStyle name="20% - Akzent1 5 21 2 2" xfId="20334" xr:uid="{AFFB76B0-338F-4B54-A5C1-8D3053DB4A38}"/>
    <cellStyle name="20% - Akzent1 5 21 3" xfId="20333" xr:uid="{17D0768F-2965-4EC7-A24A-CBC2F0EEDAA9}"/>
    <cellStyle name="20% - Akzent1 5 22" xfId="715" xr:uid="{DC265F1B-3FCB-4167-8859-1C13B1380443}"/>
    <cellStyle name="20% - Akzent1 5 22 2" xfId="20335" xr:uid="{CAFD7648-7721-478D-85F0-635D3D461A75}"/>
    <cellStyle name="20% - Akzent1 5 23" xfId="716" xr:uid="{A5676131-BE4B-4446-995A-5996B1F10502}"/>
    <cellStyle name="20% - Akzent1 5 23 2" xfId="20336" xr:uid="{52BB44FA-9B56-4244-AD4A-D8225A498F76}"/>
    <cellStyle name="20% - Akzent1 5 24" xfId="20308" xr:uid="{F8DD10DC-6A48-4E86-BEA1-E38988EC9672}"/>
    <cellStyle name="20% - Akzent1 5 25" xfId="39277" xr:uid="{702CE3AB-1005-4574-8911-7BB7BE87349E}"/>
    <cellStyle name="20% - Akzent1 5 3" xfId="717" xr:uid="{D90AE805-850D-40B7-BAB4-76A725E98102}"/>
    <cellStyle name="20% - Akzent1 5 3 2" xfId="718" xr:uid="{54D63A85-6AD3-4C9D-804B-FFAA68177BEB}"/>
    <cellStyle name="20% - Akzent1 5 3 2 2" xfId="20338" xr:uid="{37BC2809-CF12-4EB9-AAA5-6F3AEF78606B}"/>
    <cellStyle name="20% - Akzent1 5 3 3" xfId="20337" xr:uid="{8FFCB4E5-1942-4B9C-B9C6-81FDF26482C0}"/>
    <cellStyle name="20% - Akzent1 5 4" xfId="719" xr:uid="{E4B37234-5DE0-4171-962A-46D4DD0F9A48}"/>
    <cellStyle name="20% - Akzent1 5 4 2" xfId="720" xr:uid="{9E254563-DD29-478B-841A-39C003331D4E}"/>
    <cellStyle name="20% - Akzent1 5 4 2 2" xfId="20340" xr:uid="{904D10EB-5EA1-4DE1-A003-ECD957E501AD}"/>
    <cellStyle name="20% - Akzent1 5 4 3" xfId="20339" xr:uid="{EDD3DA8D-0EAC-499E-8397-E5280D0D0B92}"/>
    <cellStyle name="20% - Akzent1 5 5" xfId="721" xr:uid="{3F8530C8-2FD8-4F45-8262-F2471AB279C2}"/>
    <cellStyle name="20% - Akzent1 5 5 2" xfId="722" xr:uid="{3F9C6941-465C-4252-996D-5FF73C600C8B}"/>
    <cellStyle name="20% - Akzent1 5 5 2 2" xfId="20342" xr:uid="{DED5A587-FEF5-4835-9490-94871D09184C}"/>
    <cellStyle name="20% - Akzent1 5 5 3" xfId="20341" xr:uid="{EEE77E0E-8F4F-4A5B-92DF-B99F9F07D35B}"/>
    <cellStyle name="20% - Akzent1 5 6" xfId="723" xr:uid="{3F9713CE-7285-43C5-A27C-1FA7A6F59A01}"/>
    <cellStyle name="20% - Akzent1 5 6 2" xfId="724" xr:uid="{699243E9-56A6-4D13-90CC-1AC70E5462F0}"/>
    <cellStyle name="20% - Akzent1 5 6 2 2" xfId="20344" xr:uid="{1A3A044A-B923-4181-B3D9-79AF5F8DEA02}"/>
    <cellStyle name="20% - Akzent1 5 6 3" xfId="20343" xr:uid="{5E807C79-2166-46A9-A232-A1BAC1E2BCE0}"/>
    <cellStyle name="20% - Akzent1 5 7" xfId="725" xr:uid="{0643D8F8-8457-47EF-9124-64429803B463}"/>
    <cellStyle name="20% - Akzent1 5 7 2" xfId="726" xr:uid="{863735E1-93DD-4099-A779-7B0E481674F7}"/>
    <cellStyle name="20% - Akzent1 5 7 2 2" xfId="20346" xr:uid="{55D9AE92-41EB-4DAD-AC16-766B829E8199}"/>
    <cellStyle name="20% - Akzent1 5 7 3" xfId="20345" xr:uid="{F8D0BDA9-26CB-4E4E-B03F-69E578CEEE76}"/>
    <cellStyle name="20% - Akzent1 5 8" xfId="727" xr:uid="{E092DDA3-8E6F-4AFF-86BA-32CA2D016ED2}"/>
    <cellStyle name="20% - Akzent1 5 8 2" xfId="728" xr:uid="{C5ED0145-6802-4ED4-81DB-FA6A4E044EB5}"/>
    <cellStyle name="20% - Akzent1 5 8 2 2" xfId="20348" xr:uid="{B610E3C1-0B99-4E17-A9D6-C8463DE2B76B}"/>
    <cellStyle name="20% - Akzent1 5 8 3" xfId="20347" xr:uid="{B8C2F766-97DA-439E-95F1-6428AB7B7572}"/>
    <cellStyle name="20% - Akzent1 5 9" xfId="729" xr:uid="{5E016F38-D66D-4CD8-BD6F-BD34A001935B}"/>
    <cellStyle name="20% - Akzent1 5 9 2" xfId="730" xr:uid="{2A99E2DE-F19D-400A-B703-D694875BE37D}"/>
    <cellStyle name="20% - Akzent1 5 9 2 2" xfId="20350" xr:uid="{97321CD5-2F9F-4001-B601-B6962FDD6C1B}"/>
    <cellStyle name="20% - Akzent1 5 9 3" xfId="20349" xr:uid="{D53D2D8C-C817-4FB2-9F5D-F142C08E5EBF}"/>
    <cellStyle name="20% - Akzent1 50" xfId="731" xr:uid="{C35002E9-F3D9-4281-9C3B-5D289F15D25E}"/>
    <cellStyle name="20% - Akzent1 50 2" xfId="732" xr:uid="{C8DDAD51-CDB4-4712-BC6C-E591809963B1}"/>
    <cellStyle name="20% - Akzent1 50 2 2" xfId="20352" xr:uid="{84D47A46-848E-4784-AEE7-22A55574E72C}"/>
    <cellStyle name="20% - Akzent1 50 3" xfId="20351" xr:uid="{C5FA9BF7-012D-4C1A-9ECB-F4A5F333FAFF}"/>
    <cellStyle name="20% - Akzent1 51" xfId="733" xr:uid="{B17CF5CD-381E-444D-867F-135DC7068D0C}"/>
    <cellStyle name="20% - Akzent1 51 2" xfId="734" xr:uid="{DFC926A6-5AE4-4728-8A58-0754A5334F23}"/>
    <cellStyle name="20% - Akzent1 51 2 2" xfId="20354" xr:uid="{BF3D12AD-B70B-418D-A1DD-4316ED21E6A1}"/>
    <cellStyle name="20% - Akzent1 51 3" xfId="20353" xr:uid="{F4176FE1-020E-46BC-AC63-2042F2C6AB47}"/>
    <cellStyle name="20% - Akzent1 52" xfId="735" xr:uid="{85DC67C7-4936-4EBF-9E65-85A4166229B3}"/>
    <cellStyle name="20% - Akzent1 52 2" xfId="736" xr:uid="{126DED03-2DE3-4C1B-928D-8123A9F8094D}"/>
    <cellStyle name="20% - Akzent1 52 2 2" xfId="20356" xr:uid="{B906E5D3-18F4-40E3-8C1E-8492A23E2272}"/>
    <cellStyle name="20% - Akzent1 52 3" xfId="20355" xr:uid="{5C736623-1F5D-4438-84CD-D1C0C449E7C7}"/>
    <cellStyle name="20% - Akzent1 53" xfId="737" xr:uid="{47C7D79C-3BD6-4003-A18A-2F492DA91C60}"/>
    <cellStyle name="20% - Akzent1 53 2" xfId="738" xr:uid="{44C4D599-FE86-4139-AA0D-282A91706A95}"/>
    <cellStyle name="20% - Akzent1 53 2 2" xfId="20358" xr:uid="{4AFC18F1-5194-4584-BF72-02D0685138C7}"/>
    <cellStyle name="20% - Akzent1 53 3" xfId="20357" xr:uid="{801195FD-E40C-4BB4-91F0-F55D2AF5D574}"/>
    <cellStyle name="20% - Akzent1 54" xfId="739" xr:uid="{7B54B4D1-22D9-48E5-9843-9D7CA456A2E1}"/>
    <cellStyle name="20% - Akzent1 54 2" xfId="740" xr:uid="{892C9A8A-9D9D-4934-A459-40191A6A32E9}"/>
    <cellStyle name="20% - Akzent1 54 2 2" xfId="20360" xr:uid="{21459087-9EAF-4A35-B5F0-2D011D91F032}"/>
    <cellStyle name="20% - Akzent1 54 3" xfId="20359" xr:uid="{8384FBEB-AE23-478C-856E-9AC3C8EEE7E7}"/>
    <cellStyle name="20% - Akzent1 55" xfId="741" xr:uid="{69BEC6B0-1259-4E37-9C27-7A040B33CDD0}"/>
    <cellStyle name="20% - Akzent1 55 2" xfId="742" xr:uid="{0B2F499B-8830-4BCC-85C2-B989B105A11F}"/>
    <cellStyle name="20% - Akzent1 55 2 2" xfId="20362" xr:uid="{0B54A95D-8D22-4B2B-9B59-C000934F95D9}"/>
    <cellStyle name="20% - Akzent1 55 3" xfId="20361" xr:uid="{9EDD8DA8-DF6E-42DC-B3B2-C5477B4D0ED4}"/>
    <cellStyle name="20% - Akzent1 56" xfId="743" xr:uid="{9272BEEA-657C-4B30-A860-455DEE4C80D4}"/>
    <cellStyle name="20% - Akzent1 56 2" xfId="744" xr:uid="{8F750986-50F9-40A8-8DD4-5613DE03CDAB}"/>
    <cellStyle name="20% - Akzent1 56 2 2" xfId="20364" xr:uid="{CBDDE233-8DF6-4C90-8460-2D48551BCF0E}"/>
    <cellStyle name="20% - Akzent1 56 3" xfId="20363" xr:uid="{43A61D61-7CA3-4807-A2E3-ACD0ADAC738F}"/>
    <cellStyle name="20% - Akzent1 57" xfId="745" xr:uid="{3AD1A5F7-B5EB-424F-9652-69B0B780DD3F}"/>
    <cellStyle name="20% - Akzent1 57 2" xfId="746" xr:uid="{EBCFC11F-3A22-497D-94DC-06696ED7D20E}"/>
    <cellStyle name="20% - Akzent1 57 2 2" xfId="20366" xr:uid="{2AEA3B8F-A5B0-463A-8771-F9E91C1387AC}"/>
    <cellStyle name="20% - Akzent1 57 3" xfId="20365" xr:uid="{CD91E78C-AE8E-4DA1-A362-E811020B2933}"/>
    <cellStyle name="20% - Akzent1 58" xfId="747" xr:uid="{8969B3C5-E7CF-4974-B914-3B11C22A61EA}"/>
    <cellStyle name="20% - Akzent1 58 2" xfId="748" xr:uid="{3D89DAC2-4E59-4399-B6C5-0AE81D901208}"/>
    <cellStyle name="20% - Akzent1 58 2 2" xfId="20368" xr:uid="{6CD0DF64-4A6F-43C2-AD7B-86584BD525D6}"/>
    <cellStyle name="20% - Akzent1 58 3" xfId="20367" xr:uid="{3F05E613-CA9F-4795-9962-1CE09146CDA1}"/>
    <cellStyle name="20% - Akzent1 59" xfId="749" xr:uid="{050EEB09-2A03-4CCF-903A-F84ABE43FCE4}"/>
    <cellStyle name="20% - Akzent1 59 2" xfId="750" xr:uid="{3C615ECE-B85D-439A-92AB-61B40F0439B8}"/>
    <cellStyle name="20% - Akzent1 59 2 2" xfId="20370" xr:uid="{16ABB7F9-96B1-439D-AD45-B923565A65BE}"/>
    <cellStyle name="20% - Akzent1 59 3" xfId="20369" xr:uid="{B06F654C-EC5E-4189-9B77-8319665413B3}"/>
    <cellStyle name="20% - Akzent1 6" xfId="751" xr:uid="{1DB64FF8-47B0-4C10-9808-EE801F3784D2}"/>
    <cellStyle name="20% - Akzent1 6 10" xfId="752" xr:uid="{18B1DF2D-2BCD-4FE7-B3EA-AEDD5BCCA994}"/>
    <cellStyle name="20% - Akzent1 6 10 2" xfId="753" xr:uid="{1643C017-20C2-4D58-9FB8-F837683B23A2}"/>
    <cellStyle name="20% - Akzent1 6 10 2 2" xfId="20373" xr:uid="{110E69EB-65C6-4DD5-9FFB-FA8B80966C50}"/>
    <cellStyle name="20% - Akzent1 6 10 3" xfId="20372" xr:uid="{BA3B5BB2-A7D4-4D7E-88D1-37BFB2B66C54}"/>
    <cellStyle name="20% - Akzent1 6 11" xfId="754" xr:uid="{CFE00333-E133-44FA-B0CF-4E3D36D65998}"/>
    <cellStyle name="20% - Akzent1 6 11 2" xfId="755" xr:uid="{1C20A9D1-EA21-4CC6-BF78-E966A0C06F34}"/>
    <cellStyle name="20% - Akzent1 6 11 2 2" xfId="20375" xr:uid="{CDA410B9-B0E6-4797-B792-424DC8974FB7}"/>
    <cellStyle name="20% - Akzent1 6 11 3" xfId="20374" xr:uid="{49656F9F-083D-4FB5-867E-B452FA637CE0}"/>
    <cellStyle name="20% - Akzent1 6 12" xfId="756" xr:uid="{57895BB9-426A-43F3-88C0-6F76606A0BEE}"/>
    <cellStyle name="20% - Akzent1 6 12 2" xfId="757" xr:uid="{AF9E3C52-EB9C-45B0-9355-E410B66B210C}"/>
    <cellStyle name="20% - Akzent1 6 12 2 2" xfId="20377" xr:uid="{AB0B4CBF-92EC-43FA-BB99-EE055FACED45}"/>
    <cellStyle name="20% - Akzent1 6 12 3" xfId="20376" xr:uid="{D417E0BF-F6A9-4EEA-9D59-2F4FA39EE287}"/>
    <cellStyle name="20% - Akzent1 6 13" xfId="758" xr:uid="{52AB5F70-9A2A-442E-8469-CCD19C885B2F}"/>
    <cellStyle name="20% - Akzent1 6 13 2" xfId="759" xr:uid="{7353A588-2BEB-4C6E-BB60-B18D894C8F02}"/>
    <cellStyle name="20% - Akzent1 6 13 2 2" xfId="20379" xr:uid="{312BFE2D-542E-4831-A947-AFCE041F7972}"/>
    <cellStyle name="20% - Akzent1 6 13 3" xfId="20378" xr:uid="{0EB9B397-072B-4AE9-B3CC-955EF6EF7B07}"/>
    <cellStyle name="20% - Akzent1 6 14" xfId="760" xr:uid="{00BA3A8B-6A4D-4753-890D-804A65D10E52}"/>
    <cellStyle name="20% - Akzent1 6 14 2" xfId="761" xr:uid="{537044B7-4E50-4A60-B02D-01554B4A36E1}"/>
    <cellStyle name="20% - Akzent1 6 14 2 2" xfId="20381" xr:uid="{5E6C6BD3-F3EE-4B9C-A756-38B84FB7BEAD}"/>
    <cellStyle name="20% - Akzent1 6 14 3" xfId="20380" xr:uid="{222DF3AD-481C-4F71-B2CA-6E9C1FAFB17D}"/>
    <cellStyle name="20% - Akzent1 6 15" xfId="762" xr:uid="{457C066E-DD11-4552-93FA-2B09DA809384}"/>
    <cellStyle name="20% - Akzent1 6 15 2" xfId="763" xr:uid="{DFC6D8AF-CC90-4224-9EAC-992853C4563F}"/>
    <cellStyle name="20% - Akzent1 6 15 2 2" xfId="20383" xr:uid="{129CE091-B82A-4544-8165-587A1D8104ED}"/>
    <cellStyle name="20% - Akzent1 6 15 3" xfId="20382" xr:uid="{BF1B34C7-38FB-48ED-B7C8-9079650C89CD}"/>
    <cellStyle name="20% - Akzent1 6 16" xfId="764" xr:uid="{50E8C93C-CA7C-4CFD-AB6C-CA666661B586}"/>
    <cellStyle name="20% - Akzent1 6 16 2" xfId="765" xr:uid="{F0F17995-74F6-4DFC-98C6-A6049944A232}"/>
    <cellStyle name="20% - Akzent1 6 16 2 2" xfId="20385" xr:uid="{EBB5C216-E168-4332-936E-1651FB8EE876}"/>
    <cellStyle name="20% - Akzent1 6 16 3" xfId="20384" xr:uid="{F974FE6B-A0AE-4EC2-8C06-5904C06BB2F3}"/>
    <cellStyle name="20% - Akzent1 6 17" xfId="766" xr:uid="{0AA0A3DF-DE09-43FB-AFD2-44379C9468A4}"/>
    <cellStyle name="20% - Akzent1 6 17 2" xfId="767" xr:uid="{3B379B40-FECD-44FD-A45C-E5DF987DF2E7}"/>
    <cellStyle name="20% - Akzent1 6 17 2 2" xfId="20387" xr:uid="{4653D952-8281-4ED1-8E9B-0ABD76387216}"/>
    <cellStyle name="20% - Akzent1 6 17 3" xfId="20386" xr:uid="{5DC58764-476F-4C81-BE09-D6F860305023}"/>
    <cellStyle name="20% - Akzent1 6 18" xfId="768" xr:uid="{1A02A18F-4526-4294-8620-4F74B115FB39}"/>
    <cellStyle name="20% - Akzent1 6 18 2" xfId="769" xr:uid="{46B24ED3-F764-4411-9158-0BF967C592B3}"/>
    <cellStyle name="20% - Akzent1 6 18 2 2" xfId="20389" xr:uid="{2CD8EADF-68BC-45C1-B077-D8CA251DD67A}"/>
    <cellStyle name="20% - Akzent1 6 18 3" xfId="20388" xr:uid="{2AFB03FF-D232-4660-8AC4-3DBABDDCB7AF}"/>
    <cellStyle name="20% - Akzent1 6 19" xfId="770" xr:uid="{418B903C-FD91-4D0B-9240-A7432C0D721C}"/>
    <cellStyle name="20% - Akzent1 6 19 2" xfId="771" xr:uid="{09A61BD1-0074-4C64-AB8C-BD46B4977910}"/>
    <cellStyle name="20% - Akzent1 6 19 2 2" xfId="20391" xr:uid="{644991D1-A5D9-4E57-8DAB-874B06A2B092}"/>
    <cellStyle name="20% - Akzent1 6 19 3" xfId="20390" xr:uid="{9BD79ECB-85CD-41EC-B1F1-AC7C884E44DE}"/>
    <cellStyle name="20% - Akzent1 6 2" xfId="772" xr:uid="{1890C77B-F8DA-4A2D-8457-41AF5A4292B5}"/>
    <cellStyle name="20% - Akzent1 6 20" xfId="773" xr:uid="{1FDC7F0E-A4E7-42EA-8472-A64654FE92EA}"/>
    <cellStyle name="20% - Akzent1 6 20 2" xfId="774" xr:uid="{668C8F41-C2A4-4C45-ABB2-BA3929532A46}"/>
    <cellStyle name="20% - Akzent1 6 20 2 2" xfId="20393" xr:uid="{EE967987-185E-4081-AA0F-BC82B9EFA83D}"/>
    <cellStyle name="20% - Akzent1 6 20 3" xfId="20392" xr:uid="{1D7558E2-8E98-4AA9-A7D1-78E8320884D0}"/>
    <cellStyle name="20% - Akzent1 6 21" xfId="775" xr:uid="{7D202794-9B54-48E3-BF42-059D6B69C5F6}"/>
    <cellStyle name="20% - Akzent1 6 21 2" xfId="776" xr:uid="{783EBB9B-927D-47EE-BA69-4BA16D60EDE8}"/>
    <cellStyle name="20% - Akzent1 6 21 2 2" xfId="20395" xr:uid="{16BA1FF4-124B-40FF-BAEA-D71309035F59}"/>
    <cellStyle name="20% - Akzent1 6 21 3" xfId="20394" xr:uid="{E267B022-DAA8-4477-B91A-471911B613F9}"/>
    <cellStyle name="20% - Akzent1 6 22" xfId="777" xr:uid="{A3602CF5-8DBE-4E07-956D-D95A2086FFFF}"/>
    <cellStyle name="20% - Akzent1 6 22 2" xfId="20396" xr:uid="{7F49BB9F-396D-4CEF-A0FC-C9B60B58BEF2}"/>
    <cellStyle name="20% - Akzent1 6 23" xfId="778" xr:uid="{282A5FB2-F75A-429E-BE08-468718C10006}"/>
    <cellStyle name="20% - Akzent1 6 23 2" xfId="20397" xr:uid="{D3CB6685-B967-46E2-93D0-EE52EED99726}"/>
    <cellStyle name="20% - Akzent1 6 24" xfId="20371" xr:uid="{59DF80BB-C5E2-4275-BA57-C08165EB083B}"/>
    <cellStyle name="20% - Akzent1 6 3" xfId="779" xr:uid="{A7A53BCC-4AA8-45B2-BC15-57F042822962}"/>
    <cellStyle name="20% - Akzent1 6 3 2" xfId="780" xr:uid="{417C01FC-37A4-4207-94D9-94180689F9C9}"/>
    <cellStyle name="20% - Akzent1 6 3 2 2" xfId="20399" xr:uid="{C5C454AD-C7A9-4B01-BE46-B087528B2F74}"/>
    <cellStyle name="20% - Akzent1 6 3 3" xfId="20398" xr:uid="{6F922D47-1950-4CC0-A76F-C085BE0C7080}"/>
    <cellStyle name="20% - Akzent1 6 4" xfId="781" xr:uid="{DC0B8925-E9EE-4830-A532-1F149DB7ECFE}"/>
    <cellStyle name="20% - Akzent1 6 4 2" xfId="782" xr:uid="{7EAF56C1-180C-40A1-B454-AB2ACC875D91}"/>
    <cellStyle name="20% - Akzent1 6 4 2 2" xfId="20401" xr:uid="{DB91D3C7-F8A0-4814-A8C1-108A7D9BD338}"/>
    <cellStyle name="20% - Akzent1 6 4 3" xfId="20400" xr:uid="{52BF6FD2-CADA-4B17-B66C-511FEC46FDA8}"/>
    <cellStyle name="20% - Akzent1 6 5" xfId="783" xr:uid="{A6503F82-642D-4D3E-A7AC-1BDC03505B9D}"/>
    <cellStyle name="20% - Akzent1 6 5 2" xfId="784" xr:uid="{0058C328-08CC-49CF-84CE-6BAAA3B45791}"/>
    <cellStyle name="20% - Akzent1 6 5 2 2" xfId="20403" xr:uid="{E24C079E-377B-4AAB-947E-DC5EB85E2D43}"/>
    <cellStyle name="20% - Akzent1 6 5 3" xfId="20402" xr:uid="{37CA7494-1575-4F0A-B3CD-CC2341956F9C}"/>
    <cellStyle name="20% - Akzent1 6 6" xfId="785" xr:uid="{5F426482-CACF-4AA7-809D-BAC2270F2529}"/>
    <cellStyle name="20% - Akzent1 6 6 2" xfId="786" xr:uid="{550BBC2A-400B-43CE-9FA6-6417C97E7536}"/>
    <cellStyle name="20% - Akzent1 6 6 2 2" xfId="20405" xr:uid="{961D98AD-E16B-4ED3-8D77-4C13D7529A20}"/>
    <cellStyle name="20% - Akzent1 6 6 3" xfId="20404" xr:uid="{F6A5FB8C-7F56-4D53-A32F-07AD70AFE0A5}"/>
    <cellStyle name="20% - Akzent1 6 7" xfId="787" xr:uid="{9F8B6DA7-944D-43F9-8923-F8EC62AC5968}"/>
    <cellStyle name="20% - Akzent1 6 7 2" xfId="788" xr:uid="{C7F41F1F-EFC3-433A-89CF-CBD3400579EE}"/>
    <cellStyle name="20% - Akzent1 6 7 2 2" xfId="20407" xr:uid="{B7A8ADF3-58D1-4BC0-964A-982F176F3B60}"/>
    <cellStyle name="20% - Akzent1 6 7 3" xfId="20406" xr:uid="{1DE53160-E50F-43A7-901A-5C5F9CD4384A}"/>
    <cellStyle name="20% - Akzent1 6 8" xfId="789" xr:uid="{7CB51423-0D6D-44B7-B338-E152E7C7EF3E}"/>
    <cellStyle name="20% - Akzent1 6 8 2" xfId="790" xr:uid="{5F7C9B96-EACA-495B-BFEF-D88D4AA24792}"/>
    <cellStyle name="20% - Akzent1 6 8 2 2" xfId="20409" xr:uid="{646CBDE5-3B51-45E1-B3E3-8F93EF249D0E}"/>
    <cellStyle name="20% - Akzent1 6 8 3" xfId="20408" xr:uid="{6F72DDB3-9D88-4D81-863D-2496A6A77D9F}"/>
    <cellStyle name="20% - Akzent1 6 9" xfId="791" xr:uid="{B76059CE-E42C-448A-9A08-1EEA8191D8AC}"/>
    <cellStyle name="20% - Akzent1 6 9 2" xfId="792" xr:uid="{A00432B5-BCE0-4845-B3D2-8649F65F6B58}"/>
    <cellStyle name="20% - Akzent1 6 9 2 2" xfId="20411" xr:uid="{B246D6F0-7AF6-48C4-9AC2-5F50BFECD18A}"/>
    <cellStyle name="20% - Akzent1 6 9 3" xfId="20410" xr:uid="{3022D814-5FD0-41A3-BAD9-97C132BA5507}"/>
    <cellStyle name="20% - Akzent1 60" xfId="793" xr:uid="{1D20C640-1C7C-4F54-A6B1-168BD7E3EE73}"/>
    <cellStyle name="20% - Akzent1 60 2" xfId="794" xr:uid="{CDE5C424-3C57-4194-A790-FDFE7596FD81}"/>
    <cellStyle name="20% - Akzent1 60 2 2" xfId="20413" xr:uid="{3B745D39-E5D4-40B8-9D2B-0E4718CEB2FB}"/>
    <cellStyle name="20% - Akzent1 60 3" xfId="20412" xr:uid="{CFE92087-FBEA-4BC9-8016-F814FA839FAF}"/>
    <cellStyle name="20% - Akzent1 61" xfId="795" xr:uid="{477DF579-E0AE-4CC7-A89B-7A71D3F5AE97}"/>
    <cellStyle name="20% - Akzent1 61 2" xfId="796" xr:uid="{560EDF3E-57F2-40EC-B981-615142EB8C46}"/>
    <cellStyle name="20% - Akzent1 61 2 2" xfId="20415" xr:uid="{2CAF7F32-6A48-4B7E-B5BF-8515C6A6964B}"/>
    <cellStyle name="20% - Akzent1 61 3" xfId="20414" xr:uid="{92D57B4E-1246-4B1B-979D-31E19E0C10E2}"/>
    <cellStyle name="20% - Akzent1 62" xfId="797" xr:uid="{0143DDE1-7EA2-436A-8065-91487D56BCCB}"/>
    <cellStyle name="20% - Akzent1 62 2" xfId="798" xr:uid="{E1AB8FD8-DB24-4151-9139-BC7A160B146C}"/>
    <cellStyle name="20% - Akzent1 62 2 2" xfId="20417" xr:uid="{C14E067E-56E6-4F04-9E7B-F6ED139D7C22}"/>
    <cellStyle name="20% - Akzent1 62 3" xfId="20416" xr:uid="{DCC37BB8-C9AB-4468-8FCF-D6E5668E4600}"/>
    <cellStyle name="20% - Akzent1 63" xfId="799" xr:uid="{194D3DC4-DB5C-4B88-8371-9B92C82EBAF3}"/>
    <cellStyle name="20% - Akzent1 63 2" xfId="800" xr:uid="{F163548F-75B3-4DC2-9571-BB780A4A4A03}"/>
    <cellStyle name="20% - Akzent1 63 2 2" xfId="20419" xr:uid="{1850ABCF-B6BE-4D9A-9C7E-21E2DD8FCC07}"/>
    <cellStyle name="20% - Akzent1 63 3" xfId="20418" xr:uid="{FE57DE06-4427-44AD-8A54-D13057877BBA}"/>
    <cellStyle name="20% - Akzent1 64" xfId="801" xr:uid="{3181BE99-EFA7-424D-8765-C58091C11237}"/>
    <cellStyle name="20% - Akzent1 64 2" xfId="802" xr:uid="{9F45C0E6-B05C-482D-A8C1-C7982D3F7F45}"/>
    <cellStyle name="20% - Akzent1 64 2 2" xfId="20421" xr:uid="{64692BCC-E832-4A76-86E2-DB99306DD504}"/>
    <cellStyle name="20% - Akzent1 64 3" xfId="20420" xr:uid="{7D5D7C98-22C5-4F15-9524-1CE03CF89402}"/>
    <cellStyle name="20% - Akzent1 65" xfId="803" xr:uid="{6C1D4A0E-09FB-42E6-9670-CE05DD49DCB5}"/>
    <cellStyle name="20% - Akzent1 65 2" xfId="804" xr:uid="{664E67FD-3827-4601-AE51-63C574DDDC69}"/>
    <cellStyle name="20% - Akzent1 65 2 2" xfId="20423" xr:uid="{0839EBAA-D533-47C8-B26C-3C6F5A43FAA4}"/>
    <cellStyle name="20% - Akzent1 65 3" xfId="20422" xr:uid="{3F4F2A79-DF7E-4ABA-8375-4116E02E94A6}"/>
    <cellStyle name="20% - Akzent1 66" xfId="805" xr:uid="{51DB0800-B2FC-48E7-AC35-7AFA97C3CE76}"/>
    <cellStyle name="20% - Akzent1 66 2" xfId="806" xr:uid="{26C27473-1697-4F74-B40B-9B93F94AFB3A}"/>
    <cellStyle name="20% - Akzent1 66 2 2" xfId="20425" xr:uid="{7E9A5A2A-A4A5-4858-8E55-5316B5D7FE58}"/>
    <cellStyle name="20% - Akzent1 66 3" xfId="20424" xr:uid="{2F79B4B4-C19D-4BF4-A570-F1C05343140C}"/>
    <cellStyle name="20% - Akzent1 67" xfId="807" xr:uid="{5FCBC029-F777-4CFC-B3AE-5E3FC3DB5CB7}"/>
    <cellStyle name="20% - Akzent1 67 2" xfId="808" xr:uid="{372AB1EA-7C32-4851-BF5D-0F4C20BE5D65}"/>
    <cellStyle name="20% - Akzent1 67 2 2" xfId="20427" xr:uid="{2CAB401F-E9DD-4D0D-8A66-AA4FC19A2BBC}"/>
    <cellStyle name="20% - Akzent1 67 3" xfId="20426" xr:uid="{940B8BC9-14F9-4EF2-89D9-53716EF636D3}"/>
    <cellStyle name="20% - Akzent1 68" xfId="809" xr:uid="{A426DFDB-E998-4E15-BA44-4808066EB83F}"/>
    <cellStyle name="20% - Akzent1 68 2" xfId="810" xr:uid="{54D812F6-DDAC-4A4E-BE54-96713F9134EF}"/>
    <cellStyle name="20% - Akzent1 68 2 2" xfId="20429" xr:uid="{F2B11322-A9F1-4DD7-8436-AEC7FCEA36C1}"/>
    <cellStyle name="20% - Akzent1 68 3" xfId="20428" xr:uid="{2706DB2C-CDFB-4EB6-B509-90C8F981B076}"/>
    <cellStyle name="20% - Akzent1 69" xfId="811" xr:uid="{60E9A90B-1A82-467D-90FB-8EEE5E7B5580}"/>
    <cellStyle name="20% - Akzent1 69 2" xfId="812" xr:uid="{7595D3F5-C14B-446F-99B9-4FA7429ECBCF}"/>
    <cellStyle name="20% - Akzent1 69 2 2" xfId="20431" xr:uid="{D1965BBF-B6D4-4A34-8283-FCD9F801AA05}"/>
    <cellStyle name="20% - Akzent1 69 3" xfId="20430" xr:uid="{F7F5821B-4183-48D5-93CA-C545A90B76D5}"/>
    <cellStyle name="20% - Akzent1 7" xfId="813" xr:uid="{C5E6B28D-9F33-4B52-91B8-DB7E1D5C6A39}"/>
    <cellStyle name="20% - Akzent1 7 10" xfId="814" xr:uid="{18ABA079-9599-4311-872D-EB11368B7392}"/>
    <cellStyle name="20% - Akzent1 7 10 2" xfId="815" xr:uid="{F82F34E9-1C81-49B3-B53F-C11A518C5CDC}"/>
    <cellStyle name="20% - Akzent1 7 10 2 2" xfId="20434" xr:uid="{E917F49C-5851-4BE7-90A0-6B5391E262C6}"/>
    <cellStyle name="20% - Akzent1 7 10 3" xfId="20433" xr:uid="{0CCA3462-275C-4802-BF74-E27577686388}"/>
    <cellStyle name="20% - Akzent1 7 11" xfId="816" xr:uid="{15245BE0-55ED-4172-ADC9-EE4AA36BD1E1}"/>
    <cellStyle name="20% - Akzent1 7 11 2" xfId="817" xr:uid="{94304D43-C47A-4E16-9D28-EAFB653AB17D}"/>
    <cellStyle name="20% - Akzent1 7 11 2 2" xfId="20436" xr:uid="{743B8421-E773-444E-9109-4F7D73975216}"/>
    <cellStyle name="20% - Akzent1 7 11 3" xfId="20435" xr:uid="{42B87924-99A6-463F-BDD2-09569A155EA8}"/>
    <cellStyle name="20% - Akzent1 7 12" xfId="818" xr:uid="{47ED2C4E-E1CF-40B7-ADA7-EDCA4B44364B}"/>
    <cellStyle name="20% - Akzent1 7 12 2" xfId="819" xr:uid="{6CE7FCE2-BA37-4BB6-A2CC-831B11FA8F0C}"/>
    <cellStyle name="20% - Akzent1 7 12 2 2" xfId="20438" xr:uid="{C145B98C-5B10-46C2-86A1-6BDAB32FF6E8}"/>
    <cellStyle name="20% - Akzent1 7 12 3" xfId="20437" xr:uid="{054445EB-A51C-48B3-B504-BAAC4EE2A1A7}"/>
    <cellStyle name="20% - Akzent1 7 13" xfId="820" xr:uid="{67C3DFEE-9DE9-491A-B011-A61700D5BE71}"/>
    <cellStyle name="20% - Akzent1 7 13 2" xfId="821" xr:uid="{15738C8B-12AE-421A-B010-FC314F935A62}"/>
    <cellStyle name="20% - Akzent1 7 13 2 2" xfId="20440" xr:uid="{DF47D6AC-C2F8-4366-9C13-0965A75EFD7A}"/>
    <cellStyle name="20% - Akzent1 7 13 3" xfId="20439" xr:uid="{43732A30-FD83-4F43-B42D-9881400685B2}"/>
    <cellStyle name="20% - Akzent1 7 14" xfId="822" xr:uid="{B0BC1798-9610-4454-835F-77EB7C3A85D5}"/>
    <cellStyle name="20% - Akzent1 7 14 2" xfId="823" xr:uid="{707FD8D7-9F16-4DB3-B741-3DFDCDE15432}"/>
    <cellStyle name="20% - Akzent1 7 14 2 2" xfId="20442" xr:uid="{F519853D-AE06-4A77-AFB9-EFCFB7834205}"/>
    <cellStyle name="20% - Akzent1 7 14 3" xfId="20441" xr:uid="{83BBFCB6-CC87-4ED9-A133-E98C5E973E43}"/>
    <cellStyle name="20% - Akzent1 7 15" xfId="824" xr:uid="{2E512670-80B7-44FB-A28B-5573F050C967}"/>
    <cellStyle name="20% - Akzent1 7 15 2" xfId="825" xr:uid="{3ECF839A-8391-4BB7-BF52-8F416FDC3E3A}"/>
    <cellStyle name="20% - Akzent1 7 15 2 2" xfId="20444" xr:uid="{C160FFCE-2998-476B-8CEC-A929FE8C8C78}"/>
    <cellStyle name="20% - Akzent1 7 15 3" xfId="20443" xr:uid="{3C8BB93E-3920-4A0C-A009-0984085588B7}"/>
    <cellStyle name="20% - Akzent1 7 16" xfId="826" xr:uid="{CAA02FFA-EA8D-4B5E-B84F-3A12A07D2DD5}"/>
    <cellStyle name="20% - Akzent1 7 16 2" xfId="827" xr:uid="{23849CB2-4CC3-44E0-A380-7ADD32B88CFC}"/>
    <cellStyle name="20% - Akzent1 7 16 2 2" xfId="20446" xr:uid="{EC05085D-D988-4FBE-8892-C6259257CBD8}"/>
    <cellStyle name="20% - Akzent1 7 16 3" xfId="20445" xr:uid="{D46E8925-9C91-4777-AC9D-31768E3D6BFA}"/>
    <cellStyle name="20% - Akzent1 7 17" xfId="828" xr:uid="{EB1198EA-324F-45BD-91FA-959B1696D63F}"/>
    <cellStyle name="20% - Akzent1 7 17 2" xfId="829" xr:uid="{1351024E-9FF2-4DF8-88F9-B43BD52CEE61}"/>
    <cellStyle name="20% - Akzent1 7 17 2 2" xfId="20448" xr:uid="{6C1929B6-F14A-4405-BAD9-297D0D9E8778}"/>
    <cellStyle name="20% - Akzent1 7 17 3" xfId="20447" xr:uid="{C390BA65-89F0-4E96-9ED1-104D41012F45}"/>
    <cellStyle name="20% - Akzent1 7 18" xfId="830" xr:uid="{D65D7CCC-99C3-4C29-99EF-005C17D7E897}"/>
    <cellStyle name="20% - Akzent1 7 18 2" xfId="831" xr:uid="{22CADDAE-5E91-4CD2-9D40-CB5073970B9C}"/>
    <cellStyle name="20% - Akzent1 7 18 2 2" xfId="20450" xr:uid="{46A1C554-6482-432E-9151-D103E57CC5BC}"/>
    <cellStyle name="20% - Akzent1 7 18 3" xfId="20449" xr:uid="{38EB73CD-F5F4-4E67-A620-C899C5CB56EA}"/>
    <cellStyle name="20% - Akzent1 7 19" xfId="832" xr:uid="{03BE9042-E159-4189-91D6-14A78873DFDF}"/>
    <cellStyle name="20% - Akzent1 7 19 2" xfId="833" xr:uid="{8E53B90A-C666-4F87-B3B0-310A8A6913DB}"/>
    <cellStyle name="20% - Akzent1 7 19 2 2" xfId="20452" xr:uid="{A0860FBB-39C8-4E53-B57E-275C7DF765E4}"/>
    <cellStyle name="20% - Akzent1 7 19 3" xfId="20451" xr:uid="{59D7DC3D-DAD1-4241-8164-5D7890411037}"/>
    <cellStyle name="20% - Akzent1 7 2" xfId="834" xr:uid="{5BDF07A7-0EB2-4457-8535-F5ABF158426A}"/>
    <cellStyle name="20% - Akzent1 7 2 2" xfId="835" xr:uid="{66F90C2F-6A4F-4850-A775-F2C2D17B200D}"/>
    <cellStyle name="20% - Akzent1 7 2 2 2" xfId="20454" xr:uid="{9BF983E5-4F33-4479-9F58-A21D12A246B9}"/>
    <cellStyle name="20% - Akzent1 7 2 3" xfId="20453" xr:uid="{F8C6D4C5-BB36-40E4-AD10-6CBA504284AE}"/>
    <cellStyle name="20% - Akzent1 7 20" xfId="836" xr:uid="{B07BC0A1-881F-4FFC-8A5E-F2D11E8BDF0B}"/>
    <cellStyle name="20% - Akzent1 7 20 2" xfId="837" xr:uid="{ED0FE883-4C31-4F29-A5A3-FDDF2AB99BEF}"/>
    <cellStyle name="20% - Akzent1 7 20 2 2" xfId="20456" xr:uid="{78DA953D-C891-4EF2-B002-B99BEA62ECC4}"/>
    <cellStyle name="20% - Akzent1 7 20 3" xfId="20455" xr:uid="{01608AE0-3E67-4318-834B-86DC911DA866}"/>
    <cellStyle name="20% - Akzent1 7 21" xfId="838" xr:uid="{2B8FC76B-C7E7-49FD-9902-AD0482555BAD}"/>
    <cellStyle name="20% - Akzent1 7 21 2" xfId="839" xr:uid="{9E6FDFB6-56C9-4958-BDD5-6A7D42565361}"/>
    <cellStyle name="20% - Akzent1 7 21 2 2" xfId="20458" xr:uid="{8B1AC41A-DDC0-4183-A037-AB44F3FF92AB}"/>
    <cellStyle name="20% - Akzent1 7 21 3" xfId="20457" xr:uid="{7FD4A394-F0A8-42F6-9105-5B09AD4D7CBA}"/>
    <cellStyle name="20% - Akzent1 7 22" xfId="840" xr:uid="{DE8790C4-F485-41B1-8146-D23CFFFD0CBB}"/>
    <cellStyle name="20% - Akzent1 7 23" xfId="20432" xr:uid="{47D998B0-B667-45AD-81F6-1E6D4F93024C}"/>
    <cellStyle name="20% - Akzent1 7 3" xfId="841" xr:uid="{AEB3E70F-F047-4C82-802B-DF5408EA5EA9}"/>
    <cellStyle name="20% - Akzent1 7 3 2" xfId="842" xr:uid="{C20CBC8B-1BCE-4B23-9AC0-01DC70E7DD28}"/>
    <cellStyle name="20% - Akzent1 7 3 2 2" xfId="20460" xr:uid="{1AD39298-BA1B-492A-B2B1-6E80550965DA}"/>
    <cellStyle name="20% - Akzent1 7 3 3" xfId="20459" xr:uid="{8DD8FE46-0534-4EE3-921F-9D68606CDC9F}"/>
    <cellStyle name="20% - Akzent1 7 4" xfId="843" xr:uid="{A85604AA-A21E-4B3D-9004-97B76BAF8237}"/>
    <cellStyle name="20% - Akzent1 7 4 2" xfId="844" xr:uid="{DC5A618A-C944-4086-BED7-0178C982D091}"/>
    <cellStyle name="20% - Akzent1 7 4 2 2" xfId="20462" xr:uid="{4822828D-B282-4477-BFF9-733F40655474}"/>
    <cellStyle name="20% - Akzent1 7 4 3" xfId="20461" xr:uid="{D098A309-9657-4D78-AFE2-49F22EDA3BF4}"/>
    <cellStyle name="20% - Akzent1 7 5" xfId="845" xr:uid="{DC0C38B9-FE8A-459C-A6D9-9C5AE9FDA6E3}"/>
    <cellStyle name="20% - Akzent1 7 5 2" xfId="846" xr:uid="{68FBE125-3B65-4A59-B874-8394F96190D9}"/>
    <cellStyle name="20% - Akzent1 7 5 2 2" xfId="20464" xr:uid="{6659B13B-DAE8-49B7-915C-1EF204D767E2}"/>
    <cellStyle name="20% - Akzent1 7 5 3" xfId="20463" xr:uid="{86309953-8DEB-45EB-A637-BED75A29F427}"/>
    <cellStyle name="20% - Akzent1 7 6" xfId="847" xr:uid="{D9C76ADC-0246-4D8D-A73D-8ED6FDD8B3AF}"/>
    <cellStyle name="20% - Akzent1 7 6 2" xfId="848" xr:uid="{3E74AACF-08B2-4277-A3E1-335A65E04543}"/>
    <cellStyle name="20% - Akzent1 7 6 2 2" xfId="20466" xr:uid="{89C9E73B-A18E-44AC-B850-093EAD59B0D1}"/>
    <cellStyle name="20% - Akzent1 7 6 3" xfId="20465" xr:uid="{4EE978D9-96A3-459D-B5E1-6BBA3B3F0EC5}"/>
    <cellStyle name="20% - Akzent1 7 7" xfId="849" xr:uid="{06293422-BA3C-4B9C-A7D3-2346ACDA899A}"/>
    <cellStyle name="20% - Akzent1 7 7 2" xfId="850" xr:uid="{7002C28F-B173-4AE8-9A67-5A0DCA24EF9F}"/>
    <cellStyle name="20% - Akzent1 7 7 2 2" xfId="20468" xr:uid="{D24E54DB-9CBE-4717-ABB2-D8D0399C2705}"/>
    <cellStyle name="20% - Akzent1 7 7 3" xfId="20467" xr:uid="{BBC41DB5-DF33-4527-84AA-A7F1D9493F0A}"/>
    <cellStyle name="20% - Akzent1 7 8" xfId="851" xr:uid="{995F5F11-C0EA-4FC8-BBBA-6B1965C8E397}"/>
    <cellStyle name="20% - Akzent1 7 8 2" xfId="852" xr:uid="{DAAE8199-5220-4160-95D7-C5B6D44D8D7C}"/>
    <cellStyle name="20% - Akzent1 7 8 2 2" xfId="20470" xr:uid="{17F30797-570C-4466-B898-9345D20134B1}"/>
    <cellStyle name="20% - Akzent1 7 8 3" xfId="20469" xr:uid="{F6BC1E47-42A7-4D55-AC63-9134C00DF677}"/>
    <cellStyle name="20% - Akzent1 7 9" xfId="853" xr:uid="{FB9DEA44-B1EC-4387-B4FC-F364F5275457}"/>
    <cellStyle name="20% - Akzent1 7 9 2" xfId="854" xr:uid="{20BE9761-F2F4-43DB-AC9D-80C512C93935}"/>
    <cellStyle name="20% - Akzent1 7 9 2 2" xfId="20472" xr:uid="{73561AA9-76EA-482E-9DF9-647322B28122}"/>
    <cellStyle name="20% - Akzent1 7 9 3" xfId="20471" xr:uid="{709387BB-5FDF-4188-8A5F-6E5C915EFCE5}"/>
    <cellStyle name="20% - Akzent1 70" xfId="855" xr:uid="{2CA5FB76-5A39-41B3-AD68-137B9C87530E}"/>
    <cellStyle name="20% - Akzent1 70 2" xfId="20473" xr:uid="{DBFEDC35-FE79-4A16-837B-854665EBB40A}"/>
    <cellStyle name="20% - Akzent1 71" xfId="180" xr:uid="{D53F6AEC-9F93-4C7B-BAE9-D0F86EF6BA20}"/>
    <cellStyle name="20% - Akzent1 8" xfId="856" xr:uid="{055E5CB5-CE24-402A-BFAE-AA35BF8DFE5C}"/>
    <cellStyle name="20% - Akzent1 8 10" xfId="857" xr:uid="{5F2BFEE9-C726-4FEF-B162-D706BD7573FB}"/>
    <cellStyle name="20% - Akzent1 8 10 2" xfId="858" xr:uid="{C0412F85-F203-4FCC-BA0D-29466F8A4A3F}"/>
    <cellStyle name="20% - Akzent1 8 10 2 2" xfId="20476" xr:uid="{544A74FA-57A8-4880-A71A-78EE248A73AC}"/>
    <cellStyle name="20% - Akzent1 8 10 3" xfId="20475" xr:uid="{F8B174B7-DCE6-48B0-80C3-46F172A0341E}"/>
    <cellStyle name="20% - Akzent1 8 11" xfId="859" xr:uid="{9F2C0B6C-F7C5-4FB2-8908-C4B1FC42BDE9}"/>
    <cellStyle name="20% - Akzent1 8 11 2" xfId="860" xr:uid="{D8D8E998-D5FC-485F-8B9E-33B446A4584E}"/>
    <cellStyle name="20% - Akzent1 8 11 2 2" xfId="20478" xr:uid="{580D0C72-4E85-41B5-B2A6-584BCFBCFB3E}"/>
    <cellStyle name="20% - Akzent1 8 11 3" xfId="20477" xr:uid="{2F38285B-A407-4321-98D4-BFBF529463FC}"/>
    <cellStyle name="20% - Akzent1 8 12" xfId="861" xr:uid="{F481E65E-D7C6-4283-8AF4-BE1F8248289A}"/>
    <cellStyle name="20% - Akzent1 8 12 2" xfId="862" xr:uid="{A4056825-B96C-46B0-BCF6-939BC65A7753}"/>
    <cellStyle name="20% - Akzent1 8 12 2 2" xfId="20480" xr:uid="{26586AC9-8026-44F1-8BB3-2B6C0772D096}"/>
    <cellStyle name="20% - Akzent1 8 12 3" xfId="20479" xr:uid="{C7B76602-A51A-4D8C-B6AC-77B8424B546F}"/>
    <cellStyle name="20% - Akzent1 8 13" xfId="863" xr:uid="{6AD59309-60C9-4FE8-A5C2-C2AF22D0D523}"/>
    <cellStyle name="20% - Akzent1 8 13 2" xfId="864" xr:uid="{78E6DDFF-08EC-4B12-AFB3-1A76B74955A3}"/>
    <cellStyle name="20% - Akzent1 8 13 2 2" xfId="20482" xr:uid="{21D68C63-B9BB-42B8-A397-D47D2C899BEB}"/>
    <cellStyle name="20% - Akzent1 8 13 3" xfId="20481" xr:uid="{EC6D2D23-0868-4AFA-AF4D-A0FAB8AA2395}"/>
    <cellStyle name="20% - Akzent1 8 14" xfId="865" xr:uid="{8E37AA0F-7F6E-42C9-BDE5-E9BDDDAB32DB}"/>
    <cellStyle name="20% - Akzent1 8 14 2" xfId="866" xr:uid="{DACF522F-254E-4AE2-9841-0F5DEB4E8B6D}"/>
    <cellStyle name="20% - Akzent1 8 14 2 2" xfId="20484" xr:uid="{17976B36-8E26-4098-AEBE-4C2DC8F6BD69}"/>
    <cellStyle name="20% - Akzent1 8 14 3" xfId="20483" xr:uid="{C1279332-35B2-4749-BBC5-41A6E8EE8C1C}"/>
    <cellStyle name="20% - Akzent1 8 15" xfId="867" xr:uid="{C876A242-76EB-4347-BF8D-92C8FFC472E4}"/>
    <cellStyle name="20% - Akzent1 8 15 2" xfId="868" xr:uid="{1A0D142C-1367-4E6C-B2F4-5FD5F4E5B3D5}"/>
    <cellStyle name="20% - Akzent1 8 15 2 2" xfId="20486" xr:uid="{A2168795-DAAD-4458-B364-5A731787A6FB}"/>
    <cellStyle name="20% - Akzent1 8 15 3" xfId="20485" xr:uid="{8C01F703-6468-4805-809F-10258FFFD60D}"/>
    <cellStyle name="20% - Akzent1 8 16" xfId="869" xr:uid="{34EA7374-6F26-43EE-9760-532CC4FE4CFD}"/>
    <cellStyle name="20% - Akzent1 8 16 2" xfId="870" xr:uid="{F14263E1-72F6-4512-B7C8-565586AE0D6E}"/>
    <cellStyle name="20% - Akzent1 8 16 2 2" xfId="20488" xr:uid="{2D66B1B1-9F22-45F9-9C24-59E1348FFA2B}"/>
    <cellStyle name="20% - Akzent1 8 16 3" xfId="20487" xr:uid="{710C6DE7-86C6-4667-88C7-40E856905EEB}"/>
    <cellStyle name="20% - Akzent1 8 17" xfId="871" xr:uid="{A6E50344-0B71-4F96-8538-0F4568A9EC33}"/>
    <cellStyle name="20% - Akzent1 8 17 2" xfId="872" xr:uid="{068BA11A-DE6C-47C1-9C48-DC5F16B97935}"/>
    <cellStyle name="20% - Akzent1 8 17 2 2" xfId="20490" xr:uid="{6DEDD154-CDDD-4BDA-9E41-502BA245C29C}"/>
    <cellStyle name="20% - Akzent1 8 17 3" xfId="20489" xr:uid="{4AA6B281-DA0C-4299-80A3-11AEF85F2A37}"/>
    <cellStyle name="20% - Akzent1 8 18" xfId="873" xr:uid="{8185C03F-B4EA-4456-823B-00DAC287CAF4}"/>
    <cellStyle name="20% - Akzent1 8 18 2" xfId="874" xr:uid="{9E1A3449-132E-4119-8F7E-931EC8FABF13}"/>
    <cellStyle name="20% - Akzent1 8 18 2 2" xfId="20492" xr:uid="{BA5C2F3B-A659-410F-A0E2-806863E380DD}"/>
    <cellStyle name="20% - Akzent1 8 18 3" xfId="20491" xr:uid="{A27E6947-2A7A-4C8F-9C68-CA5F57209CD3}"/>
    <cellStyle name="20% - Akzent1 8 19" xfId="875" xr:uid="{D2C0CEBA-CC05-4464-8494-516B2E235B47}"/>
    <cellStyle name="20% - Akzent1 8 19 2" xfId="876" xr:uid="{02568E51-239C-4D21-9EB4-802F492B48E1}"/>
    <cellStyle name="20% - Akzent1 8 19 2 2" xfId="20494" xr:uid="{88CF336A-D97D-43CD-90E2-F8A3F78D8577}"/>
    <cellStyle name="20% - Akzent1 8 19 3" xfId="20493" xr:uid="{15556E7E-096F-41EB-8857-90346D7EB460}"/>
    <cellStyle name="20% - Akzent1 8 2" xfId="877" xr:uid="{2E2BB4A9-498C-45A7-A377-9C52482A6D3D}"/>
    <cellStyle name="20% - Akzent1 8 2 2" xfId="878" xr:uid="{746F8114-C200-4298-B3C8-7C5970D64407}"/>
    <cellStyle name="20% - Akzent1 8 2 2 2" xfId="20496" xr:uid="{41300E15-FD1B-478F-946D-E5FCC1CAD074}"/>
    <cellStyle name="20% - Akzent1 8 2 3" xfId="20495" xr:uid="{EF852226-F487-4DF2-A87F-9C93E7BC723B}"/>
    <cellStyle name="20% - Akzent1 8 20" xfId="879" xr:uid="{5823FDFF-046E-4F0C-B720-E7ACB7B11190}"/>
    <cellStyle name="20% - Akzent1 8 20 2" xfId="880" xr:uid="{2EEB05E3-8C14-4DBB-A7B7-489AA20DEC6D}"/>
    <cellStyle name="20% - Akzent1 8 20 2 2" xfId="20498" xr:uid="{AAC832F5-0AFE-480E-B832-9814086C3FF9}"/>
    <cellStyle name="20% - Akzent1 8 20 3" xfId="20497" xr:uid="{6D52012B-5370-45F8-B2D5-E9C42E67D5D9}"/>
    <cellStyle name="20% - Akzent1 8 21" xfId="881" xr:uid="{995FD21A-66F2-45F0-A904-D098915B6586}"/>
    <cellStyle name="20% - Akzent1 8 21 2" xfId="882" xr:uid="{89BFB50A-32CC-4E02-87C5-9A1A569F7400}"/>
    <cellStyle name="20% - Akzent1 8 21 2 2" xfId="20500" xr:uid="{A55E0C1F-2DC5-4C92-81D4-5407D93EDD38}"/>
    <cellStyle name="20% - Akzent1 8 21 3" xfId="20499" xr:uid="{B0FAF439-DD30-4385-A140-9EB04B62D31D}"/>
    <cellStyle name="20% - Akzent1 8 22" xfId="883" xr:uid="{34FAADFA-C94D-4923-BB96-1B6B61B706CC}"/>
    <cellStyle name="20% - Akzent1 8 23" xfId="20474" xr:uid="{116C677C-BB47-4D56-9EA6-F485A217C879}"/>
    <cellStyle name="20% - Akzent1 8 3" xfId="884" xr:uid="{F8382101-6971-48C9-9106-21957C224C3B}"/>
    <cellStyle name="20% - Akzent1 8 3 2" xfId="885" xr:uid="{2C26936C-6F87-4026-A504-235B6FBF66BA}"/>
    <cellStyle name="20% - Akzent1 8 3 2 2" xfId="20502" xr:uid="{7C39F15C-240A-4948-B15E-A414D61BC5E7}"/>
    <cellStyle name="20% - Akzent1 8 3 3" xfId="20501" xr:uid="{428D5FAA-AC87-49DC-8005-10B70C0FBF31}"/>
    <cellStyle name="20% - Akzent1 8 4" xfId="886" xr:uid="{16F58E83-F733-46D8-9578-A02164D6E2B3}"/>
    <cellStyle name="20% - Akzent1 8 4 2" xfId="887" xr:uid="{CD64D2A8-0F50-49C4-A3B8-B8D6C7C57FB8}"/>
    <cellStyle name="20% - Akzent1 8 4 2 2" xfId="20504" xr:uid="{66C5DE2E-CE47-478F-9C61-63C2650070A2}"/>
    <cellStyle name="20% - Akzent1 8 4 3" xfId="20503" xr:uid="{2D05152B-788B-4A82-B33C-BC6909594A2F}"/>
    <cellStyle name="20% - Akzent1 8 5" xfId="888" xr:uid="{FF90AB50-B0E9-42FB-8525-5F02412E59DC}"/>
    <cellStyle name="20% - Akzent1 8 5 2" xfId="889" xr:uid="{5AD9134B-A548-4889-B528-EDA587E25C40}"/>
    <cellStyle name="20% - Akzent1 8 5 2 2" xfId="20506" xr:uid="{178E7CA6-8DDC-419E-9A36-3645E1D0BBE2}"/>
    <cellStyle name="20% - Akzent1 8 5 3" xfId="20505" xr:uid="{850621FB-5019-4C2F-9D91-CFB619562331}"/>
    <cellStyle name="20% - Akzent1 8 6" xfId="890" xr:uid="{54CD1628-87AA-4997-9CBA-D67D975177E5}"/>
    <cellStyle name="20% - Akzent1 8 6 2" xfId="891" xr:uid="{63645132-0090-49B1-BEF2-5F9568BA7ADC}"/>
    <cellStyle name="20% - Akzent1 8 6 2 2" xfId="20508" xr:uid="{5CDD5DF2-54BE-48E4-99FC-6F5FC065D65A}"/>
    <cellStyle name="20% - Akzent1 8 6 3" xfId="20507" xr:uid="{058A02D9-9F8D-406C-BE70-89FFDE9BA492}"/>
    <cellStyle name="20% - Akzent1 8 7" xfId="892" xr:uid="{19DD87C8-F249-423B-AE8D-73E37F3B9734}"/>
    <cellStyle name="20% - Akzent1 8 7 2" xfId="893" xr:uid="{CDAC15F0-4586-4276-BB56-F47BC962088A}"/>
    <cellStyle name="20% - Akzent1 8 7 2 2" xfId="20510" xr:uid="{6115E8AF-61F7-4FFC-A11E-38C1476411A8}"/>
    <cellStyle name="20% - Akzent1 8 7 3" xfId="20509" xr:uid="{28E41A14-462E-45D1-8940-2A1270D434DA}"/>
    <cellStyle name="20% - Akzent1 8 8" xfId="894" xr:uid="{0A715A07-8159-42D9-8F6C-FC615F27E9B5}"/>
    <cellStyle name="20% - Akzent1 8 8 2" xfId="895" xr:uid="{F6C6F59D-736E-4C2E-8D1B-F054972D205A}"/>
    <cellStyle name="20% - Akzent1 8 8 2 2" xfId="20512" xr:uid="{2BF430FC-720C-4133-A30A-024FE5E8DF11}"/>
    <cellStyle name="20% - Akzent1 8 8 3" xfId="20511" xr:uid="{2A25484F-4BCE-47EC-8479-84EB2A2818A8}"/>
    <cellStyle name="20% - Akzent1 8 9" xfId="896" xr:uid="{88AC96C9-C42E-420E-9237-ECF6D9712CE8}"/>
    <cellStyle name="20% - Akzent1 8 9 2" xfId="897" xr:uid="{B6FE888C-2FAC-4B74-8E8A-5B2653D8BACF}"/>
    <cellStyle name="20% - Akzent1 8 9 2 2" xfId="20514" xr:uid="{EC8954AE-04E0-4003-B2F7-038E0310B34B}"/>
    <cellStyle name="20% - Akzent1 8 9 3" xfId="20513" xr:uid="{BFF1A4EA-4C4D-42DE-AA41-3DECDA3E1E76}"/>
    <cellStyle name="20% - Akzent1 9" xfId="898" xr:uid="{DFCEBE89-DA85-452D-9E88-0750436C4B19}"/>
    <cellStyle name="20% - Akzent1 9 10" xfId="899" xr:uid="{14937E34-10F6-4760-ADC8-C22F35BF32BE}"/>
    <cellStyle name="20% - Akzent1 9 10 2" xfId="900" xr:uid="{36E75170-C757-43CB-A805-CD286713568D}"/>
    <cellStyle name="20% - Akzent1 9 10 2 2" xfId="20517" xr:uid="{F6BBF79F-958A-49C2-84D8-00773E17F220}"/>
    <cellStyle name="20% - Akzent1 9 10 3" xfId="20516" xr:uid="{101F7F85-E6C5-4A84-BF28-4B7F68F10769}"/>
    <cellStyle name="20% - Akzent1 9 11" xfId="901" xr:uid="{10262ABD-6540-465D-8CE3-4505FB219AB5}"/>
    <cellStyle name="20% - Akzent1 9 11 2" xfId="902" xr:uid="{0AA64D0B-9736-4387-810E-079C6B9A0220}"/>
    <cellStyle name="20% - Akzent1 9 11 2 2" xfId="20519" xr:uid="{96F8DC81-AC59-4316-8BF4-073B59C9C61A}"/>
    <cellStyle name="20% - Akzent1 9 11 3" xfId="20518" xr:uid="{4A2C5634-E1D8-4028-A2C5-13B7503F6285}"/>
    <cellStyle name="20% - Akzent1 9 12" xfId="903" xr:uid="{1FA8B5F0-E6DB-48C2-B8B7-20CB1160A840}"/>
    <cellStyle name="20% - Akzent1 9 12 2" xfId="904" xr:uid="{9AEC7355-06D9-443A-9C37-9AE4D806FC06}"/>
    <cellStyle name="20% - Akzent1 9 12 2 2" xfId="20521" xr:uid="{7EEDE4BA-7DC6-4F2F-812F-0E95E3EEE1A1}"/>
    <cellStyle name="20% - Akzent1 9 12 3" xfId="20520" xr:uid="{6D310902-06AD-4189-8755-A8D2A902480F}"/>
    <cellStyle name="20% - Akzent1 9 13" xfId="905" xr:uid="{860F5D2D-DE1D-4569-8FCA-0359951B55E1}"/>
    <cellStyle name="20% - Akzent1 9 13 2" xfId="906" xr:uid="{811BDE32-30E4-4C38-9266-973537BD773F}"/>
    <cellStyle name="20% - Akzent1 9 13 2 2" xfId="20523" xr:uid="{31A456DD-6CAA-46BA-8C93-830AABEDA48D}"/>
    <cellStyle name="20% - Akzent1 9 13 3" xfId="20522" xr:uid="{2BC1151B-B399-4294-AE67-591ED85E1484}"/>
    <cellStyle name="20% - Akzent1 9 14" xfId="907" xr:uid="{EA96B62C-D07C-4B63-BE3A-453D3E881748}"/>
    <cellStyle name="20% - Akzent1 9 14 2" xfId="908" xr:uid="{40D071A2-B2F8-4E28-866B-2F47E2FF00D0}"/>
    <cellStyle name="20% - Akzent1 9 14 2 2" xfId="20525" xr:uid="{42C61A37-C49A-4C58-9A05-0C102D396261}"/>
    <cellStyle name="20% - Akzent1 9 14 3" xfId="20524" xr:uid="{282AD10D-572B-4100-A622-C864EDC65600}"/>
    <cellStyle name="20% - Akzent1 9 15" xfId="909" xr:uid="{31431CAA-D926-457A-ACA1-CF8F7F261960}"/>
    <cellStyle name="20% - Akzent1 9 15 2" xfId="910" xr:uid="{B5A1AC6C-D97B-493C-9F16-860E700A49D3}"/>
    <cellStyle name="20% - Akzent1 9 15 2 2" xfId="20527" xr:uid="{8BE0A97F-189D-486F-9EE0-FD31B0610EA4}"/>
    <cellStyle name="20% - Akzent1 9 15 3" xfId="20526" xr:uid="{FBEDA09F-C6AC-4F3A-A3D5-B19D96665C8F}"/>
    <cellStyle name="20% - Akzent1 9 16" xfId="911" xr:uid="{2D2B22F8-A6A4-446D-83A6-16F0BD9E9351}"/>
    <cellStyle name="20% - Akzent1 9 16 2" xfId="912" xr:uid="{72E2FF2E-B456-48D2-BA17-9711D5CC653C}"/>
    <cellStyle name="20% - Akzent1 9 16 2 2" xfId="20529" xr:uid="{45B628B0-3926-4873-AE84-0E29C70599E8}"/>
    <cellStyle name="20% - Akzent1 9 16 3" xfId="20528" xr:uid="{4E6AD4EC-407A-489F-85ED-93EE486FB5A2}"/>
    <cellStyle name="20% - Akzent1 9 17" xfId="913" xr:uid="{482BBAE2-DBA0-4906-A6EA-745AFDC9C54F}"/>
    <cellStyle name="20% - Akzent1 9 17 2" xfId="914" xr:uid="{65DE0551-A99A-4E9D-BD88-63DC353DBEB0}"/>
    <cellStyle name="20% - Akzent1 9 17 2 2" xfId="20531" xr:uid="{64296653-7A50-4A0C-8C1E-0C99DF68B23D}"/>
    <cellStyle name="20% - Akzent1 9 17 3" xfId="20530" xr:uid="{B48E5BA3-D654-407E-BAB7-012D5028EE0D}"/>
    <cellStyle name="20% - Akzent1 9 18" xfId="915" xr:uid="{3A5C602D-3FE5-4E23-9F61-A56E75C2B553}"/>
    <cellStyle name="20% - Akzent1 9 18 2" xfId="916" xr:uid="{6F10A96B-BF6A-40C3-B78E-1E825C45DECB}"/>
    <cellStyle name="20% - Akzent1 9 18 2 2" xfId="20533" xr:uid="{9145EC63-3C6E-4683-A816-C188EE51C21A}"/>
    <cellStyle name="20% - Akzent1 9 18 3" xfId="20532" xr:uid="{2221DA83-B7D8-44F8-8A28-99E73066B032}"/>
    <cellStyle name="20% - Akzent1 9 19" xfId="917" xr:uid="{959752E1-BFD8-47C0-85DD-4868EBD4D27B}"/>
    <cellStyle name="20% - Akzent1 9 19 2" xfId="918" xr:uid="{9D556A3A-99F5-4FD8-AD09-7C3815ADDA59}"/>
    <cellStyle name="20% - Akzent1 9 19 2 2" xfId="20535" xr:uid="{0BD372E2-DD67-4D69-A027-05B3D9768A29}"/>
    <cellStyle name="20% - Akzent1 9 19 3" xfId="20534" xr:uid="{4E81D171-48AA-43B8-9EE1-891CAFB53BB9}"/>
    <cellStyle name="20% - Akzent1 9 2" xfId="919" xr:uid="{896D23C2-C5C4-4743-8274-0AB1BCD02076}"/>
    <cellStyle name="20% - Akzent1 9 2 2" xfId="920" xr:uid="{906DE7A1-5BB2-4FDA-9472-F1E2074A76BD}"/>
    <cellStyle name="20% - Akzent1 9 2 2 2" xfId="20537" xr:uid="{7E5AC68F-0DD0-4BE4-8C0E-053F51185646}"/>
    <cellStyle name="20% - Akzent1 9 2 3" xfId="20536" xr:uid="{C6F948CC-6BCB-460C-BEB3-7EF6678D140B}"/>
    <cellStyle name="20% - Akzent1 9 20" xfId="921" xr:uid="{FEA3CB87-3A91-462B-8BAC-071034030D36}"/>
    <cellStyle name="20% - Akzent1 9 20 2" xfId="922" xr:uid="{2B40C8F8-4E82-4B9D-961B-B694A8DA393A}"/>
    <cellStyle name="20% - Akzent1 9 20 2 2" xfId="20539" xr:uid="{A3DE7643-7174-47EA-B948-7C798A64DB53}"/>
    <cellStyle name="20% - Akzent1 9 20 3" xfId="20538" xr:uid="{5C9483AF-1E0D-40E4-80DD-062CE748C746}"/>
    <cellStyle name="20% - Akzent1 9 21" xfId="923" xr:uid="{F4539954-8082-4870-8C28-F83960D1E544}"/>
    <cellStyle name="20% - Akzent1 9 21 2" xfId="924" xr:uid="{504569AE-2BDC-489C-8A89-A7CB396EDD63}"/>
    <cellStyle name="20% - Akzent1 9 21 2 2" xfId="20541" xr:uid="{8A37EDC1-D54F-4F5B-9CA3-7BE2004F92C7}"/>
    <cellStyle name="20% - Akzent1 9 21 3" xfId="20540" xr:uid="{95C4BD53-31D5-438F-B9F7-35DB5D8C98D9}"/>
    <cellStyle name="20% - Akzent1 9 22" xfId="925" xr:uid="{902E1067-95D2-4055-8CFE-E6A423E4046C}"/>
    <cellStyle name="20% - Akzent1 9 23" xfId="20515" xr:uid="{13381A57-CD6B-4040-95A1-1C79BE20A2AE}"/>
    <cellStyle name="20% - Akzent1 9 3" xfId="926" xr:uid="{84E91689-2F3F-4793-ADFF-06DA37823F03}"/>
    <cellStyle name="20% - Akzent1 9 3 2" xfId="927" xr:uid="{B174835B-CBDA-4BD6-9A1D-5FDD5C72E8C4}"/>
    <cellStyle name="20% - Akzent1 9 3 2 2" xfId="20543" xr:uid="{AB6D9580-E378-425A-8056-345E5AF837A9}"/>
    <cellStyle name="20% - Akzent1 9 3 3" xfId="20542" xr:uid="{9C19573F-59A1-4096-8BDA-0165BAD2497F}"/>
    <cellStyle name="20% - Akzent1 9 4" xfId="928" xr:uid="{F51494CB-B717-41A7-88D2-3007EBFDA1C0}"/>
    <cellStyle name="20% - Akzent1 9 4 2" xfId="929" xr:uid="{C065B883-DEA0-41DD-BEE4-68C4676DB235}"/>
    <cellStyle name="20% - Akzent1 9 4 2 2" xfId="20545" xr:uid="{57321CF8-6736-4862-8612-73AB88FDCDD1}"/>
    <cellStyle name="20% - Akzent1 9 4 3" xfId="20544" xr:uid="{5EF93D65-8371-4D1C-9294-AD2DA4DEEE21}"/>
    <cellStyle name="20% - Akzent1 9 5" xfId="930" xr:uid="{57F1DA66-79FD-4929-B872-BC9C0BC088DE}"/>
    <cellStyle name="20% - Akzent1 9 5 2" xfId="931" xr:uid="{CCEBDD8A-BAE1-49C1-A090-FD268D9E42F0}"/>
    <cellStyle name="20% - Akzent1 9 5 2 2" xfId="20547" xr:uid="{F4039BB0-4AFD-4DF0-896A-B035A9D98152}"/>
    <cellStyle name="20% - Akzent1 9 5 3" xfId="20546" xr:uid="{D3EFEC7B-C969-449E-B611-19D2368E82F6}"/>
    <cellStyle name="20% - Akzent1 9 6" xfId="932" xr:uid="{26253AC8-3B49-4909-BD64-6C81102D869C}"/>
    <cellStyle name="20% - Akzent1 9 6 2" xfId="933" xr:uid="{96E6FDE7-7E45-4423-95CA-EF2334CEF759}"/>
    <cellStyle name="20% - Akzent1 9 6 2 2" xfId="20549" xr:uid="{D3714A16-C5E8-4AA6-AE06-C24410FBD324}"/>
    <cellStyle name="20% - Akzent1 9 6 3" xfId="20548" xr:uid="{8625D22C-06D3-45C3-8D6E-57B071848F90}"/>
    <cellStyle name="20% - Akzent1 9 7" xfId="934" xr:uid="{2182EB22-C926-470C-8FB8-C62B83AA5299}"/>
    <cellStyle name="20% - Akzent1 9 7 2" xfId="935" xr:uid="{F0AB586A-F8F7-4E15-87F2-382032E571E6}"/>
    <cellStyle name="20% - Akzent1 9 7 2 2" xfId="20551" xr:uid="{187452FD-4010-489D-8804-CE29BCBC03FC}"/>
    <cellStyle name="20% - Akzent1 9 7 3" xfId="20550" xr:uid="{DADF9B26-D2C4-4870-B3CE-9DD633CD6EA0}"/>
    <cellStyle name="20% - Akzent1 9 8" xfId="936" xr:uid="{C4285A3F-C4C7-4FC7-8259-50848940A917}"/>
    <cellStyle name="20% - Akzent1 9 8 2" xfId="937" xr:uid="{4DF88670-2995-4F50-9F06-5C17C36B502A}"/>
    <cellStyle name="20% - Akzent1 9 8 2 2" xfId="20553" xr:uid="{1710E50E-768C-4714-9906-701FA4AE12E0}"/>
    <cellStyle name="20% - Akzent1 9 8 3" xfId="20552" xr:uid="{66A28F51-906B-4501-AB5E-18347780475F}"/>
    <cellStyle name="20% - Akzent1 9 9" xfId="938" xr:uid="{73ABEEFE-0EDA-430F-B3A9-2DFEC565D123}"/>
    <cellStyle name="20% - Akzent1 9 9 2" xfId="939" xr:uid="{CB31D096-8E6C-4CB7-A90E-F8EAC7C6FAB9}"/>
    <cellStyle name="20% - Akzent1 9 9 2 2" xfId="20555" xr:uid="{F5A4FFC8-F6F6-4D60-B1F6-CF372A9D78B4}"/>
    <cellStyle name="20% - Akzent1 9 9 3" xfId="20554" xr:uid="{489C1BF0-EDF1-493F-9521-8620BFE5D1A8}"/>
    <cellStyle name="20% - Akzent2 10" xfId="941" xr:uid="{62884038-52B9-4DB2-8E7F-A47AD9500B05}"/>
    <cellStyle name="20% - Akzent2 10 10" xfId="942" xr:uid="{7D893494-BB91-46AC-A762-2CB45DF12C03}"/>
    <cellStyle name="20% - Akzent2 10 10 2" xfId="943" xr:uid="{5A0A08FD-BAD3-4CB3-8759-1EB6D0312EE7}"/>
    <cellStyle name="20% - Akzent2 10 10 2 2" xfId="20558" xr:uid="{C4739A34-98A8-4407-9404-BF690BBEC523}"/>
    <cellStyle name="20% - Akzent2 10 10 3" xfId="20557" xr:uid="{0AF8D016-AE0D-4F8E-B2D5-D3DE1209FBEF}"/>
    <cellStyle name="20% - Akzent2 10 11" xfId="944" xr:uid="{C0334E55-5534-4C77-8E66-6C5824E5097C}"/>
    <cellStyle name="20% - Akzent2 10 11 2" xfId="945" xr:uid="{FF5CE972-9AC2-4FB2-81EE-E3E7D64934AA}"/>
    <cellStyle name="20% - Akzent2 10 11 2 2" xfId="20560" xr:uid="{2CF40562-C301-407E-87A7-D7675249441D}"/>
    <cellStyle name="20% - Akzent2 10 11 3" xfId="20559" xr:uid="{CF9C6BE2-768C-4347-90D5-CC2F4060B317}"/>
    <cellStyle name="20% - Akzent2 10 12" xfId="946" xr:uid="{B954D6AC-51AF-46CF-87CC-3F7C099FAF6F}"/>
    <cellStyle name="20% - Akzent2 10 12 2" xfId="947" xr:uid="{00B03752-6C6F-4BC8-A36E-A7144EF49E33}"/>
    <cellStyle name="20% - Akzent2 10 12 2 2" xfId="20562" xr:uid="{E6433CAD-100D-46FB-AECF-A76C8E0CB3A0}"/>
    <cellStyle name="20% - Akzent2 10 12 3" xfId="20561" xr:uid="{CC51BD64-B73F-4BA2-8247-5282C4D14F24}"/>
    <cellStyle name="20% - Akzent2 10 13" xfId="948" xr:uid="{052C1045-BEB8-49FE-B5F9-FB4E7A4294BB}"/>
    <cellStyle name="20% - Akzent2 10 13 2" xfId="949" xr:uid="{F816F60F-4A34-4CCB-A895-FE547DB6DF10}"/>
    <cellStyle name="20% - Akzent2 10 13 2 2" xfId="20564" xr:uid="{19153EBC-403D-4A8C-8E3E-2C827D0A3BD8}"/>
    <cellStyle name="20% - Akzent2 10 13 3" xfId="20563" xr:uid="{447EB0EB-CBC6-4F69-93FE-099D541717AA}"/>
    <cellStyle name="20% - Akzent2 10 14" xfId="950" xr:uid="{60BA2AB1-3D94-4932-8F0E-8FB3E3AFDB89}"/>
    <cellStyle name="20% - Akzent2 10 14 2" xfId="951" xr:uid="{FA216E27-7B44-4599-AC52-7602CE55A7F1}"/>
    <cellStyle name="20% - Akzent2 10 14 2 2" xfId="20566" xr:uid="{EDB7FD95-8EB1-4424-AD7B-E0101AD34963}"/>
    <cellStyle name="20% - Akzent2 10 14 3" xfId="20565" xr:uid="{BFA9B3D1-05C5-4BB5-9BFB-888D8D5BEB71}"/>
    <cellStyle name="20% - Akzent2 10 15" xfId="952" xr:uid="{42A294AF-F0BB-4710-986F-3AF38B198A78}"/>
    <cellStyle name="20% - Akzent2 10 15 2" xfId="953" xr:uid="{BA36D352-FDD1-4CB4-B62C-0823C45CD498}"/>
    <cellStyle name="20% - Akzent2 10 15 2 2" xfId="20568" xr:uid="{8CDB8E2B-3D78-4D82-B322-D17CB6D381E5}"/>
    <cellStyle name="20% - Akzent2 10 15 3" xfId="20567" xr:uid="{0215449D-33D1-4612-AA81-F9F213DDE5CB}"/>
    <cellStyle name="20% - Akzent2 10 16" xfId="954" xr:uid="{F19B57C0-8C61-4BBB-9FB9-12C531215E74}"/>
    <cellStyle name="20% - Akzent2 10 16 2" xfId="955" xr:uid="{7ED2E6A9-E16D-457B-B99D-9A62321F22AE}"/>
    <cellStyle name="20% - Akzent2 10 16 2 2" xfId="20570" xr:uid="{AB3695AE-4E1D-49B7-84F4-A326ADD84362}"/>
    <cellStyle name="20% - Akzent2 10 16 3" xfId="20569" xr:uid="{769A473D-DDB3-45CD-A151-D779F9CC49A7}"/>
    <cellStyle name="20% - Akzent2 10 17" xfId="956" xr:uid="{28513B49-3FF8-46AC-BE6F-4F57F16D1710}"/>
    <cellStyle name="20% - Akzent2 10 17 2" xfId="957" xr:uid="{71ACB5F8-6105-47DC-96D6-36E236F61655}"/>
    <cellStyle name="20% - Akzent2 10 17 2 2" xfId="20572" xr:uid="{200689CB-7A90-4C68-97E7-2E5AA33D0600}"/>
    <cellStyle name="20% - Akzent2 10 17 3" xfId="20571" xr:uid="{F5C89C84-CA41-49A5-82C8-95A318B9B91F}"/>
    <cellStyle name="20% - Akzent2 10 18" xfId="958" xr:uid="{265FBF13-B160-47F1-AB21-670AD0695805}"/>
    <cellStyle name="20% - Akzent2 10 18 2" xfId="959" xr:uid="{2E4D7BD8-D1FE-4D12-A19E-B3E8CEE921E6}"/>
    <cellStyle name="20% - Akzent2 10 18 2 2" xfId="20574" xr:uid="{062108A7-BE3D-4356-9CC9-5D59A6048F3A}"/>
    <cellStyle name="20% - Akzent2 10 18 3" xfId="20573" xr:uid="{C53FC867-1DC4-4BAB-B317-2196F428FB50}"/>
    <cellStyle name="20% - Akzent2 10 19" xfId="960" xr:uid="{B9B87C0D-A37E-455F-82CB-4517F775495D}"/>
    <cellStyle name="20% - Akzent2 10 19 2" xfId="961" xr:uid="{337D1A82-E6FF-4CAA-8285-AEA22A22A320}"/>
    <cellStyle name="20% - Akzent2 10 19 2 2" xfId="20576" xr:uid="{B335DED7-F236-49D2-B5D0-093F26AAB828}"/>
    <cellStyle name="20% - Akzent2 10 19 3" xfId="20575" xr:uid="{A0663C65-5874-45FC-88A8-6B2CB1143776}"/>
    <cellStyle name="20% - Akzent2 10 2" xfId="962" xr:uid="{48231F01-F757-4C47-86AC-7B0F34986204}"/>
    <cellStyle name="20% - Akzent2 10 2 2" xfId="963" xr:uid="{BEC8833C-5FDB-4E00-9E8E-9CD326C4DA79}"/>
    <cellStyle name="20% - Akzent2 10 2 2 2" xfId="20578" xr:uid="{C6CF3B91-D4DC-4480-9DD7-F0C387513551}"/>
    <cellStyle name="20% - Akzent2 10 2 3" xfId="20577" xr:uid="{2B014E5E-A0FD-4DB0-B379-1AA2DF96070E}"/>
    <cellStyle name="20% - Akzent2 10 20" xfId="964" xr:uid="{950B86E2-5B14-4880-A4FA-0A2A6D84E244}"/>
    <cellStyle name="20% - Akzent2 10 20 2" xfId="965" xr:uid="{8B71017E-A104-44BA-B51C-603E8A301385}"/>
    <cellStyle name="20% - Akzent2 10 20 2 2" xfId="20580" xr:uid="{714EAE62-DF0B-4855-8110-C8436AC7FDC5}"/>
    <cellStyle name="20% - Akzent2 10 20 3" xfId="20579" xr:uid="{C2FA9739-FE9D-4D71-A502-E306B5B48B0F}"/>
    <cellStyle name="20% - Akzent2 10 21" xfId="966" xr:uid="{396F60B2-2F88-42FF-A312-39304D51CBAA}"/>
    <cellStyle name="20% - Akzent2 10 21 2" xfId="967" xr:uid="{34B26C3C-2A8F-4723-8B69-764F77CF94B9}"/>
    <cellStyle name="20% - Akzent2 10 21 2 2" xfId="20582" xr:uid="{CE09AEE8-71FF-4191-9419-D9EA226D025A}"/>
    <cellStyle name="20% - Akzent2 10 21 3" xfId="20581" xr:uid="{F07594D9-68D9-4A15-B069-3FA469AD3A31}"/>
    <cellStyle name="20% - Akzent2 10 22" xfId="968" xr:uid="{CD811AFE-07C9-4FE6-905E-9CDEEA989889}"/>
    <cellStyle name="20% - Akzent2 10 23" xfId="20556" xr:uid="{96FBAB06-D0CD-4CCB-8443-6BFE0EFBC498}"/>
    <cellStyle name="20% - Akzent2 10 3" xfId="969" xr:uid="{461D5229-F9D6-4769-BEB0-7BAD80CCD1CC}"/>
    <cellStyle name="20% - Akzent2 10 3 2" xfId="970" xr:uid="{724516E7-13E5-492F-8067-834CC2216A6F}"/>
    <cellStyle name="20% - Akzent2 10 3 2 2" xfId="20584" xr:uid="{50A387CD-BE52-4B8C-B36E-6B028560C6B0}"/>
    <cellStyle name="20% - Akzent2 10 3 3" xfId="20583" xr:uid="{E3F4A1E9-03B4-465D-BD5B-0D42CFD3D4DA}"/>
    <cellStyle name="20% - Akzent2 10 4" xfId="971" xr:uid="{D317D453-4502-40C0-96D0-78C288A46941}"/>
    <cellStyle name="20% - Akzent2 10 4 2" xfId="972" xr:uid="{B63CCB7F-0B3B-49D2-953F-37D35B847517}"/>
    <cellStyle name="20% - Akzent2 10 4 2 2" xfId="20586" xr:uid="{F985B1F6-96FF-496E-B739-8549B482DFF0}"/>
    <cellStyle name="20% - Akzent2 10 4 3" xfId="20585" xr:uid="{C6284194-78E4-43E7-82C6-175B9856AB44}"/>
    <cellStyle name="20% - Akzent2 10 5" xfId="973" xr:uid="{E915CEAB-9370-464D-BD91-A8101D014EB7}"/>
    <cellStyle name="20% - Akzent2 10 5 2" xfId="974" xr:uid="{E6E15988-00AC-4734-80C2-494FD7569051}"/>
    <cellStyle name="20% - Akzent2 10 5 2 2" xfId="20588" xr:uid="{56423A69-C8D8-48F5-B7CB-DDAF4E963D04}"/>
    <cellStyle name="20% - Akzent2 10 5 3" xfId="20587" xr:uid="{DFAF81D5-983F-441B-B5E1-A31CFC644296}"/>
    <cellStyle name="20% - Akzent2 10 6" xfId="975" xr:uid="{ABFCDBB6-1B61-48A7-9D94-696971EC72CB}"/>
    <cellStyle name="20% - Akzent2 10 6 2" xfId="976" xr:uid="{93A363A3-E848-4055-B683-45D223F5910B}"/>
    <cellStyle name="20% - Akzent2 10 6 2 2" xfId="20590" xr:uid="{BAFE27D4-6CE4-464C-8A69-B1BD18D7A625}"/>
    <cellStyle name="20% - Akzent2 10 6 3" xfId="20589" xr:uid="{49216EAF-771C-4348-900B-FE91185679FB}"/>
    <cellStyle name="20% - Akzent2 10 7" xfId="977" xr:uid="{5E0C5462-2B1C-4EC0-BE6C-209CF67D39AA}"/>
    <cellStyle name="20% - Akzent2 10 7 2" xfId="978" xr:uid="{BEE1AEE3-1481-48CA-A5C5-3659A8A658D9}"/>
    <cellStyle name="20% - Akzent2 10 7 2 2" xfId="20592" xr:uid="{6338E462-7FB7-4F6B-AA9E-F81C5C5260F9}"/>
    <cellStyle name="20% - Akzent2 10 7 3" xfId="20591" xr:uid="{C825F7C1-CA2D-44DA-A58A-35C215D12F37}"/>
    <cellStyle name="20% - Akzent2 10 8" xfId="979" xr:uid="{5EB3AA27-25AC-467E-B9C7-ED27F4EA23D7}"/>
    <cellStyle name="20% - Akzent2 10 8 2" xfId="980" xr:uid="{19041F2F-F558-4AE4-B656-962026502066}"/>
    <cellStyle name="20% - Akzent2 10 8 2 2" xfId="20594" xr:uid="{1AF5A8C5-A8EA-41D7-B121-3FA0E6CD97C6}"/>
    <cellStyle name="20% - Akzent2 10 8 3" xfId="20593" xr:uid="{5EA61996-C754-4D77-AC45-C1627CCD3D57}"/>
    <cellStyle name="20% - Akzent2 10 9" xfId="981" xr:uid="{2E73301A-AB1B-4163-970E-E21D52980000}"/>
    <cellStyle name="20% - Akzent2 10 9 2" xfId="982" xr:uid="{B7625B51-CC70-4BF9-8413-FF5A10F5A2A6}"/>
    <cellStyle name="20% - Akzent2 10 9 2 2" xfId="20596" xr:uid="{FBC16531-3857-4540-A1AE-803B9FE3EAFC}"/>
    <cellStyle name="20% - Akzent2 10 9 3" xfId="20595" xr:uid="{4F7C49C0-038E-497E-827A-704516CCC3E4}"/>
    <cellStyle name="20% - Akzent2 11" xfId="983" xr:uid="{E8361301-F962-4AB3-A9A1-0ECF4974257B}"/>
    <cellStyle name="20% - Akzent2 11 10" xfId="984" xr:uid="{6ECEC2B8-BCBD-474C-A9E2-F15CBAE02973}"/>
    <cellStyle name="20% - Akzent2 11 10 2" xfId="985" xr:uid="{127FAE87-84F1-4950-B5E4-739B21DD4F52}"/>
    <cellStyle name="20% - Akzent2 11 10 2 2" xfId="20599" xr:uid="{F07C3770-2F0D-4DD6-A6CF-9A1F0CA322F1}"/>
    <cellStyle name="20% - Akzent2 11 10 3" xfId="20598" xr:uid="{C56D393B-9100-43D0-A824-F8BA8CF17105}"/>
    <cellStyle name="20% - Akzent2 11 11" xfId="986" xr:uid="{DFB3FB38-4F6C-4643-814F-1BA8B61DA6B2}"/>
    <cellStyle name="20% - Akzent2 11 11 2" xfId="987" xr:uid="{BBEFB622-B896-4288-B24A-BBC17D3EC00B}"/>
    <cellStyle name="20% - Akzent2 11 11 2 2" xfId="20601" xr:uid="{305A652E-7777-44E4-BC03-B7DD2907EA17}"/>
    <cellStyle name="20% - Akzent2 11 11 3" xfId="20600" xr:uid="{87FF41AE-DFF5-453B-B924-A68B6A08C31E}"/>
    <cellStyle name="20% - Akzent2 11 12" xfId="988" xr:uid="{A4F5653B-3573-43AE-B406-2B731B2721D3}"/>
    <cellStyle name="20% - Akzent2 11 12 2" xfId="989" xr:uid="{84BCA0E4-9F58-42F6-AD3B-BFDA3AA16774}"/>
    <cellStyle name="20% - Akzent2 11 12 2 2" xfId="20603" xr:uid="{CC26FC7E-988A-44F3-9E78-6799DAA0681D}"/>
    <cellStyle name="20% - Akzent2 11 12 3" xfId="20602" xr:uid="{F75F98A6-7382-4206-A2C7-EB4002683429}"/>
    <cellStyle name="20% - Akzent2 11 13" xfId="990" xr:uid="{0F46BAA5-87D0-4A96-979A-6EDC460BDC2B}"/>
    <cellStyle name="20% - Akzent2 11 13 2" xfId="991" xr:uid="{66CE1994-0F2E-4C92-B040-5C86AE809DF2}"/>
    <cellStyle name="20% - Akzent2 11 13 2 2" xfId="20605" xr:uid="{2C938898-9C74-4AEA-ACA7-7A0C4746C224}"/>
    <cellStyle name="20% - Akzent2 11 13 3" xfId="20604" xr:uid="{AEF823DD-7A44-42D9-B225-038497C0A5A3}"/>
    <cellStyle name="20% - Akzent2 11 14" xfId="992" xr:uid="{3AFF83EF-611A-4F33-9B8F-21FC20D3A95E}"/>
    <cellStyle name="20% - Akzent2 11 14 2" xfId="993" xr:uid="{69D02FED-7A86-4677-A548-9A3FA8CE85D7}"/>
    <cellStyle name="20% - Akzent2 11 14 2 2" xfId="20607" xr:uid="{C0272441-C3B9-4FC4-8A74-2220735A1C2E}"/>
    <cellStyle name="20% - Akzent2 11 14 3" xfId="20606" xr:uid="{4C8D7F72-C219-40C5-9344-175F780E70F1}"/>
    <cellStyle name="20% - Akzent2 11 15" xfId="994" xr:uid="{060CC5D9-9E39-4C62-8109-FDB040C12894}"/>
    <cellStyle name="20% - Akzent2 11 15 2" xfId="995" xr:uid="{8A9A4A48-C7B3-499A-B088-C8C5AFE98080}"/>
    <cellStyle name="20% - Akzent2 11 15 2 2" xfId="20609" xr:uid="{95E72CBB-617C-4B28-94A4-03BB5CF9901D}"/>
    <cellStyle name="20% - Akzent2 11 15 3" xfId="20608" xr:uid="{9804E570-CFDA-4B8E-9E8F-8801B7CDE228}"/>
    <cellStyle name="20% - Akzent2 11 16" xfId="996" xr:uid="{DE158A49-E5D3-4CEC-BFAD-C31E55D3C961}"/>
    <cellStyle name="20% - Akzent2 11 16 2" xfId="997" xr:uid="{86AC377B-FFDA-4700-A064-425C13D980A6}"/>
    <cellStyle name="20% - Akzent2 11 16 2 2" xfId="20611" xr:uid="{1132A632-7884-4011-8F39-02D710270481}"/>
    <cellStyle name="20% - Akzent2 11 16 3" xfId="20610" xr:uid="{21C3FF6C-52D6-4C45-A972-573A1B087F79}"/>
    <cellStyle name="20% - Akzent2 11 17" xfId="998" xr:uid="{902359DE-787B-483D-8ECA-B402D351A656}"/>
    <cellStyle name="20% - Akzent2 11 17 2" xfId="999" xr:uid="{CCD74412-2B50-4382-AA28-15818C7B9E13}"/>
    <cellStyle name="20% - Akzent2 11 17 2 2" xfId="20613" xr:uid="{416A04D7-5629-4A63-8A76-C909CEA86C31}"/>
    <cellStyle name="20% - Akzent2 11 17 3" xfId="20612" xr:uid="{58E7CF83-0CD6-4DB4-A886-C3F4D52B9B18}"/>
    <cellStyle name="20% - Akzent2 11 18" xfId="1000" xr:uid="{F13C4258-8A98-4974-B40A-75D0B23C6BD9}"/>
    <cellStyle name="20% - Akzent2 11 18 2" xfId="1001" xr:uid="{923AE66C-D346-4C63-BC03-537CB94088D9}"/>
    <cellStyle name="20% - Akzent2 11 18 2 2" xfId="20615" xr:uid="{FCA525FB-5541-45CC-846E-567D1E3E551D}"/>
    <cellStyle name="20% - Akzent2 11 18 3" xfId="20614" xr:uid="{1ACA429C-130C-472A-B69D-3B096BD4E156}"/>
    <cellStyle name="20% - Akzent2 11 19" xfId="1002" xr:uid="{3D7B5B5E-F852-487F-8DA1-97D5F8CBF0FF}"/>
    <cellStyle name="20% - Akzent2 11 19 2" xfId="1003" xr:uid="{BDA0BE32-BFF8-455D-B624-C1740A1CE2A4}"/>
    <cellStyle name="20% - Akzent2 11 19 2 2" xfId="20617" xr:uid="{8BBDB655-1234-4434-8CA1-A2182F5199EB}"/>
    <cellStyle name="20% - Akzent2 11 19 3" xfId="20616" xr:uid="{AFD6C0B6-D60B-4461-A987-E3D6CF035198}"/>
    <cellStyle name="20% - Akzent2 11 2" xfId="1004" xr:uid="{C7C2EB9B-AAFD-4550-876D-D95458A337B5}"/>
    <cellStyle name="20% - Akzent2 11 2 2" xfId="1005" xr:uid="{D52BF983-C61D-46D4-B47E-5B11057FB35D}"/>
    <cellStyle name="20% - Akzent2 11 2 2 2" xfId="20619" xr:uid="{B5155A4E-3266-46E7-8B58-BD0ADD6E12E3}"/>
    <cellStyle name="20% - Akzent2 11 2 3" xfId="20618" xr:uid="{1ACF058A-F0B6-4B79-9509-DBBD8D46FCAB}"/>
    <cellStyle name="20% - Akzent2 11 20" xfId="1006" xr:uid="{42215D66-D852-4CC1-9531-CA3CCF0820FA}"/>
    <cellStyle name="20% - Akzent2 11 20 2" xfId="1007" xr:uid="{122CE926-5B56-4920-ADEC-7D380737C06C}"/>
    <cellStyle name="20% - Akzent2 11 20 2 2" xfId="20621" xr:uid="{A0141AAB-DC2F-44D1-B351-90F0AC4F651C}"/>
    <cellStyle name="20% - Akzent2 11 20 3" xfId="20620" xr:uid="{1C616BDC-217B-4475-947A-7BB5F085054F}"/>
    <cellStyle name="20% - Akzent2 11 21" xfId="1008" xr:uid="{4785958C-D078-4E14-9C46-C3765CACE611}"/>
    <cellStyle name="20% - Akzent2 11 21 2" xfId="1009" xr:uid="{D141A1FA-A7BE-42DC-B997-0CD998766286}"/>
    <cellStyle name="20% - Akzent2 11 21 2 2" xfId="20623" xr:uid="{80FBD19B-E846-41EB-BE1F-54EA9B3759E0}"/>
    <cellStyle name="20% - Akzent2 11 21 3" xfId="20622" xr:uid="{159B1BFA-4509-4328-9C3A-0D0367BC5E7D}"/>
    <cellStyle name="20% - Akzent2 11 22" xfId="1010" xr:uid="{9E056CB8-1E21-4601-A43C-7CB44738F1DE}"/>
    <cellStyle name="20% - Akzent2 11 23" xfId="20597" xr:uid="{F80D5F9D-2842-4899-9516-ABA122778492}"/>
    <cellStyle name="20% - Akzent2 11 3" xfId="1011" xr:uid="{6C3C914A-83AD-4905-A415-4F171A8E86E5}"/>
    <cellStyle name="20% - Akzent2 11 3 2" xfId="1012" xr:uid="{14FA5AE1-6BB0-44E6-A086-426219C702E8}"/>
    <cellStyle name="20% - Akzent2 11 3 2 2" xfId="20625" xr:uid="{AF84693E-99EE-46F3-81C2-7FED62325849}"/>
    <cellStyle name="20% - Akzent2 11 3 3" xfId="20624" xr:uid="{A7244CD1-5407-41EB-BAC1-C1AD5FA08B87}"/>
    <cellStyle name="20% - Akzent2 11 4" xfId="1013" xr:uid="{E1FA3CD0-9B1F-4345-8CA8-0DC3F45E0331}"/>
    <cellStyle name="20% - Akzent2 11 4 2" xfId="1014" xr:uid="{BAB0241A-D32A-414F-8D28-0A5C32430C63}"/>
    <cellStyle name="20% - Akzent2 11 4 2 2" xfId="20627" xr:uid="{B1371E34-063E-4BE6-90E5-CBADD72556E5}"/>
    <cellStyle name="20% - Akzent2 11 4 3" xfId="20626" xr:uid="{49EE9CFB-45ED-4E50-8918-E8C5C121009E}"/>
    <cellStyle name="20% - Akzent2 11 5" xfId="1015" xr:uid="{5706BA95-14A1-4A7E-85C4-8FFF69B5DEE5}"/>
    <cellStyle name="20% - Akzent2 11 5 2" xfId="1016" xr:uid="{C4371628-4337-476C-B3DA-6268E73DB390}"/>
    <cellStyle name="20% - Akzent2 11 5 2 2" xfId="20629" xr:uid="{A00AA586-0DA4-4A91-B97D-527AFD4E50C7}"/>
    <cellStyle name="20% - Akzent2 11 5 3" xfId="20628" xr:uid="{D7819B77-5A48-45DE-BD6E-932C39585AC6}"/>
    <cellStyle name="20% - Akzent2 11 6" xfId="1017" xr:uid="{47215781-2C61-4DFC-8427-19C00104E165}"/>
    <cellStyle name="20% - Akzent2 11 6 2" xfId="1018" xr:uid="{4DA5D696-952C-42BE-A251-B1CCA7627AB8}"/>
    <cellStyle name="20% - Akzent2 11 6 2 2" xfId="20631" xr:uid="{CAFB7B9B-2F23-47F2-8794-291ECB136760}"/>
    <cellStyle name="20% - Akzent2 11 6 3" xfId="20630" xr:uid="{E6364DE0-C409-4F75-B22E-E8C15FE2E4A5}"/>
    <cellStyle name="20% - Akzent2 11 7" xfId="1019" xr:uid="{6A008763-2165-4A88-B3D4-3BA010258628}"/>
    <cellStyle name="20% - Akzent2 11 7 2" xfId="1020" xr:uid="{7163EAB5-8896-4346-9FA9-A9EE56FAC3FB}"/>
    <cellStyle name="20% - Akzent2 11 7 2 2" xfId="20633" xr:uid="{5B1DB458-6768-40B3-9301-AA67D0547DAB}"/>
    <cellStyle name="20% - Akzent2 11 7 3" xfId="20632" xr:uid="{9178CA69-2BA7-4F91-933C-B44C678921FA}"/>
    <cellStyle name="20% - Akzent2 11 8" xfId="1021" xr:uid="{0378B867-2C4C-4624-925D-4E5D87BD8DFF}"/>
    <cellStyle name="20% - Akzent2 11 8 2" xfId="1022" xr:uid="{840585D0-FC04-4A3B-8892-A5E4F35A09BF}"/>
    <cellStyle name="20% - Akzent2 11 8 2 2" xfId="20635" xr:uid="{8BD4FFF6-D07D-41A5-88E9-2245AD84A3D3}"/>
    <cellStyle name="20% - Akzent2 11 8 3" xfId="20634" xr:uid="{4C5E67A8-C00E-49DB-809C-F64E1D4634A1}"/>
    <cellStyle name="20% - Akzent2 11 9" xfId="1023" xr:uid="{37292333-2EF3-470C-8BFB-B6EDDB618051}"/>
    <cellStyle name="20% - Akzent2 11 9 2" xfId="1024" xr:uid="{D2CD0B9D-3170-4BCF-8DFB-1A7C8AAE54BB}"/>
    <cellStyle name="20% - Akzent2 11 9 2 2" xfId="20637" xr:uid="{DA7CEE1B-3268-478D-8B88-959C19EE0085}"/>
    <cellStyle name="20% - Akzent2 11 9 3" xfId="20636" xr:uid="{4593F8B7-83E1-49D8-B311-513E840A0413}"/>
    <cellStyle name="20% - Akzent2 12" xfId="1025" xr:uid="{F2F0835A-D0B3-4F8E-97BB-F265DEB3E245}"/>
    <cellStyle name="20% - Akzent2 12 10" xfId="1026" xr:uid="{12B85CE8-E1A8-44BE-AE99-622A601D3CD3}"/>
    <cellStyle name="20% - Akzent2 12 10 2" xfId="1027" xr:uid="{103FD0FB-507F-4FBE-8FA1-071B30F7320C}"/>
    <cellStyle name="20% - Akzent2 12 10 2 2" xfId="20640" xr:uid="{93E4755C-9C0E-4C28-8C63-488C959A9738}"/>
    <cellStyle name="20% - Akzent2 12 10 3" xfId="20639" xr:uid="{1346C2FD-53CD-4273-BEA3-BD6390237516}"/>
    <cellStyle name="20% - Akzent2 12 11" xfId="1028" xr:uid="{468F69A1-3FB6-45BA-9CD2-24FE058F646A}"/>
    <cellStyle name="20% - Akzent2 12 11 2" xfId="1029" xr:uid="{5ED72791-75BF-48DD-A899-DCFE92E846E4}"/>
    <cellStyle name="20% - Akzent2 12 11 2 2" xfId="20642" xr:uid="{9F34F8AC-5233-4367-A47F-3B47FD01071F}"/>
    <cellStyle name="20% - Akzent2 12 11 3" xfId="20641" xr:uid="{865C35D9-7569-470D-BAD5-1E6F886F288B}"/>
    <cellStyle name="20% - Akzent2 12 12" xfId="1030" xr:uid="{6378F30D-539E-4BED-A71A-D24AE2BA3A9E}"/>
    <cellStyle name="20% - Akzent2 12 12 2" xfId="1031" xr:uid="{0E10258D-12C5-40ED-983E-619FF6310AA6}"/>
    <cellStyle name="20% - Akzent2 12 12 2 2" xfId="20644" xr:uid="{F371E854-5DCC-4924-A8CB-61A92A9916DF}"/>
    <cellStyle name="20% - Akzent2 12 12 3" xfId="20643" xr:uid="{E548E5E7-320F-46E2-9A26-1B2B31040495}"/>
    <cellStyle name="20% - Akzent2 12 13" xfId="1032" xr:uid="{CD1B959C-2756-43F3-B67C-E6F0863F42BD}"/>
    <cellStyle name="20% - Akzent2 12 13 2" xfId="1033" xr:uid="{94122D85-480F-4E7A-A9C3-84739FE28FDC}"/>
    <cellStyle name="20% - Akzent2 12 13 2 2" xfId="20646" xr:uid="{3626CDE3-6375-43BD-9FBD-AD5745E9E964}"/>
    <cellStyle name="20% - Akzent2 12 13 3" xfId="20645" xr:uid="{5F84A579-14BB-4EF5-B451-9FF86A2EA982}"/>
    <cellStyle name="20% - Akzent2 12 14" xfId="1034" xr:uid="{3F8E5773-50E6-4128-9035-E3EC8A6B07A5}"/>
    <cellStyle name="20% - Akzent2 12 14 2" xfId="1035" xr:uid="{33CF94D6-DB00-4760-A7B4-C1D3820678F3}"/>
    <cellStyle name="20% - Akzent2 12 14 2 2" xfId="20648" xr:uid="{457F4515-8BBC-4276-BD3D-9294E4A797E2}"/>
    <cellStyle name="20% - Akzent2 12 14 3" xfId="20647" xr:uid="{3CC54693-3D91-4E71-8EF6-D2165B137D7E}"/>
    <cellStyle name="20% - Akzent2 12 15" xfId="1036" xr:uid="{F5862294-768F-4A3F-A6B2-49CD2144CB7A}"/>
    <cellStyle name="20% - Akzent2 12 15 2" xfId="1037" xr:uid="{1BDB4937-10A8-4E6F-B4CA-F306E8C25871}"/>
    <cellStyle name="20% - Akzent2 12 15 2 2" xfId="20650" xr:uid="{72B6B10D-947A-4D69-B958-F1C38BEDEC62}"/>
    <cellStyle name="20% - Akzent2 12 15 3" xfId="20649" xr:uid="{D45FE199-D7E7-4EC3-8ECA-0B9047999C69}"/>
    <cellStyle name="20% - Akzent2 12 16" xfId="1038" xr:uid="{F802B0BA-3395-48F3-8E23-CFFFE5DCA87F}"/>
    <cellStyle name="20% - Akzent2 12 16 2" xfId="1039" xr:uid="{A9452304-C522-425A-A920-4B1385332A20}"/>
    <cellStyle name="20% - Akzent2 12 16 2 2" xfId="20652" xr:uid="{F63DA068-0560-41A7-835E-02D00B26C04E}"/>
    <cellStyle name="20% - Akzent2 12 16 3" xfId="20651" xr:uid="{72F117B6-CAFC-4CD3-BA6A-CFB3EBBF1669}"/>
    <cellStyle name="20% - Akzent2 12 17" xfId="1040" xr:uid="{48C160B4-4861-47AE-A673-09439759A531}"/>
    <cellStyle name="20% - Akzent2 12 17 2" xfId="1041" xr:uid="{135519D8-620E-4DE6-8FB5-0E2F4A9282DE}"/>
    <cellStyle name="20% - Akzent2 12 17 2 2" xfId="20654" xr:uid="{7A418D9A-DDD7-4B2D-9844-3B903C778EC6}"/>
    <cellStyle name="20% - Akzent2 12 17 3" xfId="20653" xr:uid="{B348F1AC-F308-483E-93BA-73E3D424997A}"/>
    <cellStyle name="20% - Akzent2 12 18" xfId="1042" xr:uid="{FB5AE3FB-9D86-41B1-A50D-D1818750C21D}"/>
    <cellStyle name="20% - Akzent2 12 18 2" xfId="1043" xr:uid="{571DA9F3-36C4-43D4-926D-CF8C51E84BC2}"/>
    <cellStyle name="20% - Akzent2 12 18 2 2" xfId="20656" xr:uid="{F6F50878-79C2-428D-8498-1C93D3DD873B}"/>
    <cellStyle name="20% - Akzent2 12 18 3" xfId="20655" xr:uid="{A9B20EFF-5772-4203-AD06-CAAEC4C0B992}"/>
    <cellStyle name="20% - Akzent2 12 19" xfId="1044" xr:uid="{CA954AAE-D304-4AFD-A485-669AE86A9D7F}"/>
    <cellStyle name="20% - Akzent2 12 19 2" xfId="1045" xr:uid="{29DECC43-77CA-47F0-8D51-F6290CEB4DEA}"/>
    <cellStyle name="20% - Akzent2 12 19 2 2" xfId="20658" xr:uid="{F125B696-E9EB-43D2-86AD-CEC3E1E85E78}"/>
    <cellStyle name="20% - Akzent2 12 19 3" xfId="20657" xr:uid="{DF40B222-F31D-4D6B-A243-E7C3F2EE96A0}"/>
    <cellStyle name="20% - Akzent2 12 2" xfId="1046" xr:uid="{DD4F764E-8254-4035-A5DA-7E3170BC2D97}"/>
    <cellStyle name="20% - Akzent2 12 2 2" xfId="1047" xr:uid="{13C69384-D513-450F-BCE1-3235B53C6DCA}"/>
    <cellStyle name="20% - Akzent2 12 2 2 2" xfId="20660" xr:uid="{85611EA2-5C6F-4C98-B886-4944921E2843}"/>
    <cellStyle name="20% - Akzent2 12 2 3" xfId="20659" xr:uid="{E2C5B4A9-84F8-4BB5-AA71-95B240EB69B0}"/>
    <cellStyle name="20% - Akzent2 12 20" xfId="1048" xr:uid="{60510BE4-782A-449D-AF66-83724272AE98}"/>
    <cellStyle name="20% - Akzent2 12 20 2" xfId="1049" xr:uid="{A9A80D24-1A63-4692-906D-04391F653D22}"/>
    <cellStyle name="20% - Akzent2 12 20 2 2" xfId="20662" xr:uid="{4635DD6C-D280-422E-8AEE-66828A663D06}"/>
    <cellStyle name="20% - Akzent2 12 20 3" xfId="20661" xr:uid="{2C4757BB-546F-4BC3-BB6A-D8B33F0A76D9}"/>
    <cellStyle name="20% - Akzent2 12 21" xfId="1050" xr:uid="{82EB0C68-FBD4-4A4B-8126-92F814BBCAAD}"/>
    <cellStyle name="20% - Akzent2 12 21 2" xfId="1051" xr:uid="{5593E2EA-7E31-4E79-87D7-B6D0A6B61558}"/>
    <cellStyle name="20% - Akzent2 12 21 2 2" xfId="20664" xr:uid="{F7A3878F-C1AC-4BDA-8775-C46F91D18CDA}"/>
    <cellStyle name="20% - Akzent2 12 21 3" xfId="20663" xr:uid="{921B9659-84E1-4D0F-AC36-62D28B021386}"/>
    <cellStyle name="20% - Akzent2 12 22" xfId="1052" xr:uid="{12C0C65B-B8B7-4733-B2B5-FC0C05DE96FF}"/>
    <cellStyle name="20% - Akzent2 12 23" xfId="20638" xr:uid="{BAD9515C-F73A-4E91-B40C-E97110077F81}"/>
    <cellStyle name="20% - Akzent2 12 3" xfId="1053" xr:uid="{5FEFC4AF-D4B1-4E02-9B3A-AE77EFC0CD32}"/>
    <cellStyle name="20% - Akzent2 12 3 2" xfId="1054" xr:uid="{CA8C544B-44BE-4735-9BD0-AE88ECAD2DEF}"/>
    <cellStyle name="20% - Akzent2 12 3 2 2" xfId="20666" xr:uid="{76F02B86-9001-4FEA-88DF-3F8A933B1511}"/>
    <cellStyle name="20% - Akzent2 12 3 3" xfId="20665" xr:uid="{A8F76701-BF5C-4502-8372-F63E39615389}"/>
    <cellStyle name="20% - Akzent2 12 4" xfId="1055" xr:uid="{557B6BA0-483B-4F27-9F14-BF1FC9AB9C31}"/>
    <cellStyle name="20% - Akzent2 12 4 2" xfId="1056" xr:uid="{060D87A6-554E-42A9-96FA-A17242ADC638}"/>
    <cellStyle name="20% - Akzent2 12 4 2 2" xfId="20668" xr:uid="{11B6A8B4-36C8-4DB3-9812-6E3A18A0F173}"/>
    <cellStyle name="20% - Akzent2 12 4 3" xfId="20667" xr:uid="{16A6D8EA-3688-4EC5-ABF4-D39B9ED3AD73}"/>
    <cellStyle name="20% - Akzent2 12 5" xfId="1057" xr:uid="{C428299B-7001-4A82-ADB9-1D547F5ECB48}"/>
    <cellStyle name="20% - Akzent2 12 5 2" xfId="1058" xr:uid="{281E8873-F493-40A6-9266-2DDA3FC0EC28}"/>
    <cellStyle name="20% - Akzent2 12 5 2 2" xfId="20670" xr:uid="{EA07283B-E4C7-47D7-88AF-86340D0DDEA1}"/>
    <cellStyle name="20% - Akzent2 12 5 3" xfId="20669" xr:uid="{53A0C1B8-A9CC-40C0-B8DF-17C8331E9B6B}"/>
    <cellStyle name="20% - Akzent2 12 6" xfId="1059" xr:uid="{A68F5EB4-6724-4DE6-89FC-1102F8CB161E}"/>
    <cellStyle name="20% - Akzent2 12 6 2" xfId="1060" xr:uid="{189E5445-651D-4FA7-8EB7-11D755866618}"/>
    <cellStyle name="20% - Akzent2 12 6 2 2" xfId="20672" xr:uid="{23E4CC33-E928-4785-9A44-72B567A9BE9C}"/>
    <cellStyle name="20% - Akzent2 12 6 3" xfId="20671" xr:uid="{7820DFFA-0306-4FF7-875E-86BEC6FF5710}"/>
    <cellStyle name="20% - Akzent2 12 7" xfId="1061" xr:uid="{E69275BB-079E-46B5-876B-E676AB2893EF}"/>
    <cellStyle name="20% - Akzent2 12 7 2" xfId="1062" xr:uid="{75940145-9A49-4EC4-B71A-6D77AE120A6C}"/>
    <cellStyle name="20% - Akzent2 12 7 2 2" xfId="20674" xr:uid="{0FE85B00-37E6-4E4E-B527-50C6716A1952}"/>
    <cellStyle name="20% - Akzent2 12 7 3" xfId="20673" xr:uid="{C295BF56-5B56-4E77-B2E5-1C1E58057C4C}"/>
    <cellStyle name="20% - Akzent2 12 8" xfId="1063" xr:uid="{CBB02E91-F248-4AFD-B244-47C44566171E}"/>
    <cellStyle name="20% - Akzent2 12 8 2" xfId="1064" xr:uid="{3409A299-6AAC-4704-8499-BC77A7A63B95}"/>
    <cellStyle name="20% - Akzent2 12 8 2 2" xfId="20676" xr:uid="{CF1AB4FF-81FF-4D27-8862-941D604402B8}"/>
    <cellStyle name="20% - Akzent2 12 8 3" xfId="20675" xr:uid="{153EEFD9-97DD-47A6-9996-EE94074B3667}"/>
    <cellStyle name="20% - Akzent2 12 9" xfId="1065" xr:uid="{85780E57-7706-49D6-BCFF-6470F85F9043}"/>
    <cellStyle name="20% - Akzent2 12 9 2" xfId="1066" xr:uid="{0772C0DC-3EA4-4D49-A575-45B923A44559}"/>
    <cellStyle name="20% - Akzent2 12 9 2 2" xfId="20678" xr:uid="{4935A263-64F8-4DDC-8420-15EA66A749A8}"/>
    <cellStyle name="20% - Akzent2 12 9 3" xfId="20677" xr:uid="{1A6045A5-54EA-4053-8BFA-3D5F91C8CE50}"/>
    <cellStyle name="20% - Akzent2 13" xfId="1067" xr:uid="{039DD25C-85AA-42F8-AC0F-8AC2AB6D0C98}"/>
    <cellStyle name="20% - Akzent2 13 10" xfId="1068" xr:uid="{89016BB1-E069-4352-80DB-6D060268F7F4}"/>
    <cellStyle name="20% - Akzent2 13 10 2" xfId="1069" xr:uid="{B0B9BBBE-50E7-4D93-A9DB-A02753C0B0D7}"/>
    <cellStyle name="20% - Akzent2 13 10 2 2" xfId="20681" xr:uid="{A9E18B43-B4C4-4F2D-A520-16370F5B8749}"/>
    <cellStyle name="20% - Akzent2 13 10 3" xfId="20680" xr:uid="{CEC4E768-E68D-4FF8-B03B-59E64CB483B7}"/>
    <cellStyle name="20% - Akzent2 13 11" xfId="1070" xr:uid="{CF5A9BC2-C009-4B82-B23C-0BBB87310656}"/>
    <cellStyle name="20% - Akzent2 13 11 2" xfId="1071" xr:uid="{859CDAC9-DBCB-4CBA-BBB7-6477F05A626B}"/>
    <cellStyle name="20% - Akzent2 13 11 2 2" xfId="20683" xr:uid="{37AD5921-420C-421B-B61F-6A80DCA18473}"/>
    <cellStyle name="20% - Akzent2 13 11 3" xfId="20682" xr:uid="{DB36897A-F2B0-4722-8253-706F6C272CF9}"/>
    <cellStyle name="20% - Akzent2 13 12" xfId="1072" xr:uid="{9C618A65-E670-4F7E-931C-C2351ABC13A1}"/>
    <cellStyle name="20% - Akzent2 13 12 2" xfId="1073" xr:uid="{C044D568-22F4-4751-A206-107B1E55BEE5}"/>
    <cellStyle name="20% - Akzent2 13 12 2 2" xfId="20685" xr:uid="{1BDF317D-BDA7-4032-A7C6-8C31586E4083}"/>
    <cellStyle name="20% - Akzent2 13 12 3" xfId="20684" xr:uid="{85AD810B-A558-4DFF-AE68-A0F227C9E448}"/>
    <cellStyle name="20% - Akzent2 13 13" xfId="1074" xr:uid="{F4586FD6-800C-416D-AB27-3DB4DEAAB4BD}"/>
    <cellStyle name="20% - Akzent2 13 13 2" xfId="1075" xr:uid="{2C924470-8905-4BBD-9C78-5B581D122BB3}"/>
    <cellStyle name="20% - Akzent2 13 13 2 2" xfId="20687" xr:uid="{01E82B7E-40F7-42C0-8D07-DFE1C0FF09FF}"/>
    <cellStyle name="20% - Akzent2 13 13 3" xfId="20686" xr:uid="{DAD64E98-CE71-4275-903E-CF83A2549B42}"/>
    <cellStyle name="20% - Akzent2 13 14" xfId="1076" xr:uid="{51A90DCE-40E8-4B3A-A1F1-30CCB98B5B51}"/>
    <cellStyle name="20% - Akzent2 13 15" xfId="20679" xr:uid="{B4C05630-3BE7-4646-BD75-E398FBFC2662}"/>
    <cellStyle name="20% - Akzent2 13 2" xfId="1077" xr:uid="{7F8261AB-139E-4539-8B25-6C7D6ECD6DBA}"/>
    <cellStyle name="20% - Akzent2 13 2 2" xfId="1078" xr:uid="{26A4949B-0F0A-4136-9919-5D075D979391}"/>
    <cellStyle name="20% - Akzent2 13 2 2 2" xfId="20689" xr:uid="{97673DBD-E34F-4413-8728-15E9401027DC}"/>
    <cellStyle name="20% - Akzent2 13 2 3" xfId="20688" xr:uid="{9BC98B03-8D73-42B2-B67D-42688FC674F9}"/>
    <cellStyle name="20% - Akzent2 13 3" xfId="1079" xr:uid="{42D0B41B-33D5-456A-9719-83004DE8A98A}"/>
    <cellStyle name="20% - Akzent2 13 3 2" xfId="1080" xr:uid="{E5623B99-4E9B-480E-BCC4-C3D4305212CF}"/>
    <cellStyle name="20% - Akzent2 13 3 2 2" xfId="20691" xr:uid="{5729D3A0-D089-421E-AF63-4A0B7C73F5F5}"/>
    <cellStyle name="20% - Akzent2 13 3 3" xfId="20690" xr:uid="{3FD2BE8C-6D7C-4A6A-9BCE-9878AD1C314F}"/>
    <cellStyle name="20% - Akzent2 13 4" xfId="1081" xr:uid="{8748DE7F-D9D2-456B-B3F5-2003651B225C}"/>
    <cellStyle name="20% - Akzent2 13 4 2" xfId="1082" xr:uid="{AD5791BE-B7B4-4268-8853-7D2E8D1918FB}"/>
    <cellStyle name="20% - Akzent2 13 4 2 2" xfId="20693" xr:uid="{FFA6471E-3944-419A-8FCF-C3D6E0FB3685}"/>
    <cellStyle name="20% - Akzent2 13 4 3" xfId="20692" xr:uid="{63DE42BF-B99C-4577-B5A8-6D7707D52DBA}"/>
    <cellStyle name="20% - Akzent2 13 5" xfId="1083" xr:uid="{8E38AB81-6816-40CE-8108-4EBD371EEAA6}"/>
    <cellStyle name="20% - Akzent2 13 5 2" xfId="1084" xr:uid="{15844FFD-4DFC-4036-B3D4-BD6746DC6060}"/>
    <cellStyle name="20% - Akzent2 13 5 2 2" xfId="20695" xr:uid="{54CCD880-8833-495C-9EB2-942742CADF17}"/>
    <cellStyle name="20% - Akzent2 13 5 3" xfId="20694" xr:uid="{11087466-BED1-4E68-892B-6B3EB81F786D}"/>
    <cellStyle name="20% - Akzent2 13 6" xfId="1085" xr:uid="{E5CE703C-B2F6-4E1D-BE0E-D2A8309C6D52}"/>
    <cellStyle name="20% - Akzent2 13 6 2" xfId="1086" xr:uid="{12CB50F2-343C-4104-8F22-4FF6401AD351}"/>
    <cellStyle name="20% - Akzent2 13 6 2 2" xfId="20697" xr:uid="{5CD4CD87-CF88-423C-9BA5-3CBA48A1E9A9}"/>
    <cellStyle name="20% - Akzent2 13 6 3" xfId="20696" xr:uid="{B0EE5C1D-B7DD-4F1A-9B11-31B870DF545A}"/>
    <cellStyle name="20% - Akzent2 13 7" xfId="1087" xr:uid="{B659D482-4F02-47FD-AF23-68367FF7AB1D}"/>
    <cellStyle name="20% - Akzent2 13 7 2" xfId="1088" xr:uid="{15CC1DE6-F5EF-4195-B96F-7CB8F29A91B7}"/>
    <cellStyle name="20% - Akzent2 13 7 2 2" xfId="20699" xr:uid="{1E83A9D2-8654-47F1-9DF5-0C5908B208F2}"/>
    <cellStyle name="20% - Akzent2 13 7 3" xfId="20698" xr:uid="{F1672F8F-FB32-4C56-B37C-52756C7A45EB}"/>
    <cellStyle name="20% - Akzent2 13 8" xfId="1089" xr:uid="{27E17C1A-9B58-4D9A-BC74-D75CAA4F7E2B}"/>
    <cellStyle name="20% - Akzent2 13 8 2" xfId="1090" xr:uid="{B9DA0162-22DF-42E8-AF32-6544B6D91230}"/>
    <cellStyle name="20% - Akzent2 13 8 2 2" xfId="20701" xr:uid="{A97A80C5-F7C7-4F06-956B-C3C03C940F81}"/>
    <cellStyle name="20% - Akzent2 13 8 3" xfId="20700" xr:uid="{2D7C625B-B013-4FA0-8DD5-0D1BD67A5E6A}"/>
    <cellStyle name="20% - Akzent2 13 9" xfId="1091" xr:uid="{06308BCC-53A6-48DC-B2A8-B20C6D6656D1}"/>
    <cellStyle name="20% - Akzent2 13 9 2" xfId="1092" xr:uid="{CC1B5DC5-7184-40ED-AEA9-14DE81A0CD8D}"/>
    <cellStyle name="20% - Akzent2 13 9 2 2" xfId="20703" xr:uid="{AD65D04F-3769-4BCA-916B-A75C4DBDB73F}"/>
    <cellStyle name="20% - Akzent2 13 9 3" xfId="20702" xr:uid="{B7C8D67F-5E39-4CBC-BC20-F285D8C01B6E}"/>
    <cellStyle name="20% - Akzent2 14" xfId="1093" xr:uid="{E986C7DA-007E-44AF-85C7-2512DA0101AF}"/>
    <cellStyle name="20% - Akzent2 14 2" xfId="1094" xr:uid="{FBDD9D39-FBED-4330-9234-2513B084B66B}"/>
    <cellStyle name="20% - Akzent2 14 2 2" xfId="20705" xr:uid="{7A4EE0F3-E2CA-40A4-A894-D9A61A09B0C0}"/>
    <cellStyle name="20% - Akzent2 14 3" xfId="1095" xr:uid="{4A290518-EA08-4BCB-A6BA-D13452BD35F0}"/>
    <cellStyle name="20% - Akzent2 14 3 2" xfId="20706" xr:uid="{CDF5304A-BBE2-49B8-A8CB-4ED4E5C831D8}"/>
    <cellStyle name="20% - Akzent2 14 4" xfId="20704" xr:uid="{2A233F37-AC82-400B-9E95-88E664094EAF}"/>
    <cellStyle name="20% - Akzent2 15" xfId="1096" xr:uid="{87827E82-1142-4DE6-A729-5E6C20BF9058}"/>
    <cellStyle name="20% - Akzent2 15 2" xfId="1097" xr:uid="{D6DCA95E-16DF-47CB-8CD8-53E426DE8BD3}"/>
    <cellStyle name="20% - Akzent2 15 2 2" xfId="20708" xr:uid="{2769B58D-C7FE-4F60-9468-7CB5E7B0A29C}"/>
    <cellStyle name="20% - Akzent2 15 3" xfId="1098" xr:uid="{9899027F-9462-415C-8E87-8B6A0504658D}"/>
    <cellStyle name="20% - Akzent2 15 3 2" xfId="20709" xr:uid="{98EC1C5E-3E3B-40EF-B953-D7134F2F6706}"/>
    <cellStyle name="20% - Akzent2 15 4" xfId="20707" xr:uid="{CA88EC22-AAF3-44C2-B170-237B98D9DA6C}"/>
    <cellStyle name="20% - Akzent2 16" xfId="1099" xr:uid="{A65F34C2-8C31-4ED7-A5F9-DCD05E3DE69E}"/>
    <cellStyle name="20% - Akzent2 16 2" xfId="1100" xr:uid="{353655ED-F214-4A70-92A0-C8E9A6B16526}"/>
    <cellStyle name="20% - Akzent2 16 2 2" xfId="20711" xr:uid="{92C294AD-5CA7-4024-95AB-C56323779851}"/>
    <cellStyle name="20% - Akzent2 16 3" xfId="1101" xr:uid="{FB1F474E-6CF9-405A-A2A7-5EBF18B6DB59}"/>
    <cellStyle name="20% - Akzent2 16 3 2" xfId="20712" xr:uid="{343C19EA-D986-489A-AA05-8695D34ED5EE}"/>
    <cellStyle name="20% - Akzent2 16 4" xfId="20710" xr:uid="{AF99BA28-7A11-4D63-9FA9-3657C9DFC4D3}"/>
    <cellStyle name="20% - Akzent2 17" xfId="1102" xr:uid="{5B8F797C-63EA-4F0D-85C6-E41E836E3186}"/>
    <cellStyle name="20% - Akzent2 17 2" xfId="1103" xr:uid="{8BF1A6B6-C3FF-4F6D-97F3-258072CEE449}"/>
    <cellStyle name="20% - Akzent2 17 2 2" xfId="20714" xr:uid="{CD645A9F-EA74-450E-9508-B852C2A7367F}"/>
    <cellStyle name="20% - Akzent2 17 3" xfId="1104" xr:uid="{3BE12FF0-B8D1-4B10-922C-BD603626A71B}"/>
    <cellStyle name="20% - Akzent2 17 3 2" xfId="20715" xr:uid="{16A241A2-D921-4E30-B7FF-5B6ACDEF3579}"/>
    <cellStyle name="20% - Akzent2 17 4" xfId="20713" xr:uid="{71981EA3-B0E5-4CD1-84DD-41F85199A341}"/>
    <cellStyle name="20% - Akzent2 18" xfId="1105" xr:uid="{3216D838-63AB-47B7-A8C8-9C979F0E5F49}"/>
    <cellStyle name="20% - Akzent2 18 2" xfId="1106" xr:uid="{063C8A0F-23DD-4EFD-81A6-842C6927D072}"/>
    <cellStyle name="20% - Akzent2 18 2 2" xfId="20717" xr:uid="{BBDCF9B8-E5F1-425B-AD33-8F8A1FF7D945}"/>
    <cellStyle name="20% - Akzent2 18 3" xfId="1107" xr:uid="{6D2FCCC0-801A-41E5-BC8D-27D3A430D817}"/>
    <cellStyle name="20% - Akzent2 18 3 2" xfId="20718" xr:uid="{C4C15A87-587B-470C-9866-6EC13BF5F1BA}"/>
    <cellStyle name="20% - Akzent2 18 4" xfId="20716" xr:uid="{DBE224B6-519C-483A-8FC6-5F6C79AC334F}"/>
    <cellStyle name="20% - Akzent2 19" xfId="1108" xr:uid="{A0B51224-4BE1-4819-8280-2A8AB8902BDE}"/>
    <cellStyle name="20% - Akzent2 19 2" xfId="1109" xr:uid="{29405C92-197D-4D7B-8D4A-0D000FA52BCC}"/>
    <cellStyle name="20% - Akzent2 19 2 2" xfId="20720" xr:uid="{1F0CCF8F-E08B-40FF-9434-BCE7C6652B7D}"/>
    <cellStyle name="20% - Akzent2 19 3" xfId="1110" xr:uid="{D8CCD91F-C6E3-4B84-9BB7-1B3F902C0D86}"/>
    <cellStyle name="20% - Akzent2 19 3 2" xfId="20721" xr:uid="{69ECCAA5-9C66-4A10-A160-9B3E9A2D80C9}"/>
    <cellStyle name="20% - Akzent2 19 4" xfId="20719" xr:uid="{F926AC5B-97FE-47C3-90CE-AD149647BD5A}"/>
    <cellStyle name="20% - Akzent2 2" xfId="99" xr:uid="{249561E5-C96B-40CF-A2FE-CFF9DDD59B54}"/>
    <cellStyle name="20% - Akzent2 2 10" xfId="1112" xr:uid="{B44EB751-2AC3-45AD-BD53-6611B8BE5066}"/>
    <cellStyle name="20% - Akzent2 2 10 2" xfId="1113" xr:uid="{F0DC47BA-347C-401B-82D1-06231B882E91}"/>
    <cellStyle name="20% - Akzent2 2 10 2 2" xfId="20724" xr:uid="{5754A944-A83B-44EC-9761-1FD4E750259F}"/>
    <cellStyle name="20% - Akzent2 2 10 3" xfId="20723" xr:uid="{E8A2D2B2-7FE6-401A-89C2-E7378805FDC5}"/>
    <cellStyle name="20% - Akzent2 2 11" xfId="1114" xr:uid="{4A18D5A7-B24A-4300-9ED1-4F29707EA1BA}"/>
    <cellStyle name="20% - Akzent2 2 11 2" xfId="1115" xr:uid="{08362AE2-8A43-4BA2-9CEC-ECFB418A3C33}"/>
    <cellStyle name="20% - Akzent2 2 11 2 2" xfId="20726" xr:uid="{324CADDA-EF82-46D8-90EE-B5949B3CE069}"/>
    <cellStyle name="20% - Akzent2 2 11 3" xfId="20725" xr:uid="{628A3EC7-F2A3-4D63-9BD8-0C3A1B7EC500}"/>
    <cellStyle name="20% - Akzent2 2 12" xfId="1116" xr:uid="{EDCA0111-3810-441C-9042-65C0928C03C2}"/>
    <cellStyle name="20% - Akzent2 2 12 2" xfId="1117" xr:uid="{AED3E1C5-717E-451B-91FD-D5EF122B4C3F}"/>
    <cellStyle name="20% - Akzent2 2 12 2 2" xfId="20728" xr:uid="{AFCD9A96-78CA-4D07-B5EF-6A55051A8D5B}"/>
    <cellStyle name="20% - Akzent2 2 12 3" xfId="20727" xr:uid="{7E3155A3-35E0-43CB-851D-2E0432E918AB}"/>
    <cellStyle name="20% - Akzent2 2 13" xfId="1118" xr:uid="{6B044FA8-7348-4BB1-8BDD-F958306AD137}"/>
    <cellStyle name="20% - Akzent2 2 13 2" xfId="1119" xr:uid="{C1143627-E40F-489F-8F9A-BC14F25D7A58}"/>
    <cellStyle name="20% - Akzent2 2 13 2 2" xfId="20730" xr:uid="{235CF166-5AD3-4798-8FCA-9FF264BD885B}"/>
    <cellStyle name="20% - Akzent2 2 13 3" xfId="20729" xr:uid="{87E819E7-4FEA-4295-8B8E-CBE757359873}"/>
    <cellStyle name="20% - Akzent2 2 14" xfId="1120" xr:uid="{552E835F-AC01-420F-8DF1-C3EC3FE7CDF5}"/>
    <cellStyle name="20% - Akzent2 2 14 2" xfId="1121" xr:uid="{CC092795-466D-4769-AA14-9B1A6BF40F15}"/>
    <cellStyle name="20% - Akzent2 2 14 2 2" xfId="20732" xr:uid="{55FF8CE5-DD51-4FE7-A579-A1EF15A9DB9F}"/>
    <cellStyle name="20% - Akzent2 2 14 3" xfId="20731" xr:uid="{6FDB8211-0682-4851-9C70-EE883166FF89}"/>
    <cellStyle name="20% - Akzent2 2 15" xfId="1122" xr:uid="{6ACED2C8-2E62-416A-8F89-7908448BF1D4}"/>
    <cellStyle name="20% - Akzent2 2 15 2" xfId="1123" xr:uid="{78C33461-EB81-482A-88A0-29005992948B}"/>
    <cellStyle name="20% - Akzent2 2 15 2 2" xfId="20734" xr:uid="{F02BB2B4-AF6B-4A1B-9797-4952365B21DC}"/>
    <cellStyle name="20% - Akzent2 2 15 3" xfId="20733" xr:uid="{F866A0DA-E83C-4572-8957-EA7D3EA83CF3}"/>
    <cellStyle name="20% - Akzent2 2 16" xfId="1124" xr:uid="{01BE7593-BBBE-4AAA-8BB4-A138D00A0D23}"/>
    <cellStyle name="20% - Akzent2 2 16 2" xfId="1125" xr:uid="{07B9184D-6E11-467D-9FA2-42278D4C56F0}"/>
    <cellStyle name="20% - Akzent2 2 16 2 2" xfId="20736" xr:uid="{D4B2E1F2-95DA-40B8-90CD-1F802D6302F8}"/>
    <cellStyle name="20% - Akzent2 2 16 3" xfId="20735" xr:uid="{A2086A0D-6E86-4FA7-94B5-421860ECC91C}"/>
    <cellStyle name="20% - Akzent2 2 17" xfId="1126" xr:uid="{61D308EB-91DF-4090-A927-50E958AF0882}"/>
    <cellStyle name="20% - Akzent2 2 17 2" xfId="1127" xr:uid="{A6553AB0-5CB3-4116-A950-145A76518D8D}"/>
    <cellStyle name="20% - Akzent2 2 17 2 2" xfId="20738" xr:uid="{FEC8A1E6-97F0-4B06-A1A6-649D7C89B2E8}"/>
    <cellStyle name="20% - Akzent2 2 17 3" xfId="20737" xr:uid="{1BF5F600-9C6C-4EDE-8D9A-EDB9E0A53932}"/>
    <cellStyle name="20% - Akzent2 2 18" xfId="1128" xr:uid="{A0DEA820-BD13-4CE2-8801-BC3D550C67BD}"/>
    <cellStyle name="20% - Akzent2 2 18 2" xfId="1129" xr:uid="{266024F1-C045-4535-B84C-41032F5B65A8}"/>
    <cellStyle name="20% - Akzent2 2 18 2 2" xfId="20740" xr:uid="{9466C8F5-8F60-4928-A834-590505E2876D}"/>
    <cellStyle name="20% - Akzent2 2 18 3" xfId="20739" xr:uid="{E2E06B06-37EF-463B-AE76-78EB91880B4D}"/>
    <cellStyle name="20% - Akzent2 2 19" xfId="1130" xr:uid="{2CBC3B13-1114-4C6E-9F1D-996FBF325145}"/>
    <cellStyle name="20% - Akzent2 2 19 2" xfId="1131" xr:uid="{F850F8A7-BEAA-429A-81C6-A76668AE30D9}"/>
    <cellStyle name="20% - Akzent2 2 19 2 2" xfId="20742" xr:uid="{F387DDDC-C41B-4728-A7D1-1EB3DADEE43A}"/>
    <cellStyle name="20% - Akzent2 2 19 3" xfId="20741" xr:uid="{28E497C6-9980-4E91-87F1-100E5FED2F3A}"/>
    <cellStyle name="20% - Akzent2 2 2" xfId="1132" xr:uid="{9C2D660C-EEC3-49A3-9881-BB0EB4CA7312}"/>
    <cellStyle name="20% - Akzent2 2 2 10" xfId="1133" xr:uid="{5DE7A940-263C-4283-8062-858495F6D317}"/>
    <cellStyle name="20% - Akzent2 2 2 11" xfId="1134" xr:uid="{BE171A3F-6E8B-4CE2-A711-9B0AC0C50E55}"/>
    <cellStyle name="20% - Akzent2 2 2 12" xfId="1135" xr:uid="{E7FAE762-C484-4042-9DA7-C41E98E97403}"/>
    <cellStyle name="20% - Akzent2 2 2 13" xfId="1136" xr:uid="{C5286FCD-607E-4B16-BCC7-F879233448F7}"/>
    <cellStyle name="20% - Akzent2 2 2 13 2" xfId="1137" xr:uid="{F0907AE8-2DEF-4808-AC00-12DCB136201B}"/>
    <cellStyle name="20% - Akzent2 2 2 13 2 2" xfId="20745" xr:uid="{6A3692CA-7C57-4861-9751-12B6EC731775}"/>
    <cellStyle name="20% - Akzent2 2 2 13 3" xfId="20744" xr:uid="{BB785FB5-5FB6-4034-9E37-DCB2CE45F021}"/>
    <cellStyle name="20% - Akzent2 2 2 14" xfId="1138" xr:uid="{486ECAA3-2EAC-43A4-8548-E0F8BD8A948E}"/>
    <cellStyle name="20% - Akzent2 2 2 14 2" xfId="1139" xr:uid="{C85D458F-B21B-44A0-892C-B4DBAA00145F}"/>
    <cellStyle name="20% - Akzent2 2 2 14 2 2" xfId="20747" xr:uid="{1B324A26-4DFE-4EEE-8215-2A584FF5BEEB}"/>
    <cellStyle name="20% - Akzent2 2 2 14 3" xfId="20746" xr:uid="{C04679D0-4827-44F9-9D7D-91619407A415}"/>
    <cellStyle name="20% - Akzent2 2 2 15" xfId="1140" xr:uid="{627F1447-B284-4266-B81F-C7F913F41B0C}"/>
    <cellStyle name="20% - Akzent2 2 2 15 2" xfId="1141" xr:uid="{E6A83EDF-4B3D-46C3-AB86-7343FDAB058B}"/>
    <cellStyle name="20% - Akzent2 2 2 15 2 2" xfId="20749" xr:uid="{BB5D2C3F-A547-45DB-BEB9-1DA2D1C1A0B7}"/>
    <cellStyle name="20% - Akzent2 2 2 15 3" xfId="20748" xr:uid="{D0B09B14-C828-452D-A21E-63B4775F03F9}"/>
    <cellStyle name="20% - Akzent2 2 2 16" xfId="1142" xr:uid="{CA0280A4-4EAB-426E-B36D-44B9C5B3F0CA}"/>
    <cellStyle name="20% - Akzent2 2 2 16 2" xfId="1143" xr:uid="{3317FB69-A046-4213-A133-05FB8240BF8F}"/>
    <cellStyle name="20% - Akzent2 2 2 16 2 2" xfId="20751" xr:uid="{8620DF2C-24D9-4615-8F18-0B99125D92D6}"/>
    <cellStyle name="20% - Akzent2 2 2 16 3" xfId="20750" xr:uid="{0F0D1D76-A27E-4A26-9A86-FBEBA7A679DF}"/>
    <cellStyle name="20% - Akzent2 2 2 17" xfId="1144" xr:uid="{FF5520E1-50A1-49B8-A233-22D4BD1026D1}"/>
    <cellStyle name="20% - Akzent2 2 2 17 2" xfId="1145" xr:uid="{7DBEA1CB-7555-4E11-B412-E5D913B4E119}"/>
    <cellStyle name="20% - Akzent2 2 2 17 2 2" xfId="20753" xr:uid="{5B21207E-70F6-465D-85B6-13A585975F0B}"/>
    <cellStyle name="20% - Akzent2 2 2 17 3" xfId="20752" xr:uid="{624950E3-0AB7-41AC-886B-1EAB11739DC8}"/>
    <cellStyle name="20% - Akzent2 2 2 18" xfId="1146" xr:uid="{DC5258CD-AE2D-46E7-A6EC-E91FEB6A58F9}"/>
    <cellStyle name="20% - Akzent2 2 2 18 2" xfId="1147" xr:uid="{BB2216F3-1904-4476-910F-05AA5855758A}"/>
    <cellStyle name="20% - Akzent2 2 2 18 2 2" xfId="20755" xr:uid="{CBF52392-D39A-4792-835E-EB7A0DF40F8C}"/>
    <cellStyle name="20% - Akzent2 2 2 18 3" xfId="20754" xr:uid="{4BAA1D31-57C0-4400-A316-684E74CE2A81}"/>
    <cellStyle name="20% - Akzent2 2 2 19" xfId="1148" xr:uid="{A618C269-F920-418A-884E-84DD8DF3A835}"/>
    <cellStyle name="20% - Akzent2 2 2 19 2" xfId="1149" xr:uid="{EFB5B298-2EFE-452F-AA1E-0FEE7CB39465}"/>
    <cellStyle name="20% - Akzent2 2 2 19 2 2" xfId="20757" xr:uid="{8ED56EF1-DA89-48F8-8A87-E4E948947897}"/>
    <cellStyle name="20% - Akzent2 2 2 19 3" xfId="20756" xr:uid="{C4DE4570-C71C-4072-A44F-58AAD9FDEE08}"/>
    <cellStyle name="20% - Akzent2 2 2 2" xfId="1150" xr:uid="{FE40DF57-2A17-4B3E-A58F-7B497531E362}"/>
    <cellStyle name="20% - Akzent2 2 2 2 10" xfId="1151" xr:uid="{46BB23A3-F389-422F-A1D7-C7F38856C96A}"/>
    <cellStyle name="20% - Akzent2 2 2 2 10 2" xfId="1152" xr:uid="{EF5DA6D4-4DF8-4983-A7DD-E82385A5216A}"/>
    <cellStyle name="20% - Akzent2 2 2 2 10 2 2" xfId="20760" xr:uid="{97F00902-9879-44FC-95C7-6AFD5EF5CE1B}"/>
    <cellStyle name="20% - Akzent2 2 2 2 10 3" xfId="20759" xr:uid="{A9F757A9-6E66-4D95-A55E-7445286526E0}"/>
    <cellStyle name="20% - Akzent2 2 2 2 11" xfId="1153" xr:uid="{391DFFE0-F3A2-4393-B943-B367192589CF}"/>
    <cellStyle name="20% - Akzent2 2 2 2 11 2" xfId="20761" xr:uid="{ED42C388-829B-45DE-9A2E-850801F096F2}"/>
    <cellStyle name="20% - Akzent2 2 2 2 12" xfId="20758" xr:uid="{A6E24CE0-BF63-481F-B4C1-127C46E6659C}"/>
    <cellStyle name="20% - Akzent2 2 2 2 13" xfId="39907" xr:uid="{534F5B30-85C1-4704-90E1-00557CADAB46}"/>
    <cellStyle name="20% - Akzent2 2 2 2 2" xfId="1154" xr:uid="{250ED724-1835-4D9A-96F7-541DDE871B92}"/>
    <cellStyle name="20% - Akzent2 2 2 2 2 2" xfId="1155" xr:uid="{430C8DBE-F6B7-42EC-B0B9-11F38A21CE5E}"/>
    <cellStyle name="20% - Akzent2 2 2 2 2 2 10" xfId="20762" xr:uid="{BE07A089-9456-45CB-A668-9635EBF7566A}"/>
    <cellStyle name="20% - Akzent2 2 2 2 2 2 2" xfId="1156" xr:uid="{D689260A-10C2-4AB2-B9C5-7EC25CF8DEB7}"/>
    <cellStyle name="20% - Akzent2 2 2 2 2 2 2 2" xfId="1157" xr:uid="{F0CE8F92-2572-49BB-9B64-35E5CA564FCC}"/>
    <cellStyle name="20% - Akzent2 2 2 2 2 2 2 2 2" xfId="1158" xr:uid="{63535DB8-8678-48F5-850C-00DF5CD368E3}"/>
    <cellStyle name="20% - Akzent2 2 2 2 2 2 2 2 2 2" xfId="20764" xr:uid="{ECA981CC-2BAF-4B35-BE23-06E16F667232}"/>
    <cellStyle name="20% - Akzent2 2 2 2 2 2 2 2 3" xfId="20763" xr:uid="{77853F9A-5076-4696-B51B-7425A0FDB222}"/>
    <cellStyle name="20% - Akzent2 2 2 2 2 2 3" xfId="1159" xr:uid="{109DA7EC-ED2C-459D-AD14-72240302463E}"/>
    <cellStyle name="20% - Akzent2 2 2 2 2 2 3 2" xfId="1160" xr:uid="{ABDBC345-B6EA-4659-BED9-45CC6A362CC1}"/>
    <cellStyle name="20% - Akzent2 2 2 2 2 2 3 2 2" xfId="20766" xr:uid="{2DE49C1C-F17B-48C2-892A-54808F8B1A8D}"/>
    <cellStyle name="20% - Akzent2 2 2 2 2 2 3 3" xfId="20765" xr:uid="{E7514874-C32F-4785-BF5E-0F0735475F0A}"/>
    <cellStyle name="20% - Akzent2 2 2 2 2 2 4" xfId="1161" xr:uid="{13ADDFB8-27A2-465F-BE5C-C21DE8496D96}"/>
    <cellStyle name="20% - Akzent2 2 2 2 2 2 4 2" xfId="1162" xr:uid="{7BC2978D-ECD7-4CF4-892C-AFB11310C5EE}"/>
    <cellStyle name="20% - Akzent2 2 2 2 2 2 4 2 2" xfId="20768" xr:uid="{D0F59340-8BE1-43D0-88A7-4270524FC7C0}"/>
    <cellStyle name="20% - Akzent2 2 2 2 2 2 4 3" xfId="20767" xr:uid="{01A9FE38-F550-4199-BED9-95F1B4091514}"/>
    <cellStyle name="20% - Akzent2 2 2 2 2 2 5" xfId="1163" xr:uid="{9DFAFCF9-D867-4410-AE50-CAB13C79BA2B}"/>
    <cellStyle name="20% - Akzent2 2 2 2 2 2 5 2" xfId="1164" xr:uid="{3EFCAC7B-C6F0-4AB1-B300-4CA32DCEA937}"/>
    <cellStyle name="20% - Akzent2 2 2 2 2 2 5 2 2" xfId="20770" xr:uid="{A6AC09E7-A1CF-43C7-9F87-38247EBFF415}"/>
    <cellStyle name="20% - Akzent2 2 2 2 2 2 5 3" xfId="20769" xr:uid="{67517BB7-29A1-4667-BF8F-012C65C97ACC}"/>
    <cellStyle name="20% - Akzent2 2 2 2 2 2 6" xfId="1165" xr:uid="{9F6D98B3-C590-4DBA-989F-E1CC917F614A}"/>
    <cellStyle name="20% - Akzent2 2 2 2 2 2 6 2" xfId="1166" xr:uid="{D331489C-41C3-49B2-8FFE-54C20A6F0ABC}"/>
    <cellStyle name="20% - Akzent2 2 2 2 2 2 6 2 2" xfId="20772" xr:uid="{5C25D18A-17E4-42D2-89AD-631B00073ABD}"/>
    <cellStyle name="20% - Akzent2 2 2 2 2 2 6 3" xfId="20771" xr:uid="{0749CA46-3043-4A37-822D-51768A27C018}"/>
    <cellStyle name="20% - Akzent2 2 2 2 2 2 7" xfId="1167" xr:uid="{8236EEBE-B971-4712-9A33-A3CB93AF15B6}"/>
    <cellStyle name="20% - Akzent2 2 2 2 2 2 7 2" xfId="1168" xr:uid="{13E12A2F-D823-455C-B0D8-863CA395FC36}"/>
    <cellStyle name="20% - Akzent2 2 2 2 2 2 7 2 2" xfId="20774" xr:uid="{F97B7A82-4519-4A5F-ADEB-1B423DDA4789}"/>
    <cellStyle name="20% - Akzent2 2 2 2 2 2 7 3" xfId="20773" xr:uid="{C28C28B1-8920-4C9C-B6D2-B1F094B4E227}"/>
    <cellStyle name="20% - Akzent2 2 2 2 2 2 8" xfId="1169" xr:uid="{C82B6C6E-5BD2-4E9D-8CAE-2CD7F912E302}"/>
    <cellStyle name="20% - Akzent2 2 2 2 2 2 8 2" xfId="1170" xr:uid="{2D831E4D-2C65-496A-97C6-2FED7BD7D254}"/>
    <cellStyle name="20% - Akzent2 2 2 2 2 2 8 2 2" xfId="20776" xr:uid="{C0C06BC2-B2C3-49CE-AD98-CE6719E13828}"/>
    <cellStyle name="20% - Akzent2 2 2 2 2 2 8 3" xfId="20775" xr:uid="{70A6503E-A2B8-43B4-AFE7-086197B45CA0}"/>
    <cellStyle name="20% - Akzent2 2 2 2 2 2 9" xfId="1171" xr:uid="{1BD1752D-74C0-4501-8EAB-B1703FE6CED9}"/>
    <cellStyle name="20% - Akzent2 2 2 2 2 2 9 2" xfId="20777" xr:uid="{9B318332-47F5-44E5-BDE9-299A38F706F9}"/>
    <cellStyle name="20% - Akzent2 2 2 2 2 3" xfId="1172" xr:uid="{30E0E202-FF5F-4FAA-98A8-8A57100D5824}"/>
    <cellStyle name="20% - Akzent2 2 2 2 2 3 2" xfId="1173" xr:uid="{78818BA3-C323-4B13-96F2-B8ED51BC19B2}"/>
    <cellStyle name="20% - Akzent2 2 2 2 2 3 3" xfId="1174" xr:uid="{33F42930-7F2F-4867-BE09-5A50339D6DED}"/>
    <cellStyle name="20% - Akzent2 2 2 2 2 3 3 2" xfId="20779" xr:uid="{5E2A951B-C6D1-4068-9544-08B00C240CF8}"/>
    <cellStyle name="20% - Akzent2 2 2 2 2 3 4" xfId="20778" xr:uid="{CF929336-5174-45DA-A412-FEB02B5C5264}"/>
    <cellStyle name="20% - Akzent2 2 2 2 2 4" xfId="1175" xr:uid="{5D82C0F2-176E-4FE7-B070-A67F1D24E724}"/>
    <cellStyle name="20% - Akzent2 2 2 2 2 5" xfId="1176" xr:uid="{AE0D1752-8769-4DF4-AD79-3A0003D94756}"/>
    <cellStyle name="20% - Akzent2 2 2 2 2 6" xfId="1177" xr:uid="{38338BF6-961A-4673-B931-5DBC653E58D4}"/>
    <cellStyle name="20% - Akzent2 2 2 2 2 7" xfId="1178" xr:uid="{1197ADD6-ADA7-49B6-9737-08D77E0919EB}"/>
    <cellStyle name="20% - Akzent2 2 2 2 2 8" xfId="1179" xr:uid="{51E30016-8FB5-4BE6-A675-2F541970129C}"/>
    <cellStyle name="20% - Akzent2 2 2 2 2 9" xfId="40853" xr:uid="{F48DAB31-9312-4340-B962-A6D012CFCB9A}"/>
    <cellStyle name="20% - Akzent2 2 2 2 3" xfId="1180" xr:uid="{3F767432-ADCD-443F-80C0-BF842ACCB1C4}"/>
    <cellStyle name="20% - Akzent2 2 2 2 3 2" xfId="1181" xr:uid="{B773042F-BCEC-4161-8CD2-2EAECFF1136A}"/>
    <cellStyle name="20% - Akzent2 2 2 2 3 2 2" xfId="20781" xr:uid="{B728FBEB-0B07-4336-841E-B09C1F75A8CA}"/>
    <cellStyle name="20% - Akzent2 2 2 2 3 3" xfId="20780" xr:uid="{7FBF37A8-1C44-4A26-9AE3-0F7ACD0A9647}"/>
    <cellStyle name="20% - Akzent2 2 2 2 3 4" xfId="41713" xr:uid="{236F6AAE-3997-449A-941D-473D7381CA85}"/>
    <cellStyle name="20% - Akzent2 2 2 2 4" xfId="1182" xr:uid="{8C47F789-D76D-498E-918B-0307986B8EDF}"/>
    <cellStyle name="20% - Akzent2 2 2 2 4 2" xfId="1183" xr:uid="{DA6442EF-EC4D-453C-A8B3-64E7890A54EA}"/>
    <cellStyle name="20% - Akzent2 2 2 2 4 2 2" xfId="20783" xr:uid="{B8160468-AAD3-4D7E-B09E-5F38CF8F5483}"/>
    <cellStyle name="20% - Akzent2 2 2 2 4 3" xfId="20782" xr:uid="{3F51E8D9-4050-4D9A-9AFC-5A91AB0432C3}"/>
    <cellStyle name="20% - Akzent2 2 2 2 5" xfId="1184" xr:uid="{3BE55BB3-848A-436A-A9CA-26CEFC2B5CD0}"/>
    <cellStyle name="20% - Akzent2 2 2 2 5 2" xfId="1185" xr:uid="{88D544C1-8435-4476-8F63-3AB52566AAEE}"/>
    <cellStyle name="20% - Akzent2 2 2 2 5 2 2" xfId="1186" xr:uid="{2AA7904B-FBBC-4190-ADE0-105FB3806CDE}"/>
    <cellStyle name="20% - Akzent2 2 2 2 5 2 2 2" xfId="20785" xr:uid="{AA8E20B5-7346-4252-AECA-88FCCFBC48E3}"/>
    <cellStyle name="20% - Akzent2 2 2 2 5 2 3" xfId="20784" xr:uid="{F3FD093B-DD47-4579-8E0E-125109AA3B58}"/>
    <cellStyle name="20% - Akzent2 2 2 2 6" xfId="1187" xr:uid="{34919A30-2950-4A5E-A555-A0D1B0DB824F}"/>
    <cellStyle name="20% - Akzent2 2 2 2 6 2" xfId="1188" xr:uid="{05E2C955-5515-4807-A0DA-A42E2AF2D971}"/>
    <cellStyle name="20% - Akzent2 2 2 2 6 2 2" xfId="20787" xr:uid="{F157425C-2B7F-414A-8382-2032D7DB0883}"/>
    <cellStyle name="20% - Akzent2 2 2 2 6 3" xfId="20786" xr:uid="{00A4F78B-6FEC-4376-BF7F-02D4068C3BFF}"/>
    <cellStyle name="20% - Akzent2 2 2 2 7" xfId="1189" xr:uid="{F89478B0-42D7-4933-8A65-B5C417A8B0F0}"/>
    <cellStyle name="20% - Akzent2 2 2 2 7 2" xfId="1190" xr:uid="{8151D8D4-243C-4BF4-A52C-8CEBDD81CD23}"/>
    <cellStyle name="20% - Akzent2 2 2 2 7 2 2" xfId="20789" xr:uid="{D5596D8F-3BD8-409D-85C3-18AA353EF304}"/>
    <cellStyle name="20% - Akzent2 2 2 2 7 3" xfId="20788" xr:uid="{BFEB6476-6C0F-4E8C-A6FB-DA55F3680295}"/>
    <cellStyle name="20% - Akzent2 2 2 2 8" xfId="1191" xr:uid="{324ED3DF-E490-4AFD-A9B8-646218E798A0}"/>
    <cellStyle name="20% - Akzent2 2 2 2 8 2" xfId="1192" xr:uid="{DB444B2D-84DA-4DFD-83CD-15A06EEF0820}"/>
    <cellStyle name="20% - Akzent2 2 2 2 8 2 2" xfId="20791" xr:uid="{D4B890FB-E269-4142-9F27-3208583DA641}"/>
    <cellStyle name="20% - Akzent2 2 2 2 8 3" xfId="20790" xr:uid="{8139D319-39F7-4440-9627-90D4918AE3FE}"/>
    <cellStyle name="20% - Akzent2 2 2 2 9" xfId="1193" xr:uid="{8381AFC6-B190-4194-BF9D-6D288F2B809F}"/>
    <cellStyle name="20% - Akzent2 2 2 2 9 2" xfId="1194" xr:uid="{90624AD9-72EF-460A-9DB5-16436128D4D2}"/>
    <cellStyle name="20% - Akzent2 2 2 2 9 2 2" xfId="20793" xr:uid="{34407C3F-5068-41AC-8CAF-4FF4D7091898}"/>
    <cellStyle name="20% - Akzent2 2 2 2 9 3" xfId="20792" xr:uid="{2005B25F-749E-4ECD-A539-118C95663DF3}"/>
    <cellStyle name="20% - Akzent2 2 2 20" xfId="1195" xr:uid="{E6F0079C-896A-424E-9F33-589A460BECE7}"/>
    <cellStyle name="20% - Akzent2 2 2 20 2" xfId="1196" xr:uid="{E076451C-A503-4DF7-8D20-7037C93EAD0D}"/>
    <cellStyle name="20% - Akzent2 2 2 20 2 2" xfId="20795" xr:uid="{6011BBCD-16FC-4081-85FC-EDD5BE9561D1}"/>
    <cellStyle name="20% - Akzent2 2 2 20 3" xfId="20794" xr:uid="{B791A888-349E-4873-B759-3DE605F6E718}"/>
    <cellStyle name="20% - Akzent2 2 2 21" xfId="1197" xr:uid="{2D5AEEFD-E90B-4138-996E-E42E86129A24}"/>
    <cellStyle name="20% - Akzent2 2 2 21 2" xfId="1198" xr:uid="{98467208-49A6-446A-9680-61EAF2659996}"/>
    <cellStyle name="20% - Akzent2 2 2 21 2 2" xfId="20797" xr:uid="{9587FB61-1D5D-45CE-B6E6-D6560ECD0420}"/>
    <cellStyle name="20% - Akzent2 2 2 21 3" xfId="20796" xr:uid="{CB5DAEAE-DDFC-4908-A358-29AC4CF399A3}"/>
    <cellStyle name="20% - Akzent2 2 2 22" xfId="1199" xr:uid="{5495730E-8A66-49C8-A9DA-ADF263C9D8BD}"/>
    <cellStyle name="20% - Akzent2 2 2 22 2" xfId="20798" xr:uid="{5C8D5645-C818-49C9-8AFA-DD7B430101D9}"/>
    <cellStyle name="20% - Akzent2 2 2 23" xfId="20743" xr:uid="{FF134DF1-9121-4113-B6B1-A342973B63D2}"/>
    <cellStyle name="20% - Akzent2 2 2 24" xfId="39279" xr:uid="{602B1C6A-B380-4F62-B700-A692CF981EFC}"/>
    <cellStyle name="20% - Akzent2 2 2 3" xfId="1200" xr:uid="{642BC1C4-8497-4567-92C1-D97A7E7DA931}"/>
    <cellStyle name="20% - Akzent2 2 2 3 2" xfId="1201" xr:uid="{4050C4AD-0E7C-4FFC-9AF7-588C99190C00}"/>
    <cellStyle name="20% - Akzent2 2 2 3 2 2" xfId="20800" xr:uid="{24F3D14C-3BCC-4569-941C-9347C47C2078}"/>
    <cellStyle name="20% - Akzent2 2 2 3 3" xfId="20799" xr:uid="{898F44BC-7217-46E3-B87C-6D18091713AD}"/>
    <cellStyle name="20% - Akzent2 2 2 3 4" xfId="40435" xr:uid="{8E2ED906-622B-4B6F-8858-56314AA870D8}"/>
    <cellStyle name="20% - Akzent2 2 2 4" xfId="1202" xr:uid="{93298D21-5516-44E9-972D-13C5A2DE7A05}"/>
    <cellStyle name="20% - Akzent2 2 2 4 2" xfId="1203" xr:uid="{5FC50A8B-F838-440D-859A-47A6444FBC95}"/>
    <cellStyle name="20% - Akzent2 2 2 4 2 2" xfId="20802" xr:uid="{F0BEADCA-F5C3-480B-8251-F76E934D53F3}"/>
    <cellStyle name="20% - Akzent2 2 2 4 3" xfId="20801" xr:uid="{8388E585-3D91-41AE-A502-BB09DB68D493}"/>
    <cellStyle name="20% - Akzent2 2 2 4 4" xfId="41295" xr:uid="{4DC38D0A-7CC1-4F1A-AD37-FD4CA8839BC6}"/>
    <cellStyle name="20% - Akzent2 2 2 5" xfId="1204" xr:uid="{C519E90F-B23B-4648-B39C-CB79A5949F1D}"/>
    <cellStyle name="20% - Akzent2 2 2 5 2" xfId="1205" xr:uid="{592A7D29-8A11-4D36-BDDC-893765583934}"/>
    <cellStyle name="20% - Akzent2 2 2 5 3" xfId="1206" xr:uid="{CC90512F-537F-44F1-A298-A576E595B821}"/>
    <cellStyle name="20% - Akzent2 2 2 5 3 2" xfId="20804" xr:uid="{CA1E8022-4535-4722-9A64-253A67378E86}"/>
    <cellStyle name="20% - Akzent2 2 2 5 4" xfId="20803" xr:uid="{52BAA2DC-C64E-4062-93FE-EAC90042DC7C}"/>
    <cellStyle name="20% - Akzent2 2 2 6" xfId="1207" xr:uid="{4191897C-F13F-468B-BFE7-71FD9C1F7447}"/>
    <cellStyle name="20% - Akzent2 2 2 7" xfId="1208" xr:uid="{66BA0EBC-005D-493C-87EC-61305EA9F7B1}"/>
    <cellStyle name="20% - Akzent2 2 2 7 2" xfId="1209" xr:uid="{F14A2699-1A98-4C01-9694-8BCE0EDC742E}"/>
    <cellStyle name="20% - Akzent2 2 2 7 3" xfId="1210" xr:uid="{FF64D562-728D-4864-90BD-9362A34EEDDE}"/>
    <cellStyle name="20% - Akzent2 2 2 7 3 2" xfId="20806" xr:uid="{B3F7CFA7-15DD-435E-A60B-8B0D22B0A65C}"/>
    <cellStyle name="20% - Akzent2 2 2 7 4" xfId="20805" xr:uid="{F5265A50-7F2E-4034-B990-A8A4F353AB6D}"/>
    <cellStyle name="20% - Akzent2 2 2 8" xfId="1211" xr:uid="{DB9DFE4E-79F7-4863-8BDA-75FC59DA0EC8}"/>
    <cellStyle name="20% - Akzent2 2 2 9" xfId="1212" xr:uid="{18A5D9F0-131B-43B7-8AE5-4E5625907870}"/>
    <cellStyle name="20% - Akzent2 2 20" xfId="1213" xr:uid="{C3057AA8-9C78-470D-9224-89D1BBC95689}"/>
    <cellStyle name="20% - Akzent2 2 20 2" xfId="1214" xr:uid="{D03963F7-2048-4C89-9085-600527D49475}"/>
    <cellStyle name="20% - Akzent2 2 20 2 2" xfId="20808" xr:uid="{B1470A36-00AD-43D5-94B2-6D5A3293C25B}"/>
    <cellStyle name="20% - Akzent2 2 20 3" xfId="20807" xr:uid="{3D8ED718-065C-4AA8-AD75-495C2C757564}"/>
    <cellStyle name="20% - Akzent2 2 21" xfId="1215" xr:uid="{96D2F3E1-DC77-4F17-BE88-5F63A3F334B0}"/>
    <cellStyle name="20% - Akzent2 2 21 2" xfId="1216" xr:uid="{D1A72C1B-3DE8-4FA6-9E2D-8A423D052501}"/>
    <cellStyle name="20% - Akzent2 2 21 2 2" xfId="20810" xr:uid="{E46FA0B1-C33D-4483-9A8E-E6D3CFCDF7B9}"/>
    <cellStyle name="20% - Akzent2 2 21 3" xfId="20809" xr:uid="{DE749D45-8746-44E5-AF99-EC2D93402043}"/>
    <cellStyle name="20% - Akzent2 2 22" xfId="1217" xr:uid="{ED55AFA3-5816-41D2-BE88-9786C1EDE664}"/>
    <cellStyle name="20% - Akzent2 2 22 2" xfId="1218" xr:uid="{C656ECED-7FCB-4371-83C4-5FFF8D89219A}"/>
    <cellStyle name="20% - Akzent2 2 22 2 2" xfId="20812" xr:uid="{B581611A-7E42-4B0A-9CC4-2452394C8466}"/>
    <cellStyle name="20% - Akzent2 2 22 3" xfId="20811" xr:uid="{8DB277AD-7D62-4744-85D7-D72C9D7A1DB9}"/>
    <cellStyle name="20% - Akzent2 2 23" xfId="1219" xr:uid="{B59481A7-6225-4306-B348-C96843328A4D}"/>
    <cellStyle name="20% - Akzent2 2 23 2" xfId="1220" xr:uid="{DBBED20D-EFAD-4ACC-916B-DB86807D3141}"/>
    <cellStyle name="20% - Akzent2 2 23 2 2" xfId="20814" xr:uid="{B37A6343-F115-47A9-9A63-EA8921E21CC0}"/>
    <cellStyle name="20% - Akzent2 2 23 3" xfId="20813" xr:uid="{25BAACEE-CD38-4FCB-BE47-2866FC1ED719}"/>
    <cellStyle name="20% - Akzent2 2 24" xfId="1221" xr:uid="{077B9ED3-FCF5-479A-90A0-C328771AD58D}"/>
    <cellStyle name="20% - Akzent2 2 25" xfId="20722" xr:uid="{ED9D68F9-31BE-4EC7-B957-CDD8C24271FE}"/>
    <cellStyle name="20% - Akzent2 2 26" xfId="39278" xr:uid="{C3CAA577-4999-44B7-BE0A-9CBF0B3C3FDD}"/>
    <cellStyle name="20% - Akzent2 2 27" xfId="1111" xr:uid="{E5AED60A-F173-48F0-AC3E-74DCCC7688BE}"/>
    <cellStyle name="20% - Akzent2 2 3" xfId="1222" xr:uid="{F0C4076E-A102-4C5C-94B8-B12A361D8C9D}"/>
    <cellStyle name="20% - Akzent2 2 3 10" xfId="1223" xr:uid="{1BB46F05-E8D1-4DC9-ACFF-9E0D570F71D4}"/>
    <cellStyle name="20% - Akzent2 2 3 10 2" xfId="1224" xr:uid="{A599AF35-854E-4D1F-9A99-68C3A31E4A47}"/>
    <cellStyle name="20% - Akzent2 2 3 10 2 2" xfId="20817" xr:uid="{9D134BE4-3D8C-4A29-ADEA-5EE53A4A26BB}"/>
    <cellStyle name="20% - Akzent2 2 3 10 3" xfId="20816" xr:uid="{5CB0A135-9769-470C-ABF8-2F313E602A27}"/>
    <cellStyle name="20% - Akzent2 2 3 11" xfId="1225" xr:uid="{B57DBB2D-C3E9-4B08-A78B-906CA502EEA9}"/>
    <cellStyle name="20% - Akzent2 2 3 11 2" xfId="1226" xr:uid="{8A9F7568-9F2C-4973-B7B8-FECB8EADBDC2}"/>
    <cellStyle name="20% - Akzent2 2 3 11 2 2" xfId="20819" xr:uid="{B0B16C58-01F3-4E4F-BE50-5D0DC93D0B5D}"/>
    <cellStyle name="20% - Akzent2 2 3 11 3" xfId="20818" xr:uid="{5E570CE8-0D9A-49C1-8C0D-C027BB369553}"/>
    <cellStyle name="20% - Akzent2 2 3 12" xfId="1227" xr:uid="{AEF396AE-D980-4F64-BB0B-0103B1E5C52E}"/>
    <cellStyle name="20% - Akzent2 2 3 12 2" xfId="1228" xr:uid="{E94EBAD4-37DE-4F9A-BB4E-CBF98A0FF38E}"/>
    <cellStyle name="20% - Akzent2 2 3 12 2 2" xfId="20821" xr:uid="{AC3D9A68-2287-4657-A6B9-8488D4EE10A0}"/>
    <cellStyle name="20% - Akzent2 2 3 12 3" xfId="20820" xr:uid="{5FA05180-3F67-4D4C-9989-C320948D7056}"/>
    <cellStyle name="20% - Akzent2 2 3 13" xfId="1229" xr:uid="{A0EDE8BF-76C7-496B-BB58-B1748343AAA5}"/>
    <cellStyle name="20% - Akzent2 2 3 13 2" xfId="1230" xr:uid="{752D5CEB-57EC-42B2-A02E-6D0462FDEDB2}"/>
    <cellStyle name="20% - Akzent2 2 3 13 2 2" xfId="20823" xr:uid="{2B9BBC87-520D-409B-9E4E-E9CB6D56247E}"/>
    <cellStyle name="20% - Akzent2 2 3 13 3" xfId="20822" xr:uid="{CE844056-956C-4315-BB2B-35879D582F40}"/>
    <cellStyle name="20% - Akzent2 2 3 14" xfId="1231" xr:uid="{1980FBA0-C8B2-46C7-B208-36D471E2B24C}"/>
    <cellStyle name="20% - Akzent2 2 3 14 2" xfId="1232" xr:uid="{46D8D523-7E98-42B5-B574-C3EF175A0AB9}"/>
    <cellStyle name="20% - Akzent2 2 3 14 2 2" xfId="20825" xr:uid="{D3BFBF5D-C2E5-448A-B80E-F1C62C416585}"/>
    <cellStyle name="20% - Akzent2 2 3 14 3" xfId="20824" xr:uid="{568ECD70-2A68-4730-ABCD-CDDBA151AD69}"/>
    <cellStyle name="20% - Akzent2 2 3 15" xfId="1233" xr:uid="{3F7A15E6-946B-47A0-9E7B-DDEF8B735026}"/>
    <cellStyle name="20% - Akzent2 2 3 15 2" xfId="1234" xr:uid="{C2268FF1-53B9-4CAC-BE02-63DDD219099B}"/>
    <cellStyle name="20% - Akzent2 2 3 15 2 2" xfId="20827" xr:uid="{97B86486-6383-4C8C-952D-BE6BF75F5941}"/>
    <cellStyle name="20% - Akzent2 2 3 15 3" xfId="20826" xr:uid="{6FBD70DF-1B04-43B8-9B47-78530D263438}"/>
    <cellStyle name="20% - Akzent2 2 3 16" xfId="1235" xr:uid="{CA9E77AB-D4D8-4A20-B202-4C6CDDCDCECB}"/>
    <cellStyle name="20% - Akzent2 2 3 16 2" xfId="1236" xr:uid="{6553ABC8-A9B2-4B7C-A5F9-40E66790E835}"/>
    <cellStyle name="20% - Akzent2 2 3 16 2 2" xfId="20829" xr:uid="{6572BB70-278E-4B61-8FEB-3B86E34D8012}"/>
    <cellStyle name="20% - Akzent2 2 3 16 3" xfId="20828" xr:uid="{6AF44A66-98CC-4D40-8F9D-F25AF783D099}"/>
    <cellStyle name="20% - Akzent2 2 3 17" xfId="1237" xr:uid="{2EDDC04F-DC60-4BB0-8F2D-C075CA760D41}"/>
    <cellStyle name="20% - Akzent2 2 3 17 2" xfId="1238" xr:uid="{9DFABDCD-EAA4-436C-A7FC-3F3647E87144}"/>
    <cellStyle name="20% - Akzent2 2 3 17 2 2" xfId="20831" xr:uid="{75327F45-3831-4D8C-AF63-596F4A879078}"/>
    <cellStyle name="20% - Akzent2 2 3 17 3" xfId="20830" xr:uid="{74CB6CF3-B3D8-4A3A-9B6E-C04405794333}"/>
    <cellStyle name="20% - Akzent2 2 3 18" xfId="1239" xr:uid="{7D4F0AA1-AA96-465A-B17C-96B0CE2879C6}"/>
    <cellStyle name="20% - Akzent2 2 3 18 2" xfId="1240" xr:uid="{021956D8-CB5C-42E6-A1F3-27B41204BD5C}"/>
    <cellStyle name="20% - Akzent2 2 3 18 2 2" xfId="20833" xr:uid="{0491FA07-228F-4B22-91C1-6F9407F28100}"/>
    <cellStyle name="20% - Akzent2 2 3 18 3" xfId="20832" xr:uid="{649CE68D-375A-46F9-AF6A-AFA81AC1A945}"/>
    <cellStyle name="20% - Akzent2 2 3 19" xfId="1241" xr:uid="{EF94D866-F6C5-49EC-98CC-E1673EB3C069}"/>
    <cellStyle name="20% - Akzent2 2 3 19 2" xfId="1242" xr:uid="{D6F27755-2F4A-413D-AC9B-C416A71BA85D}"/>
    <cellStyle name="20% - Akzent2 2 3 19 2 2" xfId="20835" xr:uid="{34555522-D3BF-438D-8AEF-46BAB499BE94}"/>
    <cellStyle name="20% - Akzent2 2 3 19 3" xfId="20834" xr:uid="{2996F26F-5607-450D-8D59-D743D4F9DA34}"/>
    <cellStyle name="20% - Akzent2 2 3 2" xfId="1243" xr:uid="{5ABB18AB-49D6-4A64-B899-B2EB74FE78E1}"/>
    <cellStyle name="20% - Akzent2 2 3 2 2" xfId="1244" xr:uid="{BCBCDF2C-97F0-43AE-913C-B1B3A33EBD27}"/>
    <cellStyle name="20% - Akzent2 2 3 2 2 2" xfId="20837" xr:uid="{262189AD-6F74-4FC8-AB94-CDE7E4A92B23}"/>
    <cellStyle name="20% - Akzent2 2 3 2 3" xfId="20836" xr:uid="{19C30257-9C43-478E-9171-31B3AC7F56FB}"/>
    <cellStyle name="20% - Akzent2 2 3 2 4" xfId="40852" xr:uid="{E1A9D7CB-F8A2-4636-843E-D61FECA06531}"/>
    <cellStyle name="20% - Akzent2 2 3 20" xfId="1245" xr:uid="{326FD7E4-2D27-452D-8D58-C647647663AA}"/>
    <cellStyle name="20% - Akzent2 2 3 20 2" xfId="1246" xr:uid="{524917EA-EEE3-43BF-8971-20EF4F28C44B}"/>
    <cellStyle name="20% - Akzent2 2 3 20 2 2" xfId="20839" xr:uid="{FEEC2FC1-588C-4B50-A95D-A4A40D97B748}"/>
    <cellStyle name="20% - Akzent2 2 3 20 3" xfId="20838" xr:uid="{967355D3-B355-40C4-A2B1-92B263B05DFC}"/>
    <cellStyle name="20% - Akzent2 2 3 21" xfId="1247" xr:uid="{64098B56-94E1-4297-B833-19B990F6E674}"/>
    <cellStyle name="20% - Akzent2 2 3 21 2" xfId="1248" xr:uid="{EE492CE2-723D-47A9-BAC2-66B70C514973}"/>
    <cellStyle name="20% - Akzent2 2 3 21 2 2" xfId="20841" xr:uid="{957FD169-CAF8-455A-9F6C-8C8FC15CE190}"/>
    <cellStyle name="20% - Akzent2 2 3 21 3" xfId="20840" xr:uid="{2EA2FA10-9DC7-4717-A03D-49CEA8E69832}"/>
    <cellStyle name="20% - Akzent2 2 3 22" xfId="1249" xr:uid="{71705FF9-8140-413C-B170-CF84644E26A7}"/>
    <cellStyle name="20% - Akzent2 2 3 22 2" xfId="20842" xr:uid="{CA39F06E-469F-4782-B64B-B9DBA60FA535}"/>
    <cellStyle name="20% - Akzent2 2 3 23" xfId="20815" xr:uid="{2364F196-EE0B-42F9-8A06-081727BC6CCD}"/>
    <cellStyle name="20% - Akzent2 2 3 24" xfId="39906" xr:uid="{44C2B362-FC42-4D00-A52D-FCDF4EAE77EF}"/>
    <cellStyle name="20% - Akzent2 2 3 3" xfId="1250" xr:uid="{380B7619-CB21-4106-A375-63AC089786B3}"/>
    <cellStyle name="20% - Akzent2 2 3 3 2" xfId="1251" xr:uid="{BB85BB54-7318-42A6-A4F7-88AFFDF142FF}"/>
    <cellStyle name="20% - Akzent2 2 3 3 2 2" xfId="20844" xr:uid="{87D4C221-3602-4054-9DE6-F6F98E5F3B2F}"/>
    <cellStyle name="20% - Akzent2 2 3 3 3" xfId="20843" xr:uid="{E42575A3-5F4D-4A22-BE10-18EA4FB12AD9}"/>
    <cellStyle name="20% - Akzent2 2 3 3 4" xfId="41712" xr:uid="{FB08862A-2D65-4C3C-9EE5-34EC266FAC6E}"/>
    <cellStyle name="20% - Akzent2 2 3 4" xfId="1252" xr:uid="{59389742-C327-44E0-9A1E-A7B806A9190B}"/>
    <cellStyle name="20% - Akzent2 2 3 4 2" xfId="1253" xr:uid="{81F5A1BC-BDC8-456D-A282-564433AEFE2A}"/>
    <cellStyle name="20% - Akzent2 2 3 4 2 2" xfId="20846" xr:uid="{2F856287-F0D1-45E5-9B52-79402B16EB73}"/>
    <cellStyle name="20% - Akzent2 2 3 4 3" xfId="20845" xr:uid="{B12A5468-5184-4A81-A6B4-CD55D1B8BCD5}"/>
    <cellStyle name="20% - Akzent2 2 3 5" xfId="1254" xr:uid="{78A621F0-00BA-4BF2-B50E-7488B9FC4D70}"/>
    <cellStyle name="20% - Akzent2 2 3 5 2" xfId="1255" xr:uid="{7CE13D61-08C2-4FDF-925D-859BCEBA3168}"/>
    <cellStyle name="20% - Akzent2 2 3 5 2 2" xfId="20848" xr:uid="{C835C561-A351-4AEF-87C1-7CD1DBEF3E16}"/>
    <cellStyle name="20% - Akzent2 2 3 5 3" xfId="20847" xr:uid="{0950D625-D170-4F4E-832C-FB05B64CCAF6}"/>
    <cellStyle name="20% - Akzent2 2 3 6" xfId="1256" xr:uid="{D5CEB407-8C5C-424E-B929-031C53CC2D0F}"/>
    <cellStyle name="20% - Akzent2 2 3 6 2" xfId="1257" xr:uid="{B4998496-74CB-43E4-A6F8-DA07D4A9FBE8}"/>
    <cellStyle name="20% - Akzent2 2 3 6 2 2" xfId="20850" xr:uid="{3D32E6FC-E235-458A-8F3C-E7BBE9164FCA}"/>
    <cellStyle name="20% - Akzent2 2 3 6 3" xfId="20849" xr:uid="{875401B2-3A0D-4EAF-A992-A83E4FAC1493}"/>
    <cellStyle name="20% - Akzent2 2 3 7" xfId="1258" xr:uid="{2EA77A10-C428-42C5-AF30-5A5EAB868572}"/>
    <cellStyle name="20% - Akzent2 2 3 7 2" xfId="1259" xr:uid="{9BECE9E3-1553-48AA-B6EF-F6A2349EEFF6}"/>
    <cellStyle name="20% - Akzent2 2 3 7 2 2" xfId="20852" xr:uid="{19B8E316-606F-4218-A5A0-0A9653C24AAB}"/>
    <cellStyle name="20% - Akzent2 2 3 7 3" xfId="20851" xr:uid="{E0818D41-E93C-46C9-BEBD-D4AD62FF9E8E}"/>
    <cellStyle name="20% - Akzent2 2 3 8" xfId="1260" xr:uid="{D2C5B4BF-98F7-4D2B-B7B0-7215129A7965}"/>
    <cellStyle name="20% - Akzent2 2 3 8 2" xfId="1261" xr:uid="{58C3D866-A110-4E6A-8214-1D8BB538EA9C}"/>
    <cellStyle name="20% - Akzent2 2 3 8 2 2" xfId="20854" xr:uid="{26AAA350-BC7A-4866-82DC-F225A4E9803D}"/>
    <cellStyle name="20% - Akzent2 2 3 8 3" xfId="20853" xr:uid="{7C94165D-5E67-4993-9B3A-476D08E8103E}"/>
    <cellStyle name="20% - Akzent2 2 3 9" xfId="1262" xr:uid="{992B45BD-D453-4965-926C-0EF43976ACF4}"/>
    <cellStyle name="20% - Akzent2 2 3 9 2" xfId="1263" xr:uid="{E54A83B7-6A56-4273-816C-40F75FAF867B}"/>
    <cellStyle name="20% - Akzent2 2 3 9 2 2" xfId="20856" xr:uid="{DFBDDAF4-A35A-472C-ADF3-A840DFFB0322}"/>
    <cellStyle name="20% - Akzent2 2 3 9 3" xfId="20855" xr:uid="{FEB07C6B-0EC1-40AA-9C51-E046A044BC9C}"/>
    <cellStyle name="20% - Akzent2 2 4" xfId="1264" xr:uid="{B3F3340F-0E05-4FA8-A44B-6E560E47B6A0}"/>
    <cellStyle name="20% - Akzent2 2 4 2" xfId="1265" xr:uid="{C754B461-6FC0-4A82-9D81-E94AA302586F}"/>
    <cellStyle name="20% - Akzent2 2 4 2 2" xfId="1266" xr:uid="{79BFF896-0F8B-492A-9D44-8CFE0FAA363F}"/>
    <cellStyle name="20% - Akzent2 2 4 2 3" xfId="1267" xr:uid="{2EC0BF75-9CC6-4FAE-A729-8F0339A53302}"/>
    <cellStyle name="20% - Akzent2 2 4 2 3 2" xfId="20858" xr:uid="{B41EEB9B-11CE-4B52-B146-3BAD82CE12B9}"/>
    <cellStyle name="20% - Akzent2 2 4 2 4" xfId="20857" xr:uid="{F2367E3E-E387-4DBF-8E34-7B17A0274CD0}"/>
    <cellStyle name="20% - Akzent2 2 4 3" xfId="1268" xr:uid="{DCBEED05-CC1E-47B7-92B1-432F527E222C}"/>
    <cellStyle name="20% - Akzent2 2 4 4" xfId="1269" xr:uid="{F6A61B9B-4A75-4ABA-8418-2577322A5824}"/>
    <cellStyle name="20% - Akzent2 2 4 5" xfId="40434" xr:uid="{A8D104DF-325D-4532-B322-2882F4779F13}"/>
    <cellStyle name="20% - Akzent2 2 5" xfId="1270" xr:uid="{5E420C27-24E7-49D0-9658-4AC63C2677D8}"/>
    <cellStyle name="20% - Akzent2 2 5 2" xfId="41294" xr:uid="{EE0F199D-C703-4330-BF25-9095264064B2}"/>
    <cellStyle name="20% - Akzent2 2 6" xfId="1271" xr:uid="{C84FF702-C619-4C42-BD92-6DB6EF5DB1FF}"/>
    <cellStyle name="20% - Akzent2 2 6 2" xfId="1272" xr:uid="{09FE31FF-F3A9-4870-AF3F-687F0F0E492A}"/>
    <cellStyle name="20% - Akzent2 2 6 2 2" xfId="1273" xr:uid="{B88E4BFB-987D-475F-B31A-957C47EDC570}"/>
    <cellStyle name="20% - Akzent2 2 6 2 2 2" xfId="20860" xr:uid="{5905E363-70D0-4986-8921-EA15B8D84498}"/>
    <cellStyle name="20% - Akzent2 2 6 2 3" xfId="20859" xr:uid="{CCB960D1-9111-4255-B64F-BE42DBCDB45E}"/>
    <cellStyle name="20% - Akzent2 2 7" xfId="1274" xr:uid="{21A4C694-207F-4D87-97CD-DC736AD090DB}"/>
    <cellStyle name="20% - Akzent2 2 7 2" xfId="1275" xr:uid="{CBF2210E-2D88-4100-91F7-CC290072A477}"/>
    <cellStyle name="20% - Akzent2 2 7 2 2" xfId="20862" xr:uid="{F4395DFE-AF12-47CF-A173-A09F5FA0AD30}"/>
    <cellStyle name="20% - Akzent2 2 7 3" xfId="20861" xr:uid="{5D603819-75AE-4F8D-BAE6-F39A6337EA09}"/>
    <cellStyle name="20% - Akzent2 2 8" xfId="1276" xr:uid="{DA7A17B0-449D-4B96-8528-7908844E1ED5}"/>
    <cellStyle name="20% - Akzent2 2 8 2" xfId="1277" xr:uid="{EC58C2CB-C374-43FC-AF7D-D43CD14864BB}"/>
    <cellStyle name="20% - Akzent2 2 8 2 2" xfId="1278" xr:uid="{F6162BD3-3235-41FE-910C-1F4559CF9F16}"/>
    <cellStyle name="20% - Akzent2 2 8 2 2 2" xfId="20864" xr:uid="{58AB6231-A624-456F-BB97-D4D59AD3A8C1}"/>
    <cellStyle name="20% - Akzent2 2 8 2 3" xfId="20863" xr:uid="{5F2E5FCB-FD66-4145-985A-250B17343A91}"/>
    <cellStyle name="20% - Akzent2 2 9" xfId="1279" xr:uid="{2E495513-46CB-4285-83AC-FA5C841ED410}"/>
    <cellStyle name="20% - Akzent2 2 9 2" xfId="1280" xr:uid="{9C5ABC29-019F-4D4D-9EE8-66FCD3BADA9B}"/>
    <cellStyle name="20% - Akzent2 2 9 2 2" xfId="20866" xr:uid="{A94CD8D8-1507-4C05-A95F-80CB4CBA50CB}"/>
    <cellStyle name="20% - Akzent2 2 9 3" xfId="20865" xr:uid="{23E09D91-03F0-4D85-8EFB-831F8B8ACFFD}"/>
    <cellStyle name="20% - Akzent2 20" xfId="1281" xr:uid="{2C656081-354D-4E7C-965A-B98A8F8E2E74}"/>
    <cellStyle name="20% - Akzent2 20 2" xfId="1282" xr:uid="{32CB4495-3A62-4439-99A0-906B07DF61C6}"/>
    <cellStyle name="20% - Akzent2 20 2 2" xfId="20868" xr:uid="{86E53444-14B9-4157-A142-EEF03504CF59}"/>
    <cellStyle name="20% - Akzent2 20 3" xfId="1283" xr:uid="{772572FB-1F18-4A52-A716-E4A7197665B7}"/>
    <cellStyle name="20% - Akzent2 20 3 2" xfId="20869" xr:uid="{F4257517-DCD7-4437-9D9F-811725DF0910}"/>
    <cellStyle name="20% - Akzent2 20 4" xfId="20867" xr:uid="{ABC8CD44-0C82-4DF6-BE44-0FB40AC53182}"/>
    <cellStyle name="20% - Akzent2 21" xfId="1284" xr:uid="{BB6C215A-599E-490B-A8B3-41EB86BAC7B3}"/>
    <cellStyle name="20% - Akzent2 21 2" xfId="1285" xr:uid="{0613BE56-4104-49BB-990B-50428F11A08F}"/>
    <cellStyle name="20% - Akzent2 21 2 2" xfId="20871" xr:uid="{34F32352-9B47-4100-81D9-352C0D8630D6}"/>
    <cellStyle name="20% - Akzent2 21 3" xfId="1286" xr:uid="{C7A9A306-AD09-4528-8E58-1B47D911DE06}"/>
    <cellStyle name="20% - Akzent2 21 3 2" xfId="20872" xr:uid="{441B267F-1BAB-4D67-8C3C-E3B05CCF2B09}"/>
    <cellStyle name="20% - Akzent2 21 4" xfId="20870" xr:uid="{A3A6B26F-10ED-4B6F-8B6D-ACB4EC3C7AFB}"/>
    <cellStyle name="20% - Akzent2 22" xfId="1287" xr:uid="{CD560B21-8877-4523-9E67-C1FDB94F1F86}"/>
    <cellStyle name="20% - Akzent2 22 2" xfId="1288" xr:uid="{33DEE8E7-7DCD-4057-AF6D-E87B78B08418}"/>
    <cellStyle name="20% - Akzent2 22 2 2" xfId="20874" xr:uid="{EDD72153-1E8A-41EC-9FE4-3A056B167FAC}"/>
    <cellStyle name="20% - Akzent2 22 3" xfId="1289" xr:uid="{250A5D42-9FD7-4AE9-BAC7-BC87BA2535C5}"/>
    <cellStyle name="20% - Akzent2 22 3 2" xfId="20875" xr:uid="{4A636409-0AB6-4D6E-BB1F-21DAD815F5D1}"/>
    <cellStyle name="20% - Akzent2 22 4" xfId="20873" xr:uid="{BBDC84E9-5899-43E6-B7BE-CF87294ED74E}"/>
    <cellStyle name="20% - Akzent2 23" xfId="1290" xr:uid="{43B0AA7B-DB36-4199-83D0-F39935F6BBC7}"/>
    <cellStyle name="20% - Akzent2 23 2" xfId="1291" xr:uid="{7595A8E8-561C-465C-803B-3490FF3AC516}"/>
    <cellStyle name="20% - Akzent2 23 2 2" xfId="20877" xr:uid="{FE216BB7-413B-4D35-89A5-DD365C05566D}"/>
    <cellStyle name="20% - Akzent2 23 3" xfId="1292" xr:uid="{3C2C1FC9-510F-41BA-8344-6209EDB910FB}"/>
    <cellStyle name="20% - Akzent2 23 3 2" xfId="20878" xr:uid="{08580D01-254E-49E4-BC5E-22EDB448B22A}"/>
    <cellStyle name="20% - Akzent2 23 4" xfId="20876" xr:uid="{D762259E-CF08-4298-950E-C3A059C764C4}"/>
    <cellStyle name="20% - Akzent2 24" xfId="1293" xr:uid="{4827D34F-64F0-46BC-9C28-C661E7BFD835}"/>
    <cellStyle name="20% - Akzent2 24 2" xfId="1294" xr:uid="{62A8EB77-FFAC-4B4D-A93A-3023DE17816A}"/>
    <cellStyle name="20% - Akzent2 24 2 2" xfId="20880" xr:uid="{2CC0265D-999B-414E-9998-6D650F730747}"/>
    <cellStyle name="20% - Akzent2 24 3" xfId="1295" xr:uid="{D20778D2-5169-4018-8136-A950F5E3C40B}"/>
    <cellStyle name="20% - Akzent2 24 3 2" xfId="20881" xr:uid="{A170870B-DA04-4BE9-B8F2-9EA60E264F89}"/>
    <cellStyle name="20% - Akzent2 24 4" xfId="20879" xr:uid="{17DBF1AC-DA0A-44F8-BBA4-16F2155EDBE3}"/>
    <cellStyle name="20% - Akzent2 25" xfId="1296" xr:uid="{106C7838-82D6-46BF-979E-45E9E8895076}"/>
    <cellStyle name="20% - Akzent2 25 2" xfId="1297" xr:uid="{B9A702A0-013E-4B60-BDF3-CC14FA7DE107}"/>
    <cellStyle name="20% - Akzent2 25 2 2" xfId="20883" xr:uid="{B07BFEA5-0E83-457C-89F1-FC4B75AD8163}"/>
    <cellStyle name="20% - Akzent2 25 3" xfId="1298" xr:uid="{4370877F-7927-4803-B5AA-2A2D464247AB}"/>
    <cellStyle name="20% - Akzent2 25 3 2" xfId="20884" xr:uid="{74240E5D-0ADF-4149-ACB4-FB5B0DC25CA2}"/>
    <cellStyle name="20% - Akzent2 25 4" xfId="20882" xr:uid="{8E0238BA-C1F8-4E29-A518-3B0C43165F69}"/>
    <cellStyle name="20% - Akzent2 26" xfId="1299" xr:uid="{433A619F-78D7-4A74-A9AB-8521192FCC4A}"/>
    <cellStyle name="20% - Akzent2 26 2" xfId="1300" xr:uid="{6690BB55-C52F-4004-BFF1-1E58DBAB7717}"/>
    <cellStyle name="20% - Akzent2 26 2 2" xfId="20886" xr:uid="{B5F4E9F5-B687-4AE4-BB8D-A76692126A07}"/>
    <cellStyle name="20% - Akzent2 26 3" xfId="1301" xr:uid="{20412FD1-DB2D-402A-9C19-306D33F93B3C}"/>
    <cellStyle name="20% - Akzent2 26 3 2" xfId="20887" xr:uid="{F9DFA11C-F77C-43F8-A59C-B63BD3462A7B}"/>
    <cellStyle name="20% - Akzent2 26 4" xfId="20885" xr:uid="{362B1D23-0E42-4412-BF0D-A7C8ACB2B6FD}"/>
    <cellStyle name="20% - Akzent2 27" xfId="1302" xr:uid="{3F14DB95-C470-469A-9BB6-3C0C28F24851}"/>
    <cellStyle name="20% - Akzent2 27 2" xfId="1303" xr:uid="{92E57D22-03DE-491C-8269-F8A72EC06164}"/>
    <cellStyle name="20% - Akzent2 27 2 2" xfId="20889" xr:uid="{F25AFC25-0D64-4AA8-B576-C31D2CB4C8DD}"/>
    <cellStyle name="20% - Akzent2 27 3" xfId="1304" xr:uid="{3A7FD252-1A26-47A1-94D2-FC88FD2BE565}"/>
    <cellStyle name="20% - Akzent2 27 3 2" xfId="20890" xr:uid="{0D8063BC-BEC4-4720-AA28-702CF32F52EE}"/>
    <cellStyle name="20% - Akzent2 27 4" xfId="20888" xr:uid="{4ECE4D8B-E003-47CE-A8AF-B58DEC0388DB}"/>
    <cellStyle name="20% - Akzent2 28" xfId="1305" xr:uid="{2EA39EA5-9FAF-4FC7-BB38-ACD11BD18E08}"/>
    <cellStyle name="20% - Akzent2 28 2" xfId="1306" xr:uid="{F30A7197-916E-42CB-A2C7-494F6297C86F}"/>
    <cellStyle name="20% - Akzent2 28 2 2" xfId="20892" xr:uid="{C739D11E-236F-4881-ADE1-2A9559D0A0B4}"/>
    <cellStyle name="20% - Akzent2 28 3" xfId="1307" xr:uid="{40E67FCE-AD3F-4D1F-864A-FEC7FD4295D8}"/>
    <cellStyle name="20% - Akzent2 28 3 2" xfId="20893" xr:uid="{95A8F8EA-19FF-4AD3-8E7D-75686BC60FBA}"/>
    <cellStyle name="20% - Akzent2 28 4" xfId="20891" xr:uid="{28A77B1B-055F-4041-BC08-B0551D1EB58A}"/>
    <cellStyle name="20% - Akzent2 29" xfId="1308" xr:uid="{6EF4829F-F348-4FBC-80A9-BFA673C8BF68}"/>
    <cellStyle name="20% - Akzent2 29 2" xfId="1309" xr:uid="{C2C3BDD6-AB01-4A95-A3D0-BDC2770B8A6A}"/>
    <cellStyle name="20% - Akzent2 29 2 2" xfId="20895" xr:uid="{BDCB8735-31B8-44B6-A380-9F7F9960EFA6}"/>
    <cellStyle name="20% - Akzent2 29 3" xfId="1310" xr:uid="{BFCB1D80-2190-4482-BAC3-F146A0F3B3F9}"/>
    <cellStyle name="20% - Akzent2 29 3 2" xfId="20896" xr:uid="{4F56789A-0112-482B-93FD-4A02935DF314}"/>
    <cellStyle name="20% - Akzent2 29 4" xfId="20894" xr:uid="{18B68D5C-4EED-49EE-9942-D3F885044DBF}"/>
    <cellStyle name="20% - Akzent2 3" xfId="115" xr:uid="{D8277E05-453B-4C78-A914-F675837F5492}"/>
    <cellStyle name="20% - Akzent2 3 10" xfId="1312" xr:uid="{848E47B3-DE8F-4B04-98B3-DEDBA7F1A5D1}"/>
    <cellStyle name="20% - Akzent2 3 10 2" xfId="1313" xr:uid="{F778A107-B974-4EF3-9C4F-0F9E1458F9D2}"/>
    <cellStyle name="20% - Akzent2 3 10 2 2" xfId="20899" xr:uid="{28269C7C-FF1D-4D2E-9CFD-D49603E49B06}"/>
    <cellStyle name="20% - Akzent2 3 10 3" xfId="20898" xr:uid="{AA348141-11E7-40FA-B352-D0694EBA5930}"/>
    <cellStyle name="20% - Akzent2 3 11" xfId="1314" xr:uid="{B925FB3D-C316-412D-BBA9-64DE6D473902}"/>
    <cellStyle name="20% - Akzent2 3 11 2" xfId="1315" xr:uid="{02B306E4-357A-4D69-BB39-A571BFCA6E56}"/>
    <cellStyle name="20% - Akzent2 3 11 2 2" xfId="20901" xr:uid="{B163AA0F-612D-4BDA-BD4E-FD54597500E3}"/>
    <cellStyle name="20% - Akzent2 3 11 3" xfId="20900" xr:uid="{A4D4F2CA-9B72-4139-A6D6-8F5CBFB4C6E7}"/>
    <cellStyle name="20% - Akzent2 3 12" xfId="1316" xr:uid="{605A4771-CC51-4BD0-94EA-FF6DECFA3F0C}"/>
    <cellStyle name="20% - Akzent2 3 12 2" xfId="1317" xr:uid="{17F0A603-16C4-4356-AF7B-1342EFF53BB6}"/>
    <cellStyle name="20% - Akzent2 3 12 2 2" xfId="20903" xr:uid="{E47568CB-3DEE-4991-8191-DDE1E529D118}"/>
    <cellStyle name="20% - Akzent2 3 12 3" xfId="20902" xr:uid="{0E215F48-217F-4E4C-96D6-20070E860A1F}"/>
    <cellStyle name="20% - Akzent2 3 13" xfId="1318" xr:uid="{8549119D-DA46-4BE3-A2BB-0E7242E238CC}"/>
    <cellStyle name="20% - Akzent2 3 13 2" xfId="1319" xr:uid="{42C6ED59-6132-47EC-AF2F-220688074D30}"/>
    <cellStyle name="20% - Akzent2 3 13 2 2" xfId="20905" xr:uid="{A556AD59-2368-418B-8E57-C260C95D0BE1}"/>
    <cellStyle name="20% - Akzent2 3 13 3" xfId="20904" xr:uid="{6CC7FE57-0076-45A3-8FAF-544D8B0BB729}"/>
    <cellStyle name="20% - Akzent2 3 14" xfId="1320" xr:uid="{CC5ED3CB-B8C1-4236-A9B8-B31C79B3597B}"/>
    <cellStyle name="20% - Akzent2 3 14 2" xfId="1321" xr:uid="{49C1C827-83FA-4F98-AD7A-4B2FE29AE0A8}"/>
    <cellStyle name="20% - Akzent2 3 14 2 2" xfId="20907" xr:uid="{2F252F42-D0C2-4850-AAB7-82120E11977E}"/>
    <cellStyle name="20% - Akzent2 3 14 3" xfId="20906" xr:uid="{C62EE9FC-F5C1-4703-86C3-5BFE29E40B8C}"/>
    <cellStyle name="20% - Akzent2 3 15" xfId="1322" xr:uid="{563F0BD8-4FA0-4F1E-B5A6-6778E7F705CB}"/>
    <cellStyle name="20% - Akzent2 3 15 2" xfId="1323" xr:uid="{092E88D2-AE7D-46EA-8394-F8B0B3300C28}"/>
    <cellStyle name="20% - Akzent2 3 15 2 2" xfId="20909" xr:uid="{FC0DD694-0426-4193-87DC-41FB738060CC}"/>
    <cellStyle name="20% - Akzent2 3 15 3" xfId="20908" xr:uid="{41749846-B44B-4892-A4F4-7248634A4C1F}"/>
    <cellStyle name="20% - Akzent2 3 16" xfId="1324" xr:uid="{869EE9F2-9E84-41E5-9B80-37A594BE62C8}"/>
    <cellStyle name="20% - Akzent2 3 16 2" xfId="1325" xr:uid="{B9A9347E-A022-4A90-9643-1D4EECCE64F6}"/>
    <cellStyle name="20% - Akzent2 3 16 2 2" xfId="20911" xr:uid="{855B720D-6142-44E2-800E-D96980CB4B51}"/>
    <cellStyle name="20% - Akzent2 3 16 3" xfId="20910" xr:uid="{576DEA5B-33D5-420C-BE6C-3D0CE95E75A1}"/>
    <cellStyle name="20% - Akzent2 3 17" xfId="1326" xr:uid="{4BC18DCA-4C35-4532-837E-AF6880C3CC38}"/>
    <cellStyle name="20% - Akzent2 3 17 2" xfId="1327" xr:uid="{5FFE11BB-872F-46D2-81A2-191A2CA2C851}"/>
    <cellStyle name="20% - Akzent2 3 17 2 2" xfId="20913" xr:uid="{CB6B8B0A-1509-4D92-840C-93CF97C0013E}"/>
    <cellStyle name="20% - Akzent2 3 17 3" xfId="20912" xr:uid="{A40AD7A4-6E38-49E2-AF93-D9F9C50892F3}"/>
    <cellStyle name="20% - Akzent2 3 18" xfId="1328" xr:uid="{BEDA704C-AF47-46DF-9E10-E494F29891C1}"/>
    <cellStyle name="20% - Akzent2 3 18 2" xfId="1329" xr:uid="{8D214319-4AD8-41C0-BF6B-29149133B561}"/>
    <cellStyle name="20% - Akzent2 3 18 2 2" xfId="20915" xr:uid="{158F37E3-628C-414A-AE53-86F4C0DE4953}"/>
    <cellStyle name="20% - Akzent2 3 18 3" xfId="20914" xr:uid="{88E7DF6B-A17E-4EED-B345-9EEAB2664FFF}"/>
    <cellStyle name="20% - Akzent2 3 19" xfId="1330" xr:uid="{7801E5A6-DB5B-405D-8EA8-7539A021D468}"/>
    <cellStyle name="20% - Akzent2 3 19 2" xfId="1331" xr:uid="{38A374B4-36CD-478E-AB07-3217BD3ABED2}"/>
    <cellStyle name="20% - Akzent2 3 19 2 2" xfId="20917" xr:uid="{BB364888-2CE4-404B-8739-357F20FB7A3F}"/>
    <cellStyle name="20% - Akzent2 3 19 3" xfId="20916" xr:uid="{8A61E5BB-4D9D-465F-9556-253F2E888437}"/>
    <cellStyle name="20% - Akzent2 3 2" xfId="1332" xr:uid="{3A288B5C-F297-4303-B029-0E549FECBDE0}"/>
    <cellStyle name="20% - Akzent2 3 2 2" xfId="1333" xr:uid="{9D998914-71EB-4368-817A-BCD27ACA2F61}"/>
    <cellStyle name="20% - Akzent2 3 2 2 2" xfId="1334" xr:uid="{B791A71E-E31E-40A2-A598-7F2B0A5C8006}"/>
    <cellStyle name="20% - Akzent2 3 2 2 3" xfId="1335" xr:uid="{4279561F-0E29-4AF5-BC49-BA82FA09A174}"/>
    <cellStyle name="20% - Akzent2 3 2 2 3 2" xfId="20919" xr:uid="{F90210CA-2883-45F9-8423-6E702D2D06F8}"/>
    <cellStyle name="20% - Akzent2 3 2 2 4" xfId="20918" xr:uid="{2ADB9B90-9A5E-4558-91C8-2DE57D59A101}"/>
    <cellStyle name="20% - Akzent2 3 2 2 5" xfId="40855" xr:uid="{ED85BCB5-09E0-48C3-948A-234529FFB41A}"/>
    <cellStyle name="20% - Akzent2 3 2 3" xfId="1336" xr:uid="{80BAC284-3210-47E3-AD80-4850DDE88F41}"/>
    <cellStyle name="20% - Akzent2 3 2 3 2" xfId="41715" xr:uid="{0198339F-D5BA-4084-90E0-BA1CFC93EE72}"/>
    <cellStyle name="20% - Akzent2 3 2 4" xfId="1337" xr:uid="{34D35968-7D1B-47BE-9C2B-B6BB84AA266D}"/>
    <cellStyle name="20% - Akzent2 3 2 5" xfId="39909" xr:uid="{667BA23E-21E8-4F17-8259-2A29652FFF72}"/>
    <cellStyle name="20% - Akzent2 3 20" xfId="1338" xr:uid="{4328DEBA-DD0F-4C0A-8BDC-51F57D3A564A}"/>
    <cellStyle name="20% - Akzent2 3 20 2" xfId="1339" xr:uid="{CD88D857-5754-48C5-8470-E69512A91A9D}"/>
    <cellStyle name="20% - Akzent2 3 20 2 2" xfId="20921" xr:uid="{9CF246F6-1BE1-471E-9182-8AD700674CD9}"/>
    <cellStyle name="20% - Akzent2 3 20 3" xfId="20920" xr:uid="{76DE85F8-6469-4AB2-81E5-257E2038D050}"/>
    <cellStyle name="20% - Akzent2 3 21" xfId="1340" xr:uid="{88E013D6-8FCD-4C66-AA91-809E149A950B}"/>
    <cellStyle name="20% - Akzent2 3 21 2" xfId="1341" xr:uid="{215AF626-E2B3-42F0-9231-D9766A58235F}"/>
    <cellStyle name="20% - Akzent2 3 21 2 2" xfId="20923" xr:uid="{2581B841-53C1-4377-B38C-71D3FFD7AFA9}"/>
    <cellStyle name="20% - Akzent2 3 21 3" xfId="20922" xr:uid="{0671653E-153A-4DD3-BA83-3A98E0B49E8F}"/>
    <cellStyle name="20% - Akzent2 3 22" xfId="1342" xr:uid="{D4B7FF00-1F77-47E5-BEC6-FCB22C7D5FCF}"/>
    <cellStyle name="20% - Akzent2 3 22 2" xfId="20924" xr:uid="{AB8CFD90-A071-4A92-B34C-9F34D6E04289}"/>
    <cellStyle name="20% - Akzent2 3 23" xfId="1343" xr:uid="{97035500-13C7-42A5-9D39-E9ABF550D724}"/>
    <cellStyle name="20% - Akzent2 3 23 2" xfId="20925" xr:uid="{BD43BCA2-F830-48C1-ABEA-7FF197AB5A78}"/>
    <cellStyle name="20% - Akzent2 3 24" xfId="20897" xr:uid="{8EC5B6C2-CDEF-48DC-89D4-AE4EB39B6632}"/>
    <cellStyle name="20% - Akzent2 3 25" xfId="39280" xr:uid="{DA8D2153-0181-4AF1-9F0D-28DEFF68046E}"/>
    <cellStyle name="20% - Akzent2 3 26" xfId="1311" xr:uid="{61726EF7-A261-4F11-92D0-70A04E8C85C4}"/>
    <cellStyle name="20% - Akzent2 3 3" xfId="1344" xr:uid="{7561DBCD-CEF0-4B00-AF9C-13750C50283A}"/>
    <cellStyle name="20% - Akzent2 3 3 2" xfId="40854" xr:uid="{88A8B3A7-E8B7-4023-A4D2-4CC8D9414337}"/>
    <cellStyle name="20% - Akzent2 3 3 3" xfId="41714" xr:uid="{A53D85C7-7D92-4813-965C-4E1C5B6D7213}"/>
    <cellStyle name="20% - Akzent2 3 3 4" xfId="39908" xr:uid="{4EB470CC-740F-4997-9EC0-2B272798AAEE}"/>
    <cellStyle name="20% - Akzent2 3 4" xfId="1345" xr:uid="{345DC775-41B7-4BCB-B7AC-BF9896FE300C}"/>
    <cellStyle name="20% - Akzent2 3 4 2" xfId="40436" xr:uid="{CC127946-4F5E-4A96-BB6F-4726C0704E1E}"/>
    <cellStyle name="20% - Akzent2 3 5" xfId="1346" xr:uid="{B6ACB6F6-C560-4B53-855F-5274A47EF485}"/>
    <cellStyle name="20% - Akzent2 3 5 2" xfId="1347" xr:uid="{F8F3987E-6A90-4879-A37A-8CDDA1A83D24}"/>
    <cellStyle name="20% - Akzent2 3 5 2 2" xfId="1348" xr:uid="{78DDAF9F-7A74-42BC-A6B6-BC0E1218270B}"/>
    <cellStyle name="20% - Akzent2 3 5 2 2 2" xfId="20927" xr:uid="{465B9425-9517-4DE8-985E-09C82D757FD8}"/>
    <cellStyle name="20% - Akzent2 3 5 2 3" xfId="20926" xr:uid="{B59EED30-BC08-4EB1-AD5D-A55CBD5BF185}"/>
    <cellStyle name="20% - Akzent2 3 5 3" xfId="41296" xr:uid="{19589C91-D5C3-4609-B8A0-85E421729C02}"/>
    <cellStyle name="20% - Akzent2 3 6" xfId="1349" xr:uid="{731FC9F2-6AE9-4428-95B4-282B0ED2DECC}"/>
    <cellStyle name="20% - Akzent2 3 6 2" xfId="1350" xr:uid="{DB2C3F3B-96B9-49FC-8666-3B8580E4F510}"/>
    <cellStyle name="20% - Akzent2 3 6 2 2" xfId="20929" xr:uid="{57B6BF5C-4F5B-4FC3-9CC5-EBEA8F545C18}"/>
    <cellStyle name="20% - Akzent2 3 6 3" xfId="20928" xr:uid="{96A10A6B-189E-4B83-9CF9-12E615FCE097}"/>
    <cellStyle name="20% - Akzent2 3 7" xfId="1351" xr:uid="{62AA98F2-72DD-414A-AFE6-D070A81E5885}"/>
    <cellStyle name="20% - Akzent2 3 7 2" xfId="1352" xr:uid="{069D166F-5761-4D63-B709-941C53BE2C3F}"/>
    <cellStyle name="20% - Akzent2 3 7 2 2" xfId="20931" xr:uid="{F2357A61-825C-4317-B9F1-CE661D12DBFD}"/>
    <cellStyle name="20% - Akzent2 3 7 3" xfId="20930" xr:uid="{286DD824-A222-4229-8AF1-8289E6FD2280}"/>
    <cellStyle name="20% - Akzent2 3 8" xfId="1353" xr:uid="{35B795AB-248D-456A-863C-5C5D732A696D}"/>
    <cellStyle name="20% - Akzent2 3 8 2" xfId="1354" xr:uid="{2C3837A3-D73C-46F9-9962-2DE367FD1D87}"/>
    <cellStyle name="20% - Akzent2 3 8 2 2" xfId="20933" xr:uid="{79CB434B-7F24-4FCD-BA34-618AABF2F0C0}"/>
    <cellStyle name="20% - Akzent2 3 8 3" xfId="20932" xr:uid="{72E837E6-D86B-4A0B-B962-8C1FFE09FD98}"/>
    <cellStyle name="20% - Akzent2 3 9" xfId="1355" xr:uid="{9A79FA76-6ACA-48D2-9789-A5D1E50BB7F9}"/>
    <cellStyle name="20% - Akzent2 3 9 2" xfId="1356" xr:uid="{0F68DC94-3780-46DD-9F91-50D9258D6D1D}"/>
    <cellStyle name="20% - Akzent2 3 9 2 2" xfId="20935" xr:uid="{357589A1-E2BC-49B1-ADF8-ABE4BA712E4C}"/>
    <cellStyle name="20% - Akzent2 3 9 3" xfId="20934" xr:uid="{A0F2A265-3DBC-4165-9BB7-DB8E0B9B20EA}"/>
    <cellStyle name="20% - Akzent2 30" xfId="1357" xr:uid="{01D6318F-0EC6-4A22-83B8-EEC50E9B191B}"/>
    <cellStyle name="20% - Akzent2 30 2" xfId="1358" xr:uid="{FF24C386-D453-4922-848B-DBF4127656D1}"/>
    <cellStyle name="20% - Akzent2 30 2 2" xfId="20937" xr:uid="{7DB0EFB1-9F06-4BE5-9F95-062E8BB06EFC}"/>
    <cellStyle name="20% - Akzent2 30 3" xfId="1359" xr:uid="{424819B8-CC1A-45A1-96A0-96E9E174680B}"/>
    <cellStyle name="20% - Akzent2 30 3 2" xfId="20938" xr:uid="{2FB8DB23-A325-4FC4-A033-23172752D37C}"/>
    <cellStyle name="20% - Akzent2 30 4" xfId="20936" xr:uid="{31F065EF-119B-4958-942C-CDCB7235922D}"/>
    <cellStyle name="20% - Akzent2 31" xfId="1360" xr:uid="{BB75B536-F53C-4B05-A2CB-50324B78430D}"/>
    <cellStyle name="20% - Akzent2 31 2" xfId="1361" xr:uid="{FFE0009A-CEC1-41C4-B5B6-695B3D9909BD}"/>
    <cellStyle name="20% - Akzent2 31 2 2" xfId="20940" xr:uid="{67DBE9D8-19EC-46D6-9235-F18688FCCA36}"/>
    <cellStyle name="20% - Akzent2 31 3" xfId="1362" xr:uid="{C7A09006-E386-484B-9A08-1BA198D1184F}"/>
    <cellStyle name="20% - Akzent2 31 3 2" xfId="20941" xr:uid="{13E927B3-97D0-41A8-BF61-4902908B50CD}"/>
    <cellStyle name="20% - Akzent2 31 4" xfId="20939" xr:uid="{CEE51EA8-85D3-468A-BF25-079592D1BD9B}"/>
    <cellStyle name="20% - Akzent2 32" xfId="1363" xr:uid="{C5BC4485-B27A-4489-B574-910B61BA7DFC}"/>
    <cellStyle name="20% - Akzent2 32 2" xfId="1364" xr:uid="{20D8E4F5-B045-4D8A-B512-A7347A13DF4A}"/>
    <cellStyle name="20% - Akzent2 32 2 2" xfId="20943" xr:uid="{9C43A128-B873-4A5F-ADA4-2A8D1AD7D028}"/>
    <cellStyle name="20% - Akzent2 32 3" xfId="1365" xr:uid="{7DF30274-95D1-4D29-92F5-A472065FB056}"/>
    <cellStyle name="20% - Akzent2 32 3 2" xfId="20944" xr:uid="{9B1EE524-5B7B-4293-8A88-0ADF4753D458}"/>
    <cellStyle name="20% - Akzent2 32 4" xfId="20942" xr:uid="{7E325FAC-8CB1-4AED-AC1C-90E39F666EB7}"/>
    <cellStyle name="20% - Akzent2 33" xfId="1366" xr:uid="{61AEE1F0-EBDF-4708-95E7-FA9AFE285230}"/>
    <cellStyle name="20% - Akzent2 33 2" xfId="1367" xr:uid="{B4CA41D5-4B30-4650-B7DB-48DE8FD11A5F}"/>
    <cellStyle name="20% - Akzent2 33 2 2" xfId="20946" xr:uid="{0328590A-A844-4D52-9A89-A7D683B10FE9}"/>
    <cellStyle name="20% - Akzent2 33 3" xfId="1368" xr:uid="{1659242B-9C9F-4EA1-BB4B-7EE10E4ABB92}"/>
    <cellStyle name="20% - Akzent2 33 3 2" xfId="20947" xr:uid="{3D2D1727-E3FB-4C5A-B523-4A445338B2B3}"/>
    <cellStyle name="20% - Akzent2 33 4" xfId="20945" xr:uid="{AC372D7F-AAA1-41AB-9296-EF51CFA099D1}"/>
    <cellStyle name="20% - Akzent2 34" xfId="1369" xr:uid="{59879757-0B48-4774-A79A-D298B8A36CA0}"/>
    <cellStyle name="20% - Akzent2 34 2" xfId="1370" xr:uid="{6A09888D-0FCD-42E3-9B14-42C43259E268}"/>
    <cellStyle name="20% - Akzent2 34 2 2" xfId="20949" xr:uid="{345DCDDF-2DFC-46EE-9C63-D96C3A8B7B28}"/>
    <cellStyle name="20% - Akzent2 34 3" xfId="1371" xr:uid="{B7CEACD1-962A-4AF1-88F3-A9EC0EC5EF2E}"/>
    <cellStyle name="20% - Akzent2 34 3 2" xfId="20950" xr:uid="{F832DFED-9160-4956-8C21-206C8F3C791B}"/>
    <cellStyle name="20% - Akzent2 34 4" xfId="20948" xr:uid="{81403F7F-2309-4288-A8B8-F3EBE3EB0EA5}"/>
    <cellStyle name="20% - Akzent2 35" xfId="1372" xr:uid="{56B33777-7641-4E10-9EF5-1EF74B37FC60}"/>
    <cellStyle name="20% - Akzent2 35 2" xfId="1373" xr:uid="{A7DFC73A-B305-411F-A54C-8AE730DE4303}"/>
    <cellStyle name="20% - Akzent2 35 2 2" xfId="20952" xr:uid="{5F74F537-E175-4D5D-99D2-D134C54E2650}"/>
    <cellStyle name="20% - Akzent2 35 3" xfId="1374" xr:uid="{4E10341A-239B-4628-B66C-FADE8D593CC7}"/>
    <cellStyle name="20% - Akzent2 35 3 2" xfId="20953" xr:uid="{533BEFC3-E7FA-4623-A7FE-452A5E30F1C6}"/>
    <cellStyle name="20% - Akzent2 35 4" xfId="20951" xr:uid="{C069D59C-525F-4C16-8BBE-8581BF64EDA1}"/>
    <cellStyle name="20% - Akzent2 36" xfId="1375" xr:uid="{BE1286C2-AAE4-4F06-90C8-62FE6A63E44F}"/>
    <cellStyle name="20% - Akzent2 36 2" xfId="1376" xr:uid="{234F0355-4621-4339-B046-DEF85948A3ED}"/>
    <cellStyle name="20% - Akzent2 36 2 2" xfId="20955" xr:uid="{B69A0D5E-49F8-40D3-BBBF-EA49D3E14359}"/>
    <cellStyle name="20% - Akzent2 36 3" xfId="1377" xr:uid="{BF98BCA8-00A9-4963-A094-342E8B3C2A15}"/>
    <cellStyle name="20% - Akzent2 36 3 2" xfId="20956" xr:uid="{0F31D1D2-4013-49F3-BC93-8BF531772830}"/>
    <cellStyle name="20% - Akzent2 36 4" xfId="20954" xr:uid="{02BD999D-A87C-4C60-8C02-1F75488D11C2}"/>
    <cellStyle name="20% - Akzent2 37" xfId="1378" xr:uid="{75A56BA4-703A-47C9-A7A6-A8A6D72C9DFF}"/>
    <cellStyle name="20% - Akzent2 37 2" xfId="1379" xr:uid="{9428E39D-9120-4B35-8D03-84015EA1926D}"/>
    <cellStyle name="20% - Akzent2 37 2 2" xfId="20958" xr:uid="{BAB73A02-6129-424A-9C0F-7AD8D9D763E7}"/>
    <cellStyle name="20% - Akzent2 37 3" xfId="20957" xr:uid="{BED6499B-DD66-4353-925C-45DA72E98C1A}"/>
    <cellStyle name="20% - Akzent2 38" xfId="1380" xr:uid="{CDF5BD60-1F7B-4653-B4C4-6551E55671AA}"/>
    <cellStyle name="20% - Akzent2 38 2" xfId="1381" xr:uid="{ED18680B-2A1E-447E-B669-0CA51B5E2329}"/>
    <cellStyle name="20% - Akzent2 38 2 2" xfId="20960" xr:uid="{59ACC068-A62C-419D-8057-E4700814AAA7}"/>
    <cellStyle name="20% - Akzent2 38 3" xfId="20959" xr:uid="{AFC43DD2-8842-4A3D-9D95-B905B341A133}"/>
    <cellStyle name="20% - Akzent2 39" xfId="1382" xr:uid="{C16A4E3C-499D-4A67-B34B-6B3597096A18}"/>
    <cellStyle name="20% - Akzent2 39 2" xfId="1383" xr:uid="{94208C7A-25F4-493A-8812-17FD39EC23F7}"/>
    <cellStyle name="20% - Akzent2 39 2 2" xfId="20962" xr:uid="{3FAB77BB-713C-4F92-9AC8-F356E725F25C}"/>
    <cellStyle name="20% - Akzent2 39 3" xfId="20961" xr:uid="{480B09B0-C256-47EA-AD80-2AA1C9736568}"/>
    <cellStyle name="20% - Akzent2 4" xfId="129" xr:uid="{0B9E1C74-62EB-488C-A39D-119930D9D554}"/>
    <cellStyle name="20% - Akzent2 4 10" xfId="1385" xr:uid="{12783745-4223-4D01-8924-304AD04F0B64}"/>
    <cellStyle name="20% - Akzent2 4 10 2" xfId="1386" xr:uid="{C2449484-84E4-4726-92E4-084118CE9FF7}"/>
    <cellStyle name="20% - Akzent2 4 10 2 2" xfId="20965" xr:uid="{E865EA1A-DD21-41C4-8DC1-521865F3EE56}"/>
    <cellStyle name="20% - Akzent2 4 10 3" xfId="20964" xr:uid="{CE78657D-D838-404B-956F-2625108206DD}"/>
    <cellStyle name="20% - Akzent2 4 11" xfId="1387" xr:uid="{9F216EE8-CAD8-409E-9D65-97486172A98D}"/>
    <cellStyle name="20% - Akzent2 4 11 2" xfId="1388" xr:uid="{55D58215-F9E8-4103-AF15-7CC4039A3430}"/>
    <cellStyle name="20% - Akzent2 4 11 2 2" xfId="20967" xr:uid="{66FD50BB-7D05-494C-9886-59E13A6976C2}"/>
    <cellStyle name="20% - Akzent2 4 11 3" xfId="20966" xr:uid="{33842FF5-4F22-4AED-BCA2-7B969D90EDB5}"/>
    <cellStyle name="20% - Akzent2 4 12" xfId="1389" xr:uid="{C9F3621B-6469-4363-9713-F98DD2118B7C}"/>
    <cellStyle name="20% - Akzent2 4 12 2" xfId="1390" xr:uid="{F9676EA3-8EC8-4DE6-80A9-44E41DFA5A5A}"/>
    <cellStyle name="20% - Akzent2 4 12 2 2" xfId="20969" xr:uid="{C8B0316D-3B13-4FC1-85CD-5103ABD4F9DF}"/>
    <cellStyle name="20% - Akzent2 4 12 3" xfId="20968" xr:uid="{8B8A7E22-B796-41C2-9BED-5D85C41C2DC9}"/>
    <cellStyle name="20% - Akzent2 4 13" xfId="1391" xr:uid="{BD7F88CF-6270-4A03-B58F-3D41402F9FBE}"/>
    <cellStyle name="20% - Akzent2 4 13 2" xfId="1392" xr:uid="{40AF3207-E9A2-48C7-A353-6DC2D0026F0C}"/>
    <cellStyle name="20% - Akzent2 4 13 2 2" xfId="20971" xr:uid="{79D8882E-7FEA-4A5E-8D0A-A289A97EE106}"/>
    <cellStyle name="20% - Akzent2 4 13 3" xfId="20970" xr:uid="{4D8E1D25-6889-48D9-871E-BF8F2534452F}"/>
    <cellStyle name="20% - Akzent2 4 14" xfId="1393" xr:uid="{CE70B56F-4E02-4909-85F3-E59740E1A6A7}"/>
    <cellStyle name="20% - Akzent2 4 14 2" xfId="1394" xr:uid="{C84B1628-2EA4-402C-8856-C3AD72FF1B1B}"/>
    <cellStyle name="20% - Akzent2 4 14 2 2" xfId="20973" xr:uid="{1A0F7F55-0028-4200-86D4-C2FDE5326685}"/>
    <cellStyle name="20% - Akzent2 4 14 3" xfId="20972" xr:uid="{7AC6BB63-5458-40B0-9587-739015BEC6CC}"/>
    <cellStyle name="20% - Akzent2 4 15" xfId="1395" xr:uid="{F99B40DD-5962-428F-A59A-C3687FC3000D}"/>
    <cellStyle name="20% - Akzent2 4 15 2" xfId="1396" xr:uid="{AE69556A-3A59-48FA-8591-79500B399DFF}"/>
    <cellStyle name="20% - Akzent2 4 15 2 2" xfId="20975" xr:uid="{17654C52-FE90-438A-9703-801F0E1ED511}"/>
    <cellStyle name="20% - Akzent2 4 15 3" xfId="20974" xr:uid="{4C0BF0A3-9783-428D-90F1-D5854D2EDF96}"/>
    <cellStyle name="20% - Akzent2 4 16" xfId="1397" xr:uid="{C694AE19-1681-44F3-866A-A135D06BCD1D}"/>
    <cellStyle name="20% - Akzent2 4 16 2" xfId="1398" xr:uid="{2D1704DC-8AA0-40C2-9B38-A46A3BF46751}"/>
    <cellStyle name="20% - Akzent2 4 16 2 2" xfId="20977" xr:uid="{AC2D9A57-5020-4615-B5E9-CE9891928C8F}"/>
    <cellStyle name="20% - Akzent2 4 16 3" xfId="20976" xr:uid="{4894FBCE-AEF6-46B6-A7AF-833F0C1808F0}"/>
    <cellStyle name="20% - Akzent2 4 17" xfId="1399" xr:uid="{ECBD64DD-3C9E-4317-B85A-096168AA1AAE}"/>
    <cellStyle name="20% - Akzent2 4 17 2" xfId="1400" xr:uid="{4C85F2E1-D416-489A-BEF8-01F521389CDA}"/>
    <cellStyle name="20% - Akzent2 4 17 2 2" xfId="20979" xr:uid="{C6AAD231-72CB-4C65-A849-B2A81ED89533}"/>
    <cellStyle name="20% - Akzent2 4 17 3" xfId="20978" xr:uid="{9D9C2372-1662-43DA-8352-EE932997DA8B}"/>
    <cellStyle name="20% - Akzent2 4 18" xfId="1401" xr:uid="{4102FACA-C714-42FE-912B-9C042069F88E}"/>
    <cellStyle name="20% - Akzent2 4 18 2" xfId="1402" xr:uid="{9F981711-DD42-4AEE-BF04-31EA5906A344}"/>
    <cellStyle name="20% - Akzent2 4 18 2 2" xfId="20981" xr:uid="{56F78806-C5A0-4C78-AC29-1AD137ECCE25}"/>
    <cellStyle name="20% - Akzent2 4 18 3" xfId="20980" xr:uid="{201E9EFB-A38A-471D-9E44-C2EB2E4695D0}"/>
    <cellStyle name="20% - Akzent2 4 19" xfId="1403" xr:uid="{D660C944-2EB2-46CF-81D0-AC3222CCACDF}"/>
    <cellStyle name="20% - Akzent2 4 19 2" xfId="1404" xr:uid="{9822C0D1-7C87-443C-87FC-8F701063C35F}"/>
    <cellStyle name="20% - Akzent2 4 19 2 2" xfId="20983" xr:uid="{0A88C746-E460-4B35-970F-757C83FF75E7}"/>
    <cellStyle name="20% - Akzent2 4 19 3" xfId="20982" xr:uid="{3D10DD95-DD28-4DC6-940A-C7B570FD1643}"/>
    <cellStyle name="20% - Akzent2 4 2" xfId="1405" xr:uid="{D27FEA81-BA28-4BAA-B3FB-936050B746D0}"/>
    <cellStyle name="20% - Akzent2 4 2 2" xfId="1406" xr:uid="{38640E85-76BD-4469-95DB-1E0BAEE446AF}"/>
    <cellStyle name="20% - Akzent2 4 2 2 2" xfId="1407" xr:uid="{B74DE551-E3D1-4A89-A32E-4DD3B4C8A632}"/>
    <cellStyle name="20% - Akzent2 4 2 2 2 2" xfId="20985" xr:uid="{5E7EB040-B22A-40EF-A641-749DEA389831}"/>
    <cellStyle name="20% - Akzent2 4 2 2 3" xfId="20984" xr:uid="{FFA21228-AC1B-4423-8FFA-2D08A563D3ED}"/>
    <cellStyle name="20% - Akzent2 4 2 2 4" xfId="40857" xr:uid="{70459D04-D1A5-4CFB-A9BB-504D474D99A6}"/>
    <cellStyle name="20% - Akzent2 4 2 3" xfId="41717" xr:uid="{09E44712-7B83-41CD-9E33-BBC3CE4715CB}"/>
    <cellStyle name="20% - Akzent2 4 2 4" xfId="39911" xr:uid="{25957B26-1FD7-47C6-B77E-5BE6F0B67437}"/>
    <cellStyle name="20% - Akzent2 4 20" xfId="1408" xr:uid="{696E59D2-31E4-4211-9B8C-C46DD3561258}"/>
    <cellStyle name="20% - Akzent2 4 20 2" xfId="1409" xr:uid="{C756BA15-5304-430A-8421-86817CDB43CB}"/>
    <cellStyle name="20% - Akzent2 4 20 2 2" xfId="20987" xr:uid="{7E51BE68-4795-47ED-81D8-CF2BB0A36435}"/>
    <cellStyle name="20% - Akzent2 4 20 3" xfId="20986" xr:uid="{0A903224-85BD-4088-8C0E-8547218C0B88}"/>
    <cellStyle name="20% - Akzent2 4 21" xfId="1410" xr:uid="{4730E886-F104-4D7C-8EB4-6B64B6F10CE4}"/>
    <cellStyle name="20% - Akzent2 4 21 2" xfId="1411" xr:uid="{96E68020-693C-405D-B5F3-C90E94F71D21}"/>
    <cellStyle name="20% - Akzent2 4 21 2 2" xfId="20989" xr:uid="{621F5B59-FB9A-452E-A7EF-9F528675778A}"/>
    <cellStyle name="20% - Akzent2 4 21 3" xfId="20988" xr:uid="{1F25D548-D653-46CB-BCAB-DD7B0878290F}"/>
    <cellStyle name="20% - Akzent2 4 22" xfId="1412" xr:uid="{711BA5A6-D335-4CEB-8749-EF5E2B95C7EE}"/>
    <cellStyle name="20% - Akzent2 4 22 2" xfId="20990" xr:uid="{D79DEF3B-EADE-4880-B40A-4A42657873D9}"/>
    <cellStyle name="20% - Akzent2 4 23" xfId="1413" xr:uid="{8C71875C-F6CC-4AD8-9FB5-92002E86461F}"/>
    <cellStyle name="20% - Akzent2 4 23 2" xfId="20991" xr:uid="{A86858BF-614D-4E1E-95C9-3E1861228351}"/>
    <cellStyle name="20% - Akzent2 4 24" xfId="20963" xr:uid="{1C3B86BC-0EA3-4066-90EC-7BFF62E62650}"/>
    <cellStyle name="20% - Akzent2 4 25" xfId="39281" xr:uid="{ECDF0944-1E93-4BEF-8AC1-32CD0CEF7866}"/>
    <cellStyle name="20% - Akzent2 4 26" xfId="1384" xr:uid="{70DF7293-1C28-45B1-954C-87EE47F1D995}"/>
    <cellStyle name="20% - Akzent2 4 3" xfId="1414" xr:uid="{32BBC6D5-EF19-4916-9FAB-018E1D8DE132}"/>
    <cellStyle name="20% - Akzent2 4 3 2" xfId="1415" xr:uid="{59E89AE0-8B65-4A71-AA1F-CBF71C337E59}"/>
    <cellStyle name="20% - Akzent2 4 3 2 2" xfId="20993" xr:uid="{C0C2C03B-1CA6-421E-A29F-12B1E2B97440}"/>
    <cellStyle name="20% - Akzent2 4 3 2 3" xfId="40856" xr:uid="{C1CFD2A7-E21D-4B04-AB79-18246E075D52}"/>
    <cellStyle name="20% - Akzent2 4 3 3" xfId="20992" xr:uid="{7A7F359E-5371-4256-A5A4-1E1FF94911E6}"/>
    <cellStyle name="20% - Akzent2 4 3 3 2" xfId="41716" xr:uid="{094B0134-3E47-4E8D-825E-1601DE19E46A}"/>
    <cellStyle name="20% - Akzent2 4 3 4" xfId="39910" xr:uid="{B815E91F-D11F-43A5-BA80-F45D80508B79}"/>
    <cellStyle name="20% - Akzent2 4 4" xfId="1416" xr:uid="{34FCFF73-C72B-47C0-A81A-CF1353515163}"/>
    <cellStyle name="20% - Akzent2 4 4 2" xfId="1417" xr:uid="{86DF90F7-1ECB-47FA-92F4-A6314AB9095D}"/>
    <cellStyle name="20% - Akzent2 4 4 2 2" xfId="20995" xr:uid="{8D509D33-E3AB-4903-8C13-BFCEA44B5C73}"/>
    <cellStyle name="20% - Akzent2 4 4 3" xfId="20994" xr:uid="{A2803627-7259-430E-B80F-557E1EF70AE8}"/>
    <cellStyle name="20% - Akzent2 4 4 4" xfId="40437" xr:uid="{74B0D7CD-B03B-4B19-A7A5-E6FD5AE65818}"/>
    <cellStyle name="20% - Akzent2 4 5" xfId="1418" xr:uid="{E7D4AD19-81FB-4DF4-882F-22CB095C305F}"/>
    <cellStyle name="20% - Akzent2 4 5 2" xfId="1419" xr:uid="{AB583454-5360-4A1E-BCC3-3032AC1BCAB1}"/>
    <cellStyle name="20% - Akzent2 4 5 2 2" xfId="20997" xr:uid="{63F0D995-884D-4940-BD57-28ADBADC66B5}"/>
    <cellStyle name="20% - Akzent2 4 5 3" xfId="20996" xr:uid="{0D4D9449-F1D4-4825-8D02-793CB6CE1E49}"/>
    <cellStyle name="20% - Akzent2 4 5 4" xfId="41297" xr:uid="{9C19BDED-8A91-4E28-8DD7-B92CD0354E6F}"/>
    <cellStyle name="20% - Akzent2 4 6" xfId="1420" xr:uid="{BCA22CB8-7BCB-4F5E-9669-B167567A5DBF}"/>
    <cellStyle name="20% - Akzent2 4 6 2" xfId="1421" xr:uid="{F37D89C0-3506-4A10-8591-A48177F27903}"/>
    <cellStyle name="20% - Akzent2 4 6 2 2" xfId="20999" xr:uid="{40B51633-E5E8-4630-B9B3-96D8FF0BC75C}"/>
    <cellStyle name="20% - Akzent2 4 6 3" xfId="20998" xr:uid="{048EEB67-A73C-4690-A3AB-36405B0B411F}"/>
    <cellStyle name="20% - Akzent2 4 7" xfId="1422" xr:uid="{3E99256F-AFAF-4F87-B885-6127202F12F4}"/>
    <cellStyle name="20% - Akzent2 4 7 2" xfId="1423" xr:uid="{59070E43-CE7E-434D-BAF1-7BF210B4ED2C}"/>
    <cellStyle name="20% - Akzent2 4 7 2 2" xfId="21001" xr:uid="{72651793-23DE-4538-8C57-71248935EBA4}"/>
    <cellStyle name="20% - Akzent2 4 7 3" xfId="21000" xr:uid="{F8A9E54C-F4B0-4A62-86B6-16ECCA499841}"/>
    <cellStyle name="20% - Akzent2 4 8" xfId="1424" xr:uid="{91848EAB-EE1F-4339-9228-7F8FA7DBF2A5}"/>
    <cellStyle name="20% - Akzent2 4 8 2" xfId="1425" xr:uid="{4A9C962D-EB7F-4C1B-BB47-3003EFA85264}"/>
    <cellStyle name="20% - Akzent2 4 8 2 2" xfId="21003" xr:uid="{06CA7175-0B95-4F4C-9084-753EA7407112}"/>
    <cellStyle name="20% - Akzent2 4 8 3" xfId="21002" xr:uid="{0ED21F09-7F09-42B9-B57D-A71F6C3F208B}"/>
    <cellStyle name="20% - Akzent2 4 9" xfId="1426" xr:uid="{D00412B0-5117-4CE8-872F-225A33D5E6FD}"/>
    <cellStyle name="20% - Akzent2 4 9 2" xfId="1427" xr:uid="{57ECB92B-B429-4EA3-B928-9F69EEA0C31E}"/>
    <cellStyle name="20% - Akzent2 4 9 2 2" xfId="21005" xr:uid="{0A494F71-7E3F-4340-8E7A-E0F8076D4C07}"/>
    <cellStyle name="20% - Akzent2 4 9 3" xfId="21004" xr:uid="{1B0B4048-A32E-4DEA-B8A6-14DE26F84043}"/>
    <cellStyle name="20% - Akzent2 40" xfId="1428" xr:uid="{859D14D7-ACDC-42A3-B793-174870BC62C2}"/>
    <cellStyle name="20% - Akzent2 40 2" xfId="1429" xr:uid="{27665846-00C6-49C8-8A87-6A5D519C3C34}"/>
    <cellStyle name="20% - Akzent2 40 2 2" xfId="21007" xr:uid="{01CFD47A-F1BF-47A5-B47E-D0270A68BD75}"/>
    <cellStyle name="20% - Akzent2 40 3" xfId="21006" xr:uid="{A521006D-C2F4-4FA2-B6A6-B3A6A2CA844C}"/>
    <cellStyle name="20% - Akzent2 41" xfId="1430" xr:uid="{D2CCB6CE-35FD-49AE-8B4D-AB6A56B02E6A}"/>
    <cellStyle name="20% - Akzent2 41 2" xfId="1431" xr:uid="{90F4AB20-FC37-4789-A24F-D2A66C7F3DE8}"/>
    <cellStyle name="20% - Akzent2 41 2 2" xfId="21009" xr:uid="{6121888A-4025-4B9B-BB0A-6C0A8D27691A}"/>
    <cellStyle name="20% - Akzent2 41 3" xfId="21008" xr:uid="{83BF5871-72CE-4031-BFB7-D28025D60197}"/>
    <cellStyle name="20% - Akzent2 42" xfId="1432" xr:uid="{B0AC9F9B-9D66-4628-9E43-60F9923C3A7C}"/>
    <cellStyle name="20% - Akzent2 42 2" xfId="1433" xr:uid="{6DD5BE2E-CAFC-48FE-B7B3-CD1ED2EE2028}"/>
    <cellStyle name="20% - Akzent2 42 2 2" xfId="21011" xr:uid="{88873731-DCFB-43C8-B2E1-7C397C385D4C}"/>
    <cellStyle name="20% - Akzent2 42 3" xfId="21010" xr:uid="{1862029F-CAD6-41D2-AE48-DD283E5F2BAB}"/>
    <cellStyle name="20% - Akzent2 43" xfId="1434" xr:uid="{73A20650-723F-4DD0-AF73-2108E032AD2F}"/>
    <cellStyle name="20% - Akzent2 43 2" xfId="1435" xr:uid="{C00AD0CF-3464-45B9-B745-4EF0A7D7EA8D}"/>
    <cellStyle name="20% - Akzent2 43 2 2" xfId="21013" xr:uid="{95B0B6A2-CC38-4C49-AEAF-CF234A457B15}"/>
    <cellStyle name="20% - Akzent2 43 3" xfId="21012" xr:uid="{15EBF982-C323-4D7A-9F66-DF58E91C44C0}"/>
    <cellStyle name="20% - Akzent2 44" xfId="1436" xr:uid="{466BF808-0ADD-4C9D-A968-1666D42A1EB0}"/>
    <cellStyle name="20% - Akzent2 44 2" xfId="1437" xr:uid="{F0297CAF-6093-4CE9-B38A-DABFD9264C56}"/>
    <cellStyle name="20% - Akzent2 44 2 2" xfId="21015" xr:uid="{81328C66-A5AE-4A57-AA6F-B62AAC845E0D}"/>
    <cellStyle name="20% - Akzent2 44 3" xfId="21014" xr:uid="{87BC52B1-9161-4178-BD7A-3015675D4F6D}"/>
    <cellStyle name="20% - Akzent2 45" xfId="1438" xr:uid="{07850B4D-E297-40EF-93AD-E04E10ED5506}"/>
    <cellStyle name="20% - Akzent2 45 2" xfId="1439" xr:uid="{5A98B33C-DD6C-44FB-A821-083F9C62524E}"/>
    <cellStyle name="20% - Akzent2 45 2 2" xfId="21017" xr:uid="{BF670441-C228-45FC-A9ED-E80D73E64305}"/>
    <cellStyle name="20% - Akzent2 45 3" xfId="21016" xr:uid="{33708D1B-1F16-4D14-8FD6-A8E30A748D13}"/>
    <cellStyle name="20% - Akzent2 46" xfId="1440" xr:uid="{36E2F93D-ADE5-4097-ABAA-F8F2D54C9534}"/>
    <cellStyle name="20% - Akzent2 46 2" xfId="1441" xr:uid="{DB146EF0-F0F8-4CF6-989E-203C22252245}"/>
    <cellStyle name="20% - Akzent2 46 2 2" xfId="21019" xr:uid="{077EB574-C2FA-4B1E-B817-38366F5084F1}"/>
    <cellStyle name="20% - Akzent2 46 3" xfId="21018" xr:uid="{7DF36734-1EF6-4EA8-B3FD-49F8F6898CC1}"/>
    <cellStyle name="20% - Akzent2 47" xfId="1442" xr:uid="{565A36AE-9F55-48C1-926C-BC59933B4985}"/>
    <cellStyle name="20% - Akzent2 47 2" xfId="1443" xr:uid="{5C6BA197-492A-4F33-9E4E-D6A30C2E955D}"/>
    <cellStyle name="20% - Akzent2 47 2 2" xfId="21021" xr:uid="{51AB1B7B-13C0-4F15-85B8-39A6556763D7}"/>
    <cellStyle name="20% - Akzent2 47 3" xfId="21020" xr:uid="{0F52A56C-3EA5-4F73-9326-87E12E5643AB}"/>
    <cellStyle name="20% - Akzent2 48" xfId="1444" xr:uid="{542436E2-EE2F-4B93-90F1-4AEC51853C52}"/>
    <cellStyle name="20% - Akzent2 48 2" xfId="1445" xr:uid="{EF05C90B-9A5D-414D-B056-6E109E100328}"/>
    <cellStyle name="20% - Akzent2 48 2 2" xfId="21023" xr:uid="{5BCFC597-46E1-470A-8FF4-1B436921DE40}"/>
    <cellStyle name="20% - Akzent2 48 3" xfId="21022" xr:uid="{F4F2D758-C948-4B20-B669-FB13AD962233}"/>
    <cellStyle name="20% - Akzent2 49" xfId="1446" xr:uid="{EB9C0AB8-C5A3-46CF-9F82-F64645E3E2DD}"/>
    <cellStyle name="20% - Akzent2 49 2" xfId="1447" xr:uid="{8D96A37D-E169-4001-921E-9A03A7F0D153}"/>
    <cellStyle name="20% - Akzent2 49 2 2" xfId="21025" xr:uid="{74173141-699E-4E41-ADAD-55EA970C7EFC}"/>
    <cellStyle name="20% - Akzent2 49 3" xfId="21024" xr:uid="{42EF8F7F-E500-45A9-A5F2-95F611095C24}"/>
    <cellStyle name="20% - Akzent2 5" xfId="1448" xr:uid="{DD0D1EB2-A3B8-4192-B94B-B14C619359C6}"/>
    <cellStyle name="20% - Akzent2 5 10" xfId="1449" xr:uid="{78EEC6FE-A101-430A-B824-9F6701324532}"/>
    <cellStyle name="20% - Akzent2 5 10 2" xfId="1450" xr:uid="{0550D9B0-50F7-453D-A488-8C6E1F73D156}"/>
    <cellStyle name="20% - Akzent2 5 10 2 2" xfId="21028" xr:uid="{56495D1D-67F9-4BAF-8EC6-28971BFF6BF6}"/>
    <cellStyle name="20% - Akzent2 5 10 3" xfId="21027" xr:uid="{1074914F-A9C8-42BA-82AE-83B6E8FEC2D3}"/>
    <cellStyle name="20% - Akzent2 5 11" xfId="1451" xr:uid="{0195646B-4579-4216-BA11-8BC12ED30231}"/>
    <cellStyle name="20% - Akzent2 5 11 2" xfId="1452" xr:uid="{EAACC53F-84D4-4ED7-B670-7255018BA816}"/>
    <cellStyle name="20% - Akzent2 5 11 2 2" xfId="21030" xr:uid="{C316D50B-F4A0-4D0B-855A-CAE11DEF7585}"/>
    <cellStyle name="20% - Akzent2 5 11 3" xfId="21029" xr:uid="{4F9986CD-9CF5-4C48-838B-22394FAF8201}"/>
    <cellStyle name="20% - Akzent2 5 12" xfId="1453" xr:uid="{424F004D-D914-4B58-8275-B8136D1679F5}"/>
    <cellStyle name="20% - Akzent2 5 12 2" xfId="1454" xr:uid="{9510FB25-9BF7-4D80-A500-BFCCB7FE7E80}"/>
    <cellStyle name="20% - Akzent2 5 12 2 2" xfId="21032" xr:uid="{14EA4DA5-21D2-4F4E-8E58-79918E4770C8}"/>
    <cellStyle name="20% - Akzent2 5 12 3" xfId="21031" xr:uid="{B7D2013A-60B5-4EA2-ABEE-A2186DF25098}"/>
    <cellStyle name="20% - Akzent2 5 13" xfId="1455" xr:uid="{40F92894-CDAB-4886-A428-5ED608A8D9E0}"/>
    <cellStyle name="20% - Akzent2 5 13 2" xfId="1456" xr:uid="{353A44A5-7B33-498E-BE8C-B7CE25D1DF82}"/>
    <cellStyle name="20% - Akzent2 5 13 2 2" xfId="21034" xr:uid="{492A9E90-6A40-414A-9A4B-A4581568E6EA}"/>
    <cellStyle name="20% - Akzent2 5 13 3" xfId="21033" xr:uid="{B6C614FB-6C1C-4253-AD5E-4F5226210B25}"/>
    <cellStyle name="20% - Akzent2 5 14" xfId="1457" xr:uid="{E94AEF2F-ADE5-4F68-A955-3AA53664037A}"/>
    <cellStyle name="20% - Akzent2 5 14 2" xfId="1458" xr:uid="{23CC622C-1957-4600-95F2-3827D0630931}"/>
    <cellStyle name="20% - Akzent2 5 14 2 2" xfId="21036" xr:uid="{60FDDD48-FB7F-45AA-8B5C-5C95A83EADE3}"/>
    <cellStyle name="20% - Akzent2 5 14 3" xfId="21035" xr:uid="{5816B3F5-3EC4-45FD-946B-17E65485EC52}"/>
    <cellStyle name="20% - Akzent2 5 15" xfId="1459" xr:uid="{431AC294-67AA-458D-A685-7F88BE1FA1E4}"/>
    <cellStyle name="20% - Akzent2 5 15 2" xfId="1460" xr:uid="{A3336575-AA2A-47FE-B7E6-CE61541E5D4B}"/>
    <cellStyle name="20% - Akzent2 5 15 2 2" xfId="21038" xr:uid="{05A13C41-6093-42B0-958F-6D0C5B038AD4}"/>
    <cellStyle name="20% - Akzent2 5 15 3" xfId="21037" xr:uid="{E6F413F9-CEC6-410E-8F6C-341DC5092255}"/>
    <cellStyle name="20% - Akzent2 5 16" xfId="1461" xr:uid="{5F63A657-C299-41F1-A5C8-ADC2CE880795}"/>
    <cellStyle name="20% - Akzent2 5 16 2" xfId="1462" xr:uid="{0EC7B982-6F74-4299-ACD7-874D3AB6800F}"/>
    <cellStyle name="20% - Akzent2 5 16 2 2" xfId="21040" xr:uid="{45223D1F-B679-41C9-8B42-95DD35BD27A5}"/>
    <cellStyle name="20% - Akzent2 5 16 3" xfId="21039" xr:uid="{DD619FB5-9254-4687-BD1D-492E260BA511}"/>
    <cellStyle name="20% - Akzent2 5 17" xfId="1463" xr:uid="{F27EAEF9-6171-4EA4-B4AC-D3A0151085F2}"/>
    <cellStyle name="20% - Akzent2 5 17 2" xfId="1464" xr:uid="{FA116143-DA07-46FE-8D51-43DE35F8D203}"/>
    <cellStyle name="20% - Akzent2 5 17 2 2" xfId="21042" xr:uid="{613D9EDA-2C87-4C1F-8849-3CB48D4C21BC}"/>
    <cellStyle name="20% - Akzent2 5 17 3" xfId="21041" xr:uid="{DC867016-84D0-4DCA-84B6-A0829C0AE550}"/>
    <cellStyle name="20% - Akzent2 5 18" xfId="1465" xr:uid="{A4D9A9CD-DEF0-47D1-865E-13B1D6F1523B}"/>
    <cellStyle name="20% - Akzent2 5 18 2" xfId="1466" xr:uid="{3A90705A-A6DD-4A64-BEC3-E0873FDF9C4D}"/>
    <cellStyle name="20% - Akzent2 5 18 2 2" xfId="21044" xr:uid="{AE807591-6187-42CF-A5A9-D7D3F6B8DBE8}"/>
    <cellStyle name="20% - Akzent2 5 18 3" xfId="21043" xr:uid="{68351B6F-558C-4698-8487-94577BE054DE}"/>
    <cellStyle name="20% - Akzent2 5 19" xfId="1467" xr:uid="{D9C8BCFA-F9A9-4955-91EF-634A8EA67853}"/>
    <cellStyle name="20% - Akzent2 5 19 2" xfId="1468" xr:uid="{76ECA580-5240-4C4D-8BC9-9AF96D056200}"/>
    <cellStyle name="20% - Akzent2 5 19 2 2" xfId="21046" xr:uid="{5F42CBCE-D3DD-4A91-BFB2-79AB010A00F5}"/>
    <cellStyle name="20% - Akzent2 5 19 3" xfId="21045" xr:uid="{B7261495-90F8-4EFB-BBEE-7BF66DFC2374}"/>
    <cellStyle name="20% - Akzent2 5 2" xfId="1469" xr:uid="{6F76BAD2-228D-479D-86E6-089D65928E53}"/>
    <cellStyle name="20% - Akzent2 5 2 2" xfId="1470" xr:uid="{A138702C-94CF-41F1-888E-B2B6A01792C4}"/>
    <cellStyle name="20% - Akzent2 5 2 2 2" xfId="21048" xr:uid="{F4B95525-A72B-46C9-8385-272ADFD82A61}"/>
    <cellStyle name="20% - Akzent2 5 2 3" xfId="21047" xr:uid="{31E6F3AF-5DFA-4C29-8EFD-47ACAAC7F594}"/>
    <cellStyle name="20% - Akzent2 5 20" xfId="1471" xr:uid="{DFA84CAD-9422-4302-9EA2-C29A6196B001}"/>
    <cellStyle name="20% - Akzent2 5 20 2" xfId="1472" xr:uid="{EA244A9F-A15D-4C5E-A93D-914E42EE6F04}"/>
    <cellStyle name="20% - Akzent2 5 20 2 2" xfId="21050" xr:uid="{F0726414-81B6-415C-840C-B212022EC5EC}"/>
    <cellStyle name="20% - Akzent2 5 20 3" xfId="21049" xr:uid="{050EEA88-8082-4DE6-8FBD-281BD898393D}"/>
    <cellStyle name="20% - Akzent2 5 21" xfId="1473" xr:uid="{DDCBE00B-C15B-4960-85A0-4C3E7C68E3A7}"/>
    <cellStyle name="20% - Akzent2 5 21 2" xfId="1474" xr:uid="{6B9BBF6E-901F-48C5-9165-BB1FB97673F2}"/>
    <cellStyle name="20% - Akzent2 5 21 2 2" xfId="21052" xr:uid="{B4EFCFFB-5AC7-4AA7-ACC6-127E160EE6AA}"/>
    <cellStyle name="20% - Akzent2 5 21 3" xfId="21051" xr:uid="{04E5F7A9-35E0-497B-858F-20BC105C83A5}"/>
    <cellStyle name="20% - Akzent2 5 22" xfId="1475" xr:uid="{8672045A-2A78-4D18-988E-0151AEDD1ADD}"/>
    <cellStyle name="20% - Akzent2 5 22 2" xfId="21053" xr:uid="{78E845B2-0142-4218-9585-CAF3FEA03983}"/>
    <cellStyle name="20% - Akzent2 5 23" xfId="1476" xr:uid="{541EB717-0D8A-464B-AC79-7B4457512E0C}"/>
    <cellStyle name="20% - Akzent2 5 23 2" xfId="21054" xr:uid="{5B08512B-AD55-45B9-8828-F5D2CD048D31}"/>
    <cellStyle name="20% - Akzent2 5 24" xfId="21026" xr:uid="{3E5C8316-6BEE-4332-9723-2EC4E9BB75F4}"/>
    <cellStyle name="20% - Akzent2 5 25" xfId="39282" xr:uid="{BD65C42E-E65C-4C07-9F90-89891AA23715}"/>
    <cellStyle name="20% - Akzent2 5 3" xfId="1477" xr:uid="{5C13F682-B3D7-43BD-9446-D1A2DD9B28D0}"/>
    <cellStyle name="20% - Akzent2 5 3 2" xfId="1478" xr:uid="{5F8CE926-021D-4FC1-BF29-4565D5445598}"/>
    <cellStyle name="20% - Akzent2 5 3 2 2" xfId="21056" xr:uid="{ACEB97F7-5EF3-4470-84BC-2D803B0F9081}"/>
    <cellStyle name="20% - Akzent2 5 3 3" xfId="21055" xr:uid="{E87D2234-9B72-4929-B7D8-E8FE71EDA8D8}"/>
    <cellStyle name="20% - Akzent2 5 4" xfId="1479" xr:uid="{D3579E7F-8458-44D3-959A-0480CE50227C}"/>
    <cellStyle name="20% - Akzent2 5 4 2" xfId="1480" xr:uid="{9535AE12-F024-4CF2-9F6A-DD510D65443E}"/>
    <cellStyle name="20% - Akzent2 5 4 2 2" xfId="21058" xr:uid="{4AD5AE68-5B0F-4DD8-BBDA-6D15ECC1527F}"/>
    <cellStyle name="20% - Akzent2 5 4 3" xfId="21057" xr:uid="{2F496533-3CEC-4B1B-A6EB-74F848E093AC}"/>
    <cellStyle name="20% - Akzent2 5 5" xfId="1481" xr:uid="{2E1A707E-E934-436E-B3A6-0F551052CBA2}"/>
    <cellStyle name="20% - Akzent2 5 5 2" xfId="1482" xr:uid="{885E9F6C-37B5-4DDB-A59D-1F3ADEB94131}"/>
    <cellStyle name="20% - Akzent2 5 5 2 2" xfId="21060" xr:uid="{77081569-A2FA-498A-AB0A-226553EB2C38}"/>
    <cellStyle name="20% - Akzent2 5 5 3" xfId="21059" xr:uid="{396D221C-79A8-47A6-A57D-9FB51CB7A517}"/>
    <cellStyle name="20% - Akzent2 5 6" xfId="1483" xr:uid="{E6738391-BFE8-4E93-BAA8-6634CD73A156}"/>
    <cellStyle name="20% - Akzent2 5 6 2" xfId="1484" xr:uid="{154EDF0C-C8BE-4EF5-9F80-57AD13641868}"/>
    <cellStyle name="20% - Akzent2 5 6 2 2" xfId="21062" xr:uid="{CFB74DE5-C568-4059-982A-F923B5DA3CE3}"/>
    <cellStyle name="20% - Akzent2 5 6 3" xfId="21061" xr:uid="{7E59CE05-BBB1-453F-BEF2-26D1DF777FA0}"/>
    <cellStyle name="20% - Akzent2 5 7" xfId="1485" xr:uid="{FE0745B4-E85B-4B56-BFA2-E6B04F8F5B05}"/>
    <cellStyle name="20% - Akzent2 5 7 2" xfId="1486" xr:uid="{42C1A563-DBF2-4628-B7BA-317701B28D8A}"/>
    <cellStyle name="20% - Akzent2 5 7 2 2" xfId="21064" xr:uid="{B8AF97D4-ACC3-42E3-A826-46AD2206137D}"/>
    <cellStyle name="20% - Akzent2 5 7 3" xfId="21063" xr:uid="{9B048479-EB40-4AF1-9676-3E331EA19112}"/>
    <cellStyle name="20% - Akzent2 5 8" xfId="1487" xr:uid="{9DC44F64-A16F-4105-9688-04399032B1C7}"/>
    <cellStyle name="20% - Akzent2 5 8 2" xfId="1488" xr:uid="{CF351909-5509-4D71-8611-11E24C363AE1}"/>
    <cellStyle name="20% - Akzent2 5 8 2 2" xfId="21066" xr:uid="{6C101F51-7AA2-456C-B7E1-0419CD5D8FB9}"/>
    <cellStyle name="20% - Akzent2 5 8 3" xfId="21065" xr:uid="{8F02D0C4-7D0D-4C26-A56E-2A352A47ED18}"/>
    <cellStyle name="20% - Akzent2 5 9" xfId="1489" xr:uid="{1467E22C-019F-4B6B-ADF2-EE1B0BFC9CFB}"/>
    <cellStyle name="20% - Akzent2 5 9 2" xfId="1490" xr:uid="{83844DC9-73F1-464C-BC26-D234F72B7720}"/>
    <cellStyle name="20% - Akzent2 5 9 2 2" xfId="21068" xr:uid="{3A63E5C3-6B99-4D89-A2CA-510CDFC5A6BC}"/>
    <cellStyle name="20% - Akzent2 5 9 3" xfId="21067" xr:uid="{1679C292-BD58-4184-A099-00B3AB59ECC9}"/>
    <cellStyle name="20% - Akzent2 50" xfId="1491" xr:uid="{1B877035-9177-49B8-AB77-EC178A871208}"/>
    <cellStyle name="20% - Akzent2 50 2" xfId="1492" xr:uid="{F4FFD2D9-1EA2-4492-9785-66384FD6B31B}"/>
    <cellStyle name="20% - Akzent2 50 2 2" xfId="21070" xr:uid="{AFD8CA58-9B63-409E-A514-2352584CB652}"/>
    <cellStyle name="20% - Akzent2 50 3" xfId="21069" xr:uid="{526C9C05-FBC1-437E-BA73-3B6C3FB4B663}"/>
    <cellStyle name="20% - Akzent2 51" xfId="1493" xr:uid="{C55DDC23-1405-4950-9DB2-8ECAB1D18142}"/>
    <cellStyle name="20% - Akzent2 51 2" xfId="1494" xr:uid="{D8215BA8-B1FA-4A16-A391-54E9C97845DD}"/>
    <cellStyle name="20% - Akzent2 51 2 2" xfId="21072" xr:uid="{09124789-F5D5-45C3-B82F-224B1E271905}"/>
    <cellStyle name="20% - Akzent2 51 3" xfId="21071" xr:uid="{3E4B827E-EA8A-4BD5-923E-704EE2981CD8}"/>
    <cellStyle name="20% - Akzent2 52" xfId="1495" xr:uid="{095BC542-68D7-42CB-A8F6-2E4723B6B06B}"/>
    <cellStyle name="20% - Akzent2 52 2" xfId="1496" xr:uid="{956E6989-C113-4E20-81D2-2F966CA3A1DB}"/>
    <cellStyle name="20% - Akzent2 52 2 2" xfId="21074" xr:uid="{E6D83C51-F93C-46F7-B293-8C6AFF2D811C}"/>
    <cellStyle name="20% - Akzent2 52 3" xfId="21073" xr:uid="{94988058-5009-44F0-9730-5B1D146EB798}"/>
    <cellStyle name="20% - Akzent2 53" xfId="1497" xr:uid="{25790D5F-2131-48D7-81BA-9DC8B59CFD77}"/>
    <cellStyle name="20% - Akzent2 53 2" xfId="1498" xr:uid="{710FFDB8-FAA5-4581-BD57-BDCF219B97F5}"/>
    <cellStyle name="20% - Akzent2 53 2 2" xfId="21076" xr:uid="{D3A92EB6-E31D-445F-B8E3-E619FC00E2AA}"/>
    <cellStyle name="20% - Akzent2 53 3" xfId="21075" xr:uid="{04A1C49D-101A-4D0B-AC08-B51EE8BB872C}"/>
    <cellStyle name="20% - Akzent2 54" xfId="1499" xr:uid="{97CF2858-D177-4606-9F0B-14ACA97E3A26}"/>
    <cellStyle name="20% - Akzent2 54 2" xfId="1500" xr:uid="{21667059-CBD9-4009-96E0-796FB9DBD262}"/>
    <cellStyle name="20% - Akzent2 54 2 2" xfId="21078" xr:uid="{0845803B-E6ED-4172-94AE-1E522FC936AE}"/>
    <cellStyle name="20% - Akzent2 54 3" xfId="21077" xr:uid="{55F2096E-9869-4F5B-AFCF-4D7965552BCF}"/>
    <cellStyle name="20% - Akzent2 55" xfId="1501" xr:uid="{BBBDA620-0FC7-4605-BAD9-7F2AC581C8F2}"/>
    <cellStyle name="20% - Akzent2 55 2" xfId="1502" xr:uid="{382D4FED-5211-48D8-96E8-2BA62B0FE385}"/>
    <cellStyle name="20% - Akzent2 55 2 2" xfId="21080" xr:uid="{7B292DB2-3733-4939-A1A5-36F442F1B8CD}"/>
    <cellStyle name="20% - Akzent2 55 3" xfId="21079" xr:uid="{4BAE461C-F53D-4B57-8BB1-B231DCE867E5}"/>
    <cellStyle name="20% - Akzent2 56" xfId="1503" xr:uid="{3CF7DBB8-1D75-40F9-9D19-23EC9BC5930D}"/>
    <cellStyle name="20% - Akzent2 56 2" xfId="1504" xr:uid="{304D79BD-5133-43CE-B602-F69D18FDA6BB}"/>
    <cellStyle name="20% - Akzent2 56 2 2" xfId="21082" xr:uid="{0A1A011D-0634-4951-816F-E8A6CB986F95}"/>
    <cellStyle name="20% - Akzent2 56 3" xfId="21081" xr:uid="{97C11D23-EE8F-4537-A005-BA1E3F46ED29}"/>
    <cellStyle name="20% - Akzent2 57" xfId="1505" xr:uid="{6922C050-2CA2-4FB6-86AB-140769D2EA28}"/>
    <cellStyle name="20% - Akzent2 57 2" xfId="1506" xr:uid="{193434D8-8B5D-4C5F-9FDF-BB01DEF0F2B1}"/>
    <cellStyle name="20% - Akzent2 57 2 2" xfId="21084" xr:uid="{52B73E5B-5E00-4DA2-985D-0C7DDB0C5DCB}"/>
    <cellStyle name="20% - Akzent2 57 3" xfId="21083" xr:uid="{B13ADCA8-D287-4C9C-B5A7-240693531023}"/>
    <cellStyle name="20% - Akzent2 58" xfId="1507" xr:uid="{C7F25DD2-C741-499F-8AEC-755E418B0445}"/>
    <cellStyle name="20% - Akzent2 58 2" xfId="1508" xr:uid="{81FAD40E-0C7A-4C27-9156-D339191D0F2F}"/>
    <cellStyle name="20% - Akzent2 58 2 2" xfId="21086" xr:uid="{14165569-3D2D-42B9-A9CD-5416D151C3EA}"/>
    <cellStyle name="20% - Akzent2 58 3" xfId="21085" xr:uid="{83C37EF0-D76A-4C58-B863-D845F2BAFF26}"/>
    <cellStyle name="20% - Akzent2 59" xfId="1509" xr:uid="{CD754166-AB82-43B6-8C50-03FFE787CF36}"/>
    <cellStyle name="20% - Akzent2 59 2" xfId="1510" xr:uid="{470D7CE7-2652-4490-A43E-0BE9CA83CADE}"/>
    <cellStyle name="20% - Akzent2 59 2 2" xfId="21088" xr:uid="{DA8E610E-FEB6-43A9-A0A8-D4AA29EABE54}"/>
    <cellStyle name="20% - Akzent2 59 3" xfId="21087" xr:uid="{07E5ECA5-A701-4DEB-92B4-B9D5CC2FFB8C}"/>
    <cellStyle name="20% - Akzent2 6" xfId="1511" xr:uid="{714BB54D-B355-4E85-9F8B-024828215B60}"/>
    <cellStyle name="20% - Akzent2 6 10" xfId="1512" xr:uid="{B951C4BC-7E0D-48B2-9B8B-022C7AC41454}"/>
    <cellStyle name="20% - Akzent2 6 10 2" xfId="1513" xr:uid="{F2832AA7-F3D9-4459-B101-69E69D2E9677}"/>
    <cellStyle name="20% - Akzent2 6 10 2 2" xfId="21091" xr:uid="{8DB4E3C7-EF64-46F8-A5AB-C5F59ACAADC5}"/>
    <cellStyle name="20% - Akzent2 6 10 3" xfId="21090" xr:uid="{6388C34B-D88C-4318-B251-32E92F94F777}"/>
    <cellStyle name="20% - Akzent2 6 11" xfId="1514" xr:uid="{2BCD6910-EA94-47E5-8E58-B1A06C9AEA8B}"/>
    <cellStyle name="20% - Akzent2 6 11 2" xfId="1515" xr:uid="{86C4781D-721E-44E2-96F2-CAAF7E73CCA4}"/>
    <cellStyle name="20% - Akzent2 6 11 2 2" xfId="21093" xr:uid="{93716E8F-0CE0-4465-97C2-F2088EAB41FF}"/>
    <cellStyle name="20% - Akzent2 6 11 3" xfId="21092" xr:uid="{258EC238-EF38-4012-8BAF-51F6EABC6203}"/>
    <cellStyle name="20% - Akzent2 6 12" xfId="1516" xr:uid="{3471E0BD-2E72-40F1-A344-F470BB9FFCA3}"/>
    <cellStyle name="20% - Akzent2 6 12 2" xfId="1517" xr:uid="{AEBD12D6-B002-482A-B974-5382EA588422}"/>
    <cellStyle name="20% - Akzent2 6 12 2 2" xfId="21095" xr:uid="{FB310938-9A62-499F-ABF2-BE87B1D1BF6C}"/>
    <cellStyle name="20% - Akzent2 6 12 3" xfId="21094" xr:uid="{53BD59ED-CD97-4A9E-8C17-E872BE2594DB}"/>
    <cellStyle name="20% - Akzent2 6 13" xfId="1518" xr:uid="{5CEEC958-665C-41C9-8CE6-AED894A7727E}"/>
    <cellStyle name="20% - Akzent2 6 13 2" xfId="1519" xr:uid="{BE823A69-3252-45C2-AF00-442E929C57C1}"/>
    <cellStyle name="20% - Akzent2 6 13 2 2" xfId="21097" xr:uid="{830BE3CA-4E88-43D2-B97E-9117448286DA}"/>
    <cellStyle name="20% - Akzent2 6 13 3" xfId="21096" xr:uid="{9F1A9918-802E-4597-B11C-068F1097275E}"/>
    <cellStyle name="20% - Akzent2 6 14" xfId="1520" xr:uid="{D16899AB-A323-4992-B339-E6804E5209FB}"/>
    <cellStyle name="20% - Akzent2 6 14 2" xfId="1521" xr:uid="{EA86C7A9-E8EA-4694-8684-214EA1B4CBBD}"/>
    <cellStyle name="20% - Akzent2 6 14 2 2" xfId="21099" xr:uid="{CE9F7C2F-0AAB-44E0-A12B-DA5D58A816AF}"/>
    <cellStyle name="20% - Akzent2 6 14 3" xfId="21098" xr:uid="{F9B45BDD-E26A-4189-B398-C0EB623BC5FB}"/>
    <cellStyle name="20% - Akzent2 6 15" xfId="1522" xr:uid="{D2F0C832-CD6C-47F1-BFF5-6D91E8BDAEFB}"/>
    <cellStyle name="20% - Akzent2 6 15 2" xfId="1523" xr:uid="{EDEF06FA-6144-4CF9-BD5B-7A7FAEF75BB0}"/>
    <cellStyle name="20% - Akzent2 6 15 2 2" xfId="21101" xr:uid="{58BEAF76-E648-4125-8B06-DDEC0D00BFEA}"/>
    <cellStyle name="20% - Akzent2 6 15 3" xfId="21100" xr:uid="{7847E36D-2B67-4DF4-8154-B6FC55E3CCB6}"/>
    <cellStyle name="20% - Akzent2 6 16" xfId="1524" xr:uid="{8CD82544-414C-46CA-BA42-B07115991234}"/>
    <cellStyle name="20% - Akzent2 6 16 2" xfId="1525" xr:uid="{EE8B89BB-98A9-4B2D-B5F9-C3C81B253C3E}"/>
    <cellStyle name="20% - Akzent2 6 16 2 2" xfId="21103" xr:uid="{0D59CF25-5C25-47A6-BB1D-E5740E653A9D}"/>
    <cellStyle name="20% - Akzent2 6 16 3" xfId="21102" xr:uid="{83BB1E87-9DFB-4453-8BAB-62918DD5D490}"/>
    <cellStyle name="20% - Akzent2 6 17" xfId="1526" xr:uid="{DB31F871-5B7C-4A6F-9CAB-6740F24A64FC}"/>
    <cellStyle name="20% - Akzent2 6 17 2" xfId="1527" xr:uid="{120976BA-0ECF-407B-8B72-4BA073679DFA}"/>
    <cellStyle name="20% - Akzent2 6 17 2 2" xfId="21105" xr:uid="{A047A033-9AA5-4C9F-9A89-49C4C6F7C244}"/>
    <cellStyle name="20% - Akzent2 6 17 3" xfId="21104" xr:uid="{E2395180-20E6-496A-93A9-E72DB829A940}"/>
    <cellStyle name="20% - Akzent2 6 18" xfId="1528" xr:uid="{A8A3203D-A2E8-4B64-AF80-B5347161E7F6}"/>
    <cellStyle name="20% - Akzent2 6 18 2" xfId="1529" xr:uid="{D26B856B-8722-4B37-81DC-9F141B39F52E}"/>
    <cellStyle name="20% - Akzent2 6 18 2 2" xfId="21107" xr:uid="{489DB694-BDC4-4BBC-9CCF-4D90D416BA07}"/>
    <cellStyle name="20% - Akzent2 6 18 3" xfId="21106" xr:uid="{29121DC5-851C-4418-81B5-8C48C3702474}"/>
    <cellStyle name="20% - Akzent2 6 19" xfId="1530" xr:uid="{8698C7FE-1AF6-4B72-A783-CDE3B6D0D8B0}"/>
    <cellStyle name="20% - Akzent2 6 19 2" xfId="1531" xr:uid="{98AA0974-EB67-44A2-80EC-2BAD74C56D79}"/>
    <cellStyle name="20% - Akzent2 6 19 2 2" xfId="21109" xr:uid="{DA2E878F-3E07-4FEE-A9DB-E3F8D32D1EC7}"/>
    <cellStyle name="20% - Akzent2 6 19 3" xfId="21108" xr:uid="{2014361B-DC28-44B9-B80B-B5401CAA802B}"/>
    <cellStyle name="20% - Akzent2 6 2" xfId="1532" xr:uid="{2B75296A-5F9B-4CB4-830A-3B43BD1F4E80}"/>
    <cellStyle name="20% - Akzent2 6 20" xfId="1533" xr:uid="{E1D33DF8-EE20-4518-8821-05870D904B80}"/>
    <cellStyle name="20% - Akzent2 6 20 2" xfId="1534" xr:uid="{F3E2EB5A-8D1F-4D55-8562-522C793A5AAA}"/>
    <cellStyle name="20% - Akzent2 6 20 2 2" xfId="21111" xr:uid="{26D4F91C-CCF6-43C6-8561-194CF1056F27}"/>
    <cellStyle name="20% - Akzent2 6 20 3" xfId="21110" xr:uid="{C1D3D9D6-63A8-48AA-94B2-871D47359501}"/>
    <cellStyle name="20% - Akzent2 6 21" xfId="1535" xr:uid="{FAAF4D8B-E87D-4FDA-BC64-A4F313C075BE}"/>
    <cellStyle name="20% - Akzent2 6 21 2" xfId="1536" xr:uid="{05B8108E-C95C-4E22-AB89-A87D88F77812}"/>
    <cellStyle name="20% - Akzent2 6 21 2 2" xfId="21113" xr:uid="{4E5EF2E7-9C72-4DFA-9A29-AA6E24DD2B28}"/>
    <cellStyle name="20% - Akzent2 6 21 3" xfId="21112" xr:uid="{FAB0FEEF-C875-44ED-8C07-3C2CE6DBB0E9}"/>
    <cellStyle name="20% - Akzent2 6 22" xfId="1537" xr:uid="{E63AB1A5-5FED-4224-85B4-ED9ADE16C931}"/>
    <cellStyle name="20% - Akzent2 6 22 2" xfId="21114" xr:uid="{8906FDE2-F617-4C46-9408-4F442BAE3DB9}"/>
    <cellStyle name="20% - Akzent2 6 23" xfId="1538" xr:uid="{D27210E5-577F-480F-96CD-4D85C34CA189}"/>
    <cellStyle name="20% - Akzent2 6 23 2" xfId="21115" xr:uid="{7A6279C8-6A2A-4687-8CB3-E69EE91957B1}"/>
    <cellStyle name="20% - Akzent2 6 24" xfId="21089" xr:uid="{ECEA8889-8978-460F-9829-973E65EC1EC1}"/>
    <cellStyle name="20% - Akzent2 6 3" xfId="1539" xr:uid="{25349B76-E3BF-4C68-80D9-1B19FDB0B0D8}"/>
    <cellStyle name="20% - Akzent2 6 3 2" xfId="1540" xr:uid="{879CBA49-5BDE-4829-9D62-EEFAC099B0A7}"/>
    <cellStyle name="20% - Akzent2 6 3 2 2" xfId="21117" xr:uid="{F9DA1281-C4ED-4362-B9EA-245F573D50FA}"/>
    <cellStyle name="20% - Akzent2 6 3 3" xfId="21116" xr:uid="{6BB2CD8D-5772-47FB-A4A8-30F7B155789A}"/>
    <cellStyle name="20% - Akzent2 6 4" xfId="1541" xr:uid="{D3F91656-6F7E-465B-BB3A-D2A00ADE7212}"/>
    <cellStyle name="20% - Akzent2 6 4 2" xfId="1542" xr:uid="{7353E1EE-842D-4AF7-9E24-37A88B160629}"/>
    <cellStyle name="20% - Akzent2 6 4 2 2" xfId="21119" xr:uid="{727A8376-8DAB-496F-A05B-F99A7E268C3F}"/>
    <cellStyle name="20% - Akzent2 6 4 3" xfId="21118" xr:uid="{93326877-2818-4B79-B00F-525E1AE708C5}"/>
    <cellStyle name="20% - Akzent2 6 5" xfId="1543" xr:uid="{3B4463AF-4F12-49E5-A7D1-D3CDFE512936}"/>
    <cellStyle name="20% - Akzent2 6 5 2" xfId="1544" xr:uid="{37868853-6260-410B-A519-C5B236C4AC63}"/>
    <cellStyle name="20% - Akzent2 6 5 2 2" xfId="21121" xr:uid="{0A49A9F0-72AB-41F2-ACD3-A96D1EDD7E17}"/>
    <cellStyle name="20% - Akzent2 6 5 3" xfId="21120" xr:uid="{D879766B-F8F8-421E-B956-80503E00E736}"/>
    <cellStyle name="20% - Akzent2 6 6" xfId="1545" xr:uid="{DCFE2EA5-7913-4DF6-B231-E6F7555C3040}"/>
    <cellStyle name="20% - Akzent2 6 6 2" xfId="1546" xr:uid="{8AD3D69F-4D9B-4F53-8195-39A8EED21289}"/>
    <cellStyle name="20% - Akzent2 6 6 2 2" xfId="21123" xr:uid="{D0BB0304-DA90-46EB-9FDE-943BF6B2433C}"/>
    <cellStyle name="20% - Akzent2 6 6 3" xfId="21122" xr:uid="{9E74195F-18B0-43F8-A351-99FFF953E665}"/>
    <cellStyle name="20% - Akzent2 6 7" xfId="1547" xr:uid="{B33A74CE-06E1-46DA-BC18-1E6ADA3FB12B}"/>
    <cellStyle name="20% - Akzent2 6 7 2" xfId="1548" xr:uid="{A413D6AE-0AD7-4229-B497-D4A700D4591A}"/>
    <cellStyle name="20% - Akzent2 6 7 2 2" xfId="21125" xr:uid="{916773D0-F206-4316-93CF-FDDEE9648560}"/>
    <cellStyle name="20% - Akzent2 6 7 3" xfId="21124" xr:uid="{E7A7DE47-4D9B-4254-A31C-D208126A42D7}"/>
    <cellStyle name="20% - Akzent2 6 8" xfId="1549" xr:uid="{525E9DAC-94E0-4B42-BBC2-A335A92731DF}"/>
    <cellStyle name="20% - Akzent2 6 8 2" xfId="1550" xr:uid="{C8B7D8E6-68B2-44BD-931B-77339278931E}"/>
    <cellStyle name="20% - Akzent2 6 8 2 2" xfId="21127" xr:uid="{03EE7F1E-9C6F-41A8-B6ED-CC5CC370DAC1}"/>
    <cellStyle name="20% - Akzent2 6 8 3" xfId="21126" xr:uid="{A54F29EE-2569-4A76-BF8A-CE50F22415EE}"/>
    <cellStyle name="20% - Akzent2 6 9" xfId="1551" xr:uid="{9435011D-C952-43E4-9A22-431193F7FA44}"/>
    <cellStyle name="20% - Akzent2 6 9 2" xfId="1552" xr:uid="{B968C44C-D28D-4A3E-9C7B-BFD28A2F6B13}"/>
    <cellStyle name="20% - Akzent2 6 9 2 2" xfId="21129" xr:uid="{68ADA5AE-E813-4990-9784-2DB36B6C31C8}"/>
    <cellStyle name="20% - Akzent2 6 9 3" xfId="21128" xr:uid="{BB77C985-E535-40E1-AA72-9C00A5F3CC66}"/>
    <cellStyle name="20% - Akzent2 60" xfId="1553" xr:uid="{49E51BC3-B1BF-4E8E-A4F8-F33C55275BF8}"/>
    <cellStyle name="20% - Akzent2 60 2" xfId="1554" xr:uid="{D803E6CE-7A44-49A0-A4DA-DD577B740A6A}"/>
    <cellStyle name="20% - Akzent2 60 2 2" xfId="21131" xr:uid="{796653AE-2B5D-4CE2-9A31-E27ABF8E2319}"/>
    <cellStyle name="20% - Akzent2 60 3" xfId="21130" xr:uid="{0CF24165-4E11-466E-82F4-8D5966CD0CE8}"/>
    <cellStyle name="20% - Akzent2 61" xfId="1555" xr:uid="{1A1EA6CB-7B68-4124-899C-D0E57EABE80D}"/>
    <cellStyle name="20% - Akzent2 61 2" xfId="1556" xr:uid="{0336793C-8708-47DC-8BC4-DCC3D84503CA}"/>
    <cellStyle name="20% - Akzent2 61 2 2" xfId="21133" xr:uid="{BF6B12D7-4654-44A5-95FC-D01B37016679}"/>
    <cellStyle name="20% - Akzent2 61 3" xfId="21132" xr:uid="{FC498F72-E266-4485-9C1A-90073F3DDEC9}"/>
    <cellStyle name="20% - Akzent2 62" xfId="1557" xr:uid="{D19A24F4-8AD4-46C8-8368-5DBA7677F2CD}"/>
    <cellStyle name="20% - Akzent2 62 2" xfId="1558" xr:uid="{5484C738-B439-4825-A5E5-3F9275C8A411}"/>
    <cellStyle name="20% - Akzent2 62 2 2" xfId="21135" xr:uid="{50D32E6B-B28D-465E-9872-EC7EB3664836}"/>
    <cellStyle name="20% - Akzent2 62 3" xfId="21134" xr:uid="{79C50208-8548-4A43-AEB3-123B63687A22}"/>
    <cellStyle name="20% - Akzent2 63" xfId="1559" xr:uid="{11825FCF-8F85-485A-84F2-BABD2032CD0F}"/>
    <cellStyle name="20% - Akzent2 63 2" xfId="1560" xr:uid="{B897879E-FAE7-40B9-8B7B-220BD154C8F4}"/>
    <cellStyle name="20% - Akzent2 63 2 2" xfId="21137" xr:uid="{0DED4193-C54D-4B60-9342-D3F99B100C8B}"/>
    <cellStyle name="20% - Akzent2 63 3" xfId="21136" xr:uid="{A32C3286-ED37-4D5B-B0BE-CC7D2119610D}"/>
    <cellStyle name="20% - Akzent2 64" xfId="1561" xr:uid="{93132B5A-FEBC-48FF-A147-2A8B651DB3F7}"/>
    <cellStyle name="20% - Akzent2 64 2" xfId="1562" xr:uid="{65ED23AA-CC63-4B19-B7BC-D845C8E3B338}"/>
    <cellStyle name="20% - Akzent2 64 2 2" xfId="21139" xr:uid="{E252E203-58DB-4A31-9AAA-D9E023C804DA}"/>
    <cellStyle name="20% - Akzent2 64 3" xfId="21138" xr:uid="{9B57EA1E-F7D5-43CF-B784-C9CC20346539}"/>
    <cellStyle name="20% - Akzent2 65" xfId="1563" xr:uid="{3B877A2C-FE7F-4CA9-A30A-FAE5CB335B2D}"/>
    <cellStyle name="20% - Akzent2 65 2" xfId="1564" xr:uid="{DE36D9A4-AAA0-41D8-BF2B-F54D848083D5}"/>
    <cellStyle name="20% - Akzent2 65 2 2" xfId="21141" xr:uid="{D770220C-04A3-4468-BE6D-5B1F171542BC}"/>
    <cellStyle name="20% - Akzent2 65 3" xfId="21140" xr:uid="{D2C9B410-5320-4055-AFE2-706013BA40B4}"/>
    <cellStyle name="20% - Akzent2 66" xfId="1565" xr:uid="{94A4D7F2-C2D0-4716-A0FC-BA08AB31CCA1}"/>
    <cellStyle name="20% - Akzent2 66 2" xfId="1566" xr:uid="{58788B63-74DE-4F82-B261-5FF2A68B586C}"/>
    <cellStyle name="20% - Akzent2 66 2 2" xfId="21143" xr:uid="{A274909C-439F-4A88-BB7A-57C644EDB6D4}"/>
    <cellStyle name="20% - Akzent2 66 3" xfId="21142" xr:uid="{5E905194-412F-4BEC-B1A9-8021E49B3B00}"/>
    <cellStyle name="20% - Akzent2 67" xfId="1567" xr:uid="{6B820F63-D741-4C7F-BF2D-7123EA00EC27}"/>
    <cellStyle name="20% - Akzent2 67 2" xfId="1568" xr:uid="{AC9F464C-4280-4482-9790-108B00A0BFA5}"/>
    <cellStyle name="20% - Akzent2 67 2 2" xfId="21145" xr:uid="{978E0DBC-970C-4DA1-A489-D0EE666A2E51}"/>
    <cellStyle name="20% - Akzent2 67 3" xfId="21144" xr:uid="{88E52A2B-D5DF-4FD6-984A-B5225EED6743}"/>
    <cellStyle name="20% - Akzent2 68" xfId="1569" xr:uid="{53C8369A-F3AD-4CA7-85EC-C34C53B04167}"/>
    <cellStyle name="20% - Akzent2 68 2" xfId="1570" xr:uid="{18EE7753-92B5-460F-872B-C3B8898A7294}"/>
    <cellStyle name="20% - Akzent2 68 2 2" xfId="21147" xr:uid="{A26183BF-37F0-4CA2-A6B0-2057C437A9C7}"/>
    <cellStyle name="20% - Akzent2 68 3" xfId="21146" xr:uid="{5CCBDD75-7239-4A58-81F8-CBCDE98ED4A9}"/>
    <cellStyle name="20% - Akzent2 69" xfId="1571" xr:uid="{79C196A4-DE76-46DF-868F-E0C85748597F}"/>
    <cellStyle name="20% - Akzent2 69 2" xfId="1572" xr:uid="{6C20D8BF-8376-4317-A985-6E0E7E62F5B1}"/>
    <cellStyle name="20% - Akzent2 69 2 2" xfId="21149" xr:uid="{E8AFC8D2-7FED-4A6B-B8B6-1666588E60CF}"/>
    <cellStyle name="20% - Akzent2 69 3" xfId="21148" xr:uid="{D41D5A7D-6DAF-48ED-9D86-83C08764A92E}"/>
    <cellStyle name="20% - Akzent2 7" xfId="1573" xr:uid="{1636AE9C-47C8-4AA1-ABE7-F02AD902A5A9}"/>
    <cellStyle name="20% - Akzent2 7 10" xfId="1574" xr:uid="{8E9F8DEF-4643-4671-B351-BBDB1BC6272B}"/>
    <cellStyle name="20% - Akzent2 7 10 2" xfId="1575" xr:uid="{7835DB8B-1A32-4D13-8597-3E140FBA6FD5}"/>
    <cellStyle name="20% - Akzent2 7 10 2 2" xfId="21152" xr:uid="{D2D46648-B533-4C7F-95B9-46DA4B03D932}"/>
    <cellStyle name="20% - Akzent2 7 10 3" xfId="21151" xr:uid="{D5D0D357-4BE0-4A84-91BC-47E292D4317B}"/>
    <cellStyle name="20% - Akzent2 7 11" xfId="1576" xr:uid="{D6183B86-454A-4AE5-9E35-8ACECB6E60D8}"/>
    <cellStyle name="20% - Akzent2 7 11 2" xfId="1577" xr:uid="{19018CDA-8DC7-4F49-BD6D-54E917B543B9}"/>
    <cellStyle name="20% - Akzent2 7 11 2 2" xfId="21154" xr:uid="{A37D9626-E6B8-428F-A683-6FE7F95129AA}"/>
    <cellStyle name="20% - Akzent2 7 11 3" xfId="21153" xr:uid="{19DD05FC-AAC6-47CB-84A8-061D099EB087}"/>
    <cellStyle name="20% - Akzent2 7 12" xfId="1578" xr:uid="{B4237E06-8018-40BC-885C-34EF57A4879D}"/>
    <cellStyle name="20% - Akzent2 7 12 2" xfId="1579" xr:uid="{B523C705-737E-41E1-8455-DB9A2255EA99}"/>
    <cellStyle name="20% - Akzent2 7 12 2 2" xfId="21156" xr:uid="{ED4A65EA-9E6B-4AAF-98B0-AAB253013EDE}"/>
    <cellStyle name="20% - Akzent2 7 12 3" xfId="21155" xr:uid="{EB877A67-92DD-47F9-B5E2-08699F435856}"/>
    <cellStyle name="20% - Akzent2 7 13" xfId="1580" xr:uid="{19666D97-CB2B-494B-B63B-69F37ABBAB64}"/>
    <cellStyle name="20% - Akzent2 7 13 2" xfId="1581" xr:uid="{BBD1A03E-BFDC-4661-A496-E9D8AE0868C2}"/>
    <cellStyle name="20% - Akzent2 7 13 2 2" xfId="21158" xr:uid="{33758757-297B-432F-88A3-A2B6B36859A1}"/>
    <cellStyle name="20% - Akzent2 7 13 3" xfId="21157" xr:uid="{57654022-B575-4B21-BAAE-0FFBDE01FA32}"/>
    <cellStyle name="20% - Akzent2 7 14" xfId="1582" xr:uid="{B2FD13A0-B9A3-4E1E-BE4D-ABE6D7E24F07}"/>
    <cellStyle name="20% - Akzent2 7 14 2" xfId="1583" xr:uid="{D5C87853-71DD-429C-8A2D-CE5638ACCEAC}"/>
    <cellStyle name="20% - Akzent2 7 14 2 2" xfId="21160" xr:uid="{6DBA1BAE-F65F-4354-97A5-9CB77877942F}"/>
    <cellStyle name="20% - Akzent2 7 14 3" xfId="21159" xr:uid="{3E0FD7CE-584A-4D64-BE31-753B635D26AD}"/>
    <cellStyle name="20% - Akzent2 7 15" xfId="1584" xr:uid="{1EB80ADE-78D0-439D-8990-23046FE9656D}"/>
    <cellStyle name="20% - Akzent2 7 15 2" xfId="1585" xr:uid="{996A81EC-0894-45CF-B31E-D93440E05B87}"/>
    <cellStyle name="20% - Akzent2 7 15 2 2" xfId="21162" xr:uid="{7807F8CF-0B6C-4367-833D-D3786CC5CF96}"/>
    <cellStyle name="20% - Akzent2 7 15 3" xfId="21161" xr:uid="{1DB50AF5-D1E9-4817-8682-AE328811B1BD}"/>
    <cellStyle name="20% - Akzent2 7 16" xfId="1586" xr:uid="{D26122B1-25F4-47A2-BADA-95D082CAB14B}"/>
    <cellStyle name="20% - Akzent2 7 16 2" xfId="1587" xr:uid="{8F7F15EB-E5FF-4B72-A4B0-E9525C48515D}"/>
    <cellStyle name="20% - Akzent2 7 16 2 2" xfId="21164" xr:uid="{7D16EA15-CAC0-42F7-8885-ACF7EA0A7E77}"/>
    <cellStyle name="20% - Akzent2 7 16 3" xfId="21163" xr:uid="{897D6946-2256-40A3-9FA9-50C7A4C5AC49}"/>
    <cellStyle name="20% - Akzent2 7 17" xfId="1588" xr:uid="{D14942B8-0596-4CA0-8F5A-CEA3CAEC455E}"/>
    <cellStyle name="20% - Akzent2 7 17 2" xfId="1589" xr:uid="{21F90005-B2A6-43CF-B980-8F87DD86B6C9}"/>
    <cellStyle name="20% - Akzent2 7 17 2 2" xfId="21166" xr:uid="{67CF6AB0-6D17-491D-B7B7-EC459E3E02CD}"/>
    <cellStyle name="20% - Akzent2 7 17 3" xfId="21165" xr:uid="{7333E72F-C763-4B0A-B361-9252BE99EB4D}"/>
    <cellStyle name="20% - Akzent2 7 18" xfId="1590" xr:uid="{52CB9FBB-586B-4A84-BD4F-CFCB318397F9}"/>
    <cellStyle name="20% - Akzent2 7 18 2" xfId="1591" xr:uid="{434520BF-9888-42B0-A393-BF942F1F41D3}"/>
    <cellStyle name="20% - Akzent2 7 18 2 2" xfId="21168" xr:uid="{1A97D74E-1F3E-4BCB-A52B-F3A936D1B00F}"/>
    <cellStyle name="20% - Akzent2 7 18 3" xfId="21167" xr:uid="{C321ED0D-DACB-41EA-AD2B-92304DC1EC1D}"/>
    <cellStyle name="20% - Akzent2 7 19" xfId="1592" xr:uid="{9E78E9A0-1610-4447-89CD-E29E71DED395}"/>
    <cellStyle name="20% - Akzent2 7 19 2" xfId="1593" xr:uid="{4B881E12-1DF5-4A33-A49E-262332470684}"/>
    <cellStyle name="20% - Akzent2 7 19 2 2" xfId="21170" xr:uid="{F50D38F7-D8AB-46B5-81E7-B097D179B4FE}"/>
    <cellStyle name="20% - Akzent2 7 19 3" xfId="21169" xr:uid="{528E2CE7-AEE4-43CE-91D4-EDDC9529619A}"/>
    <cellStyle name="20% - Akzent2 7 2" xfId="1594" xr:uid="{1435E5E9-EB6F-4AA0-81DE-A5902EA75DD9}"/>
    <cellStyle name="20% - Akzent2 7 2 2" xfId="1595" xr:uid="{4849D4FA-B96F-417F-929A-BF890EF7FF5B}"/>
    <cellStyle name="20% - Akzent2 7 2 2 2" xfId="21172" xr:uid="{C9362030-D0E9-492D-A577-097CECFEFB18}"/>
    <cellStyle name="20% - Akzent2 7 2 3" xfId="21171" xr:uid="{292C7A21-F1B2-4056-BDD5-C6016D2E2891}"/>
    <cellStyle name="20% - Akzent2 7 20" xfId="1596" xr:uid="{E5116969-CA5D-410F-9DD4-A000675BA921}"/>
    <cellStyle name="20% - Akzent2 7 20 2" xfId="1597" xr:uid="{4B624AD9-7565-4E62-850D-8A62FCE7CECF}"/>
    <cellStyle name="20% - Akzent2 7 20 2 2" xfId="21174" xr:uid="{1212C3BB-A72A-42EA-A3F0-D0EC31AF5948}"/>
    <cellStyle name="20% - Akzent2 7 20 3" xfId="21173" xr:uid="{B1014B86-10AB-4B01-A165-BFCD0E7F30FD}"/>
    <cellStyle name="20% - Akzent2 7 21" xfId="1598" xr:uid="{E8C195FE-63C3-4CD3-A462-CFBB687094B6}"/>
    <cellStyle name="20% - Akzent2 7 21 2" xfId="1599" xr:uid="{E524ADC1-C6CB-42A2-AF21-E5F02E596971}"/>
    <cellStyle name="20% - Akzent2 7 21 2 2" xfId="21176" xr:uid="{BBEE4C8B-A4A9-4199-8568-D44F39D6FD79}"/>
    <cellStyle name="20% - Akzent2 7 21 3" xfId="21175" xr:uid="{15018F7A-0726-4583-82CF-E41F04205670}"/>
    <cellStyle name="20% - Akzent2 7 22" xfId="1600" xr:uid="{0B571851-64C9-48A8-9848-7944E1537374}"/>
    <cellStyle name="20% - Akzent2 7 23" xfId="21150" xr:uid="{8606ED8F-B312-43D2-9A4F-EC266EE0D53F}"/>
    <cellStyle name="20% - Akzent2 7 3" xfId="1601" xr:uid="{55975BDE-C951-4469-96A2-AA6E63485C00}"/>
    <cellStyle name="20% - Akzent2 7 3 2" xfId="1602" xr:uid="{23F92F64-8F0C-4CEA-AC51-EE170226939B}"/>
    <cellStyle name="20% - Akzent2 7 3 2 2" xfId="21178" xr:uid="{BEEE152B-3182-47C9-9332-DADCE9779261}"/>
    <cellStyle name="20% - Akzent2 7 3 3" xfId="21177" xr:uid="{B8249E8E-9A1B-42DD-AABE-061603D983C3}"/>
    <cellStyle name="20% - Akzent2 7 4" xfId="1603" xr:uid="{7E17A6B9-6759-4BC6-9572-E23178CB2581}"/>
    <cellStyle name="20% - Akzent2 7 4 2" xfId="1604" xr:uid="{DB16C9D7-C79E-437B-AC54-CF64A3A608B9}"/>
    <cellStyle name="20% - Akzent2 7 4 2 2" xfId="21180" xr:uid="{7B02C7A7-33D5-454D-8346-CA610917E96F}"/>
    <cellStyle name="20% - Akzent2 7 4 3" xfId="21179" xr:uid="{843610EE-E65E-4325-AA5C-CFCC43DD9C22}"/>
    <cellStyle name="20% - Akzent2 7 5" xfId="1605" xr:uid="{38E5C61F-6168-4C50-97D2-B88C29E9CE44}"/>
    <cellStyle name="20% - Akzent2 7 5 2" xfId="1606" xr:uid="{35DB9AD3-5DF3-4B64-81A4-FF4B35368867}"/>
    <cellStyle name="20% - Akzent2 7 5 2 2" xfId="21182" xr:uid="{D4EACB3A-5A55-43B8-8756-C5E6ABCC410F}"/>
    <cellStyle name="20% - Akzent2 7 5 3" xfId="21181" xr:uid="{F8B13FD3-849A-476B-B75B-FF671BD9CCB8}"/>
    <cellStyle name="20% - Akzent2 7 6" xfId="1607" xr:uid="{A64F4967-7DBE-430A-9B3B-8ACC143D7ADF}"/>
    <cellStyle name="20% - Akzent2 7 6 2" xfId="1608" xr:uid="{C435B08E-1093-4B2A-8743-B985C94E2A9C}"/>
    <cellStyle name="20% - Akzent2 7 6 2 2" xfId="21184" xr:uid="{338B2D8F-03B1-4CCD-AF3C-57059816A417}"/>
    <cellStyle name="20% - Akzent2 7 6 3" xfId="21183" xr:uid="{E377E0BD-73A0-4E47-A476-BD95513C31D4}"/>
    <cellStyle name="20% - Akzent2 7 7" xfId="1609" xr:uid="{41DCF943-7E57-47C1-9388-42F4510360A8}"/>
    <cellStyle name="20% - Akzent2 7 7 2" xfId="1610" xr:uid="{F91B78F7-C3FC-41D4-824E-1F12139D1340}"/>
    <cellStyle name="20% - Akzent2 7 7 2 2" xfId="21186" xr:uid="{F92DA567-5DAF-400A-9B63-D4CA1C586522}"/>
    <cellStyle name="20% - Akzent2 7 7 3" xfId="21185" xr:uid="{210EEC09-1CF5-44CE-BAD8-6BD021F61301}"/>
    <cellStyle name="20% - Akzent2 7 8" xfId="1611" xr:uid="{0F56CABB-EA55-4EA8-BA58-C4055086743A}"/>
    <cellStyle name="20% - Akzent2 7 8 2" xfId="1612" xr:uid="{FFA895B4-6915-4EDC-81D2-7F11688C040F}"/>
    <cellStyle name="20% - Akzent2 7 8 2 2" xfId="21188" xr:uid="{DE93CE5E-B438-4F72-9B6B-B2F7AF015610}"/>
    <cellStyle name="20% - Akzent2 7 8 3" xfId="21187" xr:uid="{A8CE1877-1EA6-4700-9023-389603BA99E0}"/>
    <cellStyle name="20% - Akzent2 7 9" xfId="1613" xr:uid="{93D937D9-7DA7-40A1-9D36-960700948A4E}"/>
    <cellStyle name="20% - Akzent2 7 9 2" xfId="1614" xr:uid="{E5A7D678-3C2B-49CC-BA6D-DC5D3EF0433C}"/>
    <cellStyle name="20% - Akzent2 7 9 2 2" xfId="21190" xr:uid="{3453A5BB-FDDA-4F81-A4C9-7F6948280B06}"/>
    <cellStyle name="20% - Akzent2 7 9 3" xfId="21189" xr:uid="{C79B7A20-DC5A-43C9-834D-993078530E87}"/>
    <cellStyle name="20% - Akzent2 70" xfId="1615" xr:uid="{B075D3DB-3E94-48AD-A0FB-1FB2E288B09B}"/>
    <cellStyle name="20% - Akzent2 70 2" xfId="21191" xr:uid="{79898481-3448-4CCF-A247-711A9C49FC48}"/>
    <cellStyle name="20% - Akzent2 71" xfId="940" xr:uid="{4448B526-8904-44CA-8CC1-D8D93F6BF33A}"/>
    <cellStyle name="20% - Akzent2 8" xfId="1616" xr:uid="{A1FCCD03-AB5A-4016-8871-4CCBB23CDF05}"/>
    <cellStyle name="20% - Akzent2 8 10" xfId="1617" xr:uid="{A304558E-4387-4E7E-BE4C-5B3F2264DB12}"/>
    <cellStyle name="20% - Akzent2 8 10 2" xfId="1618" xr:uid="{F9DD1743-EBE0-419E-AF0B-306B835A63B0}"/>
    <cellStyle name="20% - Akzent2 8 10 2 2" xfId="21194" xr:uid="{26EBEA2C-1748-413F-80D5-92739AACE27E}"/>
    <cellStyle name="20% - Akzent2 8 10 3" xfId="21193" xr:uid="{7A879E68-9317-4EB1-BEC0-ADE2DDD47FC0}"/>
    <cellStyle name="20% - Akzent2 8 11" xfId="1619" xr:uid="{587EF7B4-3BEE-40B5-8498-5B97F1B2C128}"/>
    <cellStyle name="20% - Akzent2 8 11 2" xfId="1620" xr:uid="{70E37798-DF45-4E4F-9B1E-99BE42A2F5B3}"/>
    <cellStyle name="20% - Akzent2 8 11 2 2" xfId="21196" xr:uid="{05F441E0-D3B4-486E-8ABC-C354A9CC0D24}"/>
    <cellStyle name="20% - Akzent2 8 11 3" xfId="21195" xr:uid="{D4C7355A-52B3-4828-B1B5-EB188D7003C1}"/>
    <cellStyle name="20% - Akzent2 8 12" xfId="1621" xr:uid="{721A1394-1289-4818-8B82-20B418925BEA}"/>
    <cellStyle name="20% - Akzent2 8 12 2" xfId="1622" xr:uid="{E93E6AED-D019-400A-A2CD-54D8673311A1}"/>
    <cellStyle name="20% - Akzent2 8 12 2 2" xfId="21198" xr:uid="{A60D86A4-0610-40B6-A5C3-35743FBD082B}"/>
    <cellStyle name="20% - Akzent2 8 12 3" xfId="21197" xr:uid="{633504B4-F40B-49DE-9838-75DD0BB8AE7A}"/>
    <cellStyle name="20% - Akzent2 8 13" xfId="1623" xr:uid="{DF45A1EE-6E20-44B6-A7BE-DF8FFA25EE25}"/>
    <cellStyle name="20% - Akzent2 8 13 2" xfId="1624" xr:uid="{89FEC6A1-F508-4F93-B712-E1A5CBB1EA24}"/>
    <cellStyle name="20% - Akzent2 8 13 2 2" xfId="21200" xr:uid="{6538017A-75C7-4E85-A1B6-32F62FFFB1B3}"/>
    <cellStyle name="20% - Akzent2 8 13 3" xfId="21199" xr:uid="{38D34499-45D6-479C-AAF5-A0DE685BB5DD}"/>
    <cellStyle name="20% - Akzent2 8 14" xfId="1625" xr:uid="{1A0C71B1-2F4C-4981-89B9-6E84DF4D78B0}"/>
    <cellStyle name="20% - Akzent2 8 14 2" xfId="1626" xr:uid="{2C4BAA93-6BD8-4FDC-A492-FFB64E205812}"/>
    <cellStyle name="20% - Akzent2 8 14 2 2" xfId="21202" xr:uid="{7180C264-AB8E-42BD-BB3D-13EAD361D9F3}"/>
    <cellStyle name="20% - Akzent2 8 14 3" xfId="21201" xr:uid="{F559F09A-9004-4CB5-BE09-3E8B1B7DF059}"/>
    <cellStyle name="20% - Akzent2 8 15" xfId="1627" xr:uid="{B271BFAE-87FD-4A43-A2C7-3A4E43311EE0}"/>
    <cellStyle name="20% - Akzent2 8 15 2" xfId="1628" xr:uid="{9A6962C5-5B67-4FAD-B56E-DE58C59FA9D9}"/>
    <cellStyle name="20% - Akzent2 8 15 2 2" xfId="21204" xr:uid="{6F9BB626-9BE7-4484-B9B8-B2366B67E7CF}"/>
    <cellStyle name="20% - Akzent2 8 15 3" xfId="21203" xr:uid="{97053E98-2A56-44A3-8586-8434CBAE91C8}"/>
    <cellStyle name="20% - Akzent2 8 16" xfId="1629" xr:uid="{2B36CD45-4EDE-4C6E-9C6E-B8EEFBE24E63}"/>
    <cellStyle name="20% - Akzent2 8 16 2" xfId="1630" xr:uid="{3356E4B5-5EB3-4360-A0EB-E19BE08BA076}"/>
    <cellStyle name="20% - Akzent2 8 16 2 2" xfId="21206" xr:uid="{35634E36-F080-425F-A4E8-9FC1790D3D6E}"/>
    <cellStyle name="20% - Akzent2 8 16 3" xfId="21205" xr:uid="{DB9B85EA-2408-47D4-8E3C-45CE15B52690}"/>
    <cellStyle name="20% - Akzent2 8 17" xfId="1631" xr:uid="{CF3CCFD3-0B23-4568-A2DA-498C5510E329}"/>
    <cellStyle name="20% - Akzent2 8 17 2" xfId="1632" xr:uid="{643B4350-678E-4AD2-83AB-6FC278903FC3}"/>
    <cellStyle name="20% - Akzent2 8 17 2 2" xfId="21208" xr:uid="{80A21A09-11EC-44D9-A19D-5422F8E157D6}"/>
    <cellStyle name="20% - Akzent2 8 17 3" xfId="21207" xr:uid="{A1C23243-3650-4417-A909-481F4E562741}"/>
    <cellStyle name="20% - Akzent2 8 18" xfId="1633" xr:uid="{79A7D7C6-4C98-4A7F-813D-DBC9187E22F7}"/>
    <cellStyle name="20% - Akzent2 8 18 2" xfId="1634" xr:uid="{537AA3C0-F129-4A28-B64E-2EFEE57F0262}"/>
    <cellStyle name="20% - Akzent2 8 18 2 2" xfId="21210" xr:uid="{6A0617DA-1D4B-466B-ADC5-D867CCDA948B}"/>
    <cellStyle name="20% - Akzent2 8 18 3" xfId="21209" xr:uid="{4CCCE93A-95AD-44F8-8101-1EA21FC6B451}"/>
    <cellStyle name="20% - Akzent2 8 19" xfId="1635" xr:uid="{15E8D3AB-BDCF-43FC-9A5A-4F8DC11F1E77}"/>
    <cellStyle name="20% - Akzent2 8 19 2" xfId="1636" xr:uid="{F71DC767-3017-4C3E-B841-E07E8E4B4D74}"/>
    <cellStyle name="20% - Akzent2 8 19 2 2" xfId="21212" xr:uid="{07D9C007-889A-43CF-9D2D-86C5F4492078}"/>
    <cellStyle name="20% - Akzent2 8 19 3" xfId="21211" xr:uid="{9CB4D126-9EF2-4F85-B453-AD9C6D4E2903}"/>
    <cellStyle name="20% - Akzent2 8 2" xfId="1637" xr:uid="{5ECC14BC-7BE5-4227-8FD0-F8F38EFE2CF8}"/>
    <cellStyle name="20% - Akzent2 8 2 2" xfId="1638" xr:uid="{1B13DAD0-8BC8-41EC-873D-8E494874492D}"/>
    <cellStyle name="20% - Akzent2 8 2 2 2" xfId="21214" xr:uid="{E3BAF077-BA6B-4F7A-AB61-56F80A020A69}"/>
    <cellStyle name="20% - Akzent2 8 2 3" xfId="21213" xr:uid="{9EF49DF6-4429-4155-B143-2356594415F9}"/>
    <cellStyle name="20% - Akzent2 8 20" xfId="1639" xr:uid="{A48A9CE3-3BBC-45FE-8610-E38846872471}"/>
    <cellStyle name="20% - Akzent2 8 20 2" xfId="1640" xr:uid="{EF3FCC24-BEB9-4E8E-BC5D-5339004A470A}"/>
    <cellStyle name="20% - Akzent2 8 20 2 2" xfId="21216" xr:uid="{B2D26A4D-7025-40A8-B9EC-63D798E2D5E5}"/>
    <cellStyle name="20% - Akzent2 8 20 3" xfId="21215" xr:uid="{06DC5DD8-DAE2-4BCE-B911-19D6A07B16CA}"/>
    <cellStyle name="20% - Akzent2 8 21" xfId="1641" xr:uid="{B70B3651-309F-431A-8FC7-BC9C7E8CB2FC}"/>
    <cellStyle name="20% - Akzent2 8 21 2" xfId="1642" xr:uid="{A93BB212-5F91-465B-9C91-D361315F2009}"/>
    <cellStyle name="20% - Akzent2 8 21 2 2" xfId="21218" xr:uid="{5CA29038-9B66-4D41-B1FF-4A52A0005FFB}"/>
    <cellStyle name="20% - Akzent2 8 21 3" xfId="21217" xr:uid="{0B108E19-CC6C-431A-9203-7FC39EA85378}"/>
    <cellStyle name="20% - Akzent2 8 22" xfId="1643" xr:uid="{C7151B6D-709E-41E2-810D-D14B486BBCC9}"/>
    <cellStyle name="20% - Akzent2 8 23" xfId="21192" xr:uid="{D967E1B3-8DD7-4D20-8F87-D9EA0421E8E1}"/>
    <cellStyle name="20% - Akzent2 8 3" xfId="1644" xr:uid="{15155861-BECB-447D-8F19-CFD896D7EEEE}"/>
    <cellStyle name="20% - Akzent2 8 3 2" xfId="1645" xr:uid="{FA0C8AA2-00D2-40B6-8AFF-9B0602DA3AF5}"/>
    <cellStyle name="20% - Akzent2 8 3 2 2" xfId="21220" xr:uid="{F5F10A27-17E6-4887-AE79-9F5D6B235262}"/>
    <cellStyle name="20% - Akzent2 8 3 3" xfId="21219" xr:uid="{2993179E-5474-46BE-A795-CD277D4CC160}"/>
    <cellStyle name="20% - Akzent2 8 4" xfId="1646" xr:uid="{C7F56E92-2D0B-489B-B26F-4DC58C565391}"/>
    <cellStyle name="20% - Akzent2 8 4 2" xfId="1647" xr:uid="{8765F4D5-75AA-41A5-BED4-68CFDC820FE1}"/>
    <cellStyle name="20% - Akzent2 8 4 2 2" xfId="21222" xr:uid="{46146C7B-E885-4AB4-845C-D4B919DAD158}"/>
    <cellStyle name="20% - Akzent2 8 4 3" xfId="21221" xr:uid="{B333FB49-A88D-43C0-B024-496154772263}"/>
    <cellStyle name="20% - Akzent2 8 5" xfId="1648" xr:uid="{529D3D93-C91C-496B-8153-B9B643773A82}"/>
    <cellStyle name="20% - Akzent2 8 5 2" xfId="1649" xr:uid="{9C383F67-A938-405E-AFC6-8B4547783DC3}"/>
    <cellStyle name="20% - Akzent2 8 5 2 2" xfId="21224" xr:uid="{40EBCA0A-0CD2-4C3F-9ED7-921D915F542D}"/>
    <cellStyle name="20% - Akzent2 8 5 3" xfId="21223" xr:uid="{0E020EE8-F9A6-4D15-9143-AB8ADF8E2946}"/>
    <cellStyle name="20% - Akzent2 8 6" xfId="1650" xr:uid="{7DA22CA3-E6AD-4842-B861-8097C0021F82}"/>
    <cellStyle name="20% - Akzent2 8 6 2" xfId="1651" xr:uid="{C2ACC548-CF53-4E3B-BC90-CCFDA78D28C5}"/>
    <cellStyle name="20% - Akzent2 8 6 2 2" xfId="21226" xr:uid="{488BBE6E-ECFE-461C-9F5A-CE62305B7494}"/>
    <cellStyle name="20% - Akzent2 8 6 3" xfId="21225" xr:uid="{343EA5F9-7650-4F4B-818D-96DD70546FEE}"/>
    <cellStyle name="20% - Akzent2 8 7" xfId="1652" xr:uid="{3A571D56-2A8C-46EC-9811-19B3824593F4}"/>
    <cellStyle name="20% - Akzent2 8 7 2" xfId="1653" xr:uid="{81CDCA23-39C9-458C-B8DB-E98934CB0DDA}"/>
    <cellStyle name="20% - Akzent2 8 7 2 2" xfId="21228" xr:uid="{A789EF89-4272-4DCA-8C51-93E6E7038C3F}"/>
    <cellStyle name="20% - Akzent2 8 7 3" xfId="21227" xr:uid="{95A7EFD4-F798-474D-BE44-FF08511699D6}"/>
    <cellStyle name="20% - Akzent2 8 8" xfId="1654" xr:uid="{5B637808-5CB0-4B6B-9A69-59B2EC40E417}"/>
    <cellStyle name="20% - Akzent2 8 8 2" xfId="1655" xr:uid="{F9A23AD8-34BC-4A9A-ABD3-3A635D414BB0}"/>
    <cellStyle name="20% - Akzent2 8 8 2 2" xfId="21230" xr:uid="{A38095B0-B096-470A-9AA2-08F376A184E6}"/>
    <cellStyle name="20% - Akzent2 8 8 3" xfId="21229" xr:uid="{5A52F2EC-5A73-43A5-ABF7-CF4050D55F4B}"/>
    <cellStyle name="20% - Akzent2 8 9" xfId="1656" xr:uid="{4CEFC651-D0F0-4085-B171-21D19624E812}"/>
    <cellStyle name="20% - Akzent2 8 9 2" xfId="1657" xr:uid="{B79A732E-6B59-4418-8171-CE4F17951BA3}"/>
    <cellStyle name="20% - Akzent2 8 9 2 2" xfId="21232" xr:uid="{19971D99-A893-447D-B18A-D9A1A0AF55A1}"/>
    <cellStyle name="20% - Akzent2 8 9 3" xfId="21231" xr:uid="{C71C5FA2-23A8-4EE1-BB5E-47945CA0F1B1}"/>
    <cellStyle name="20% - Akzent2 9" xfId="1658" xr:uid="{91FF4972-EE4C-4DF5-8D1D-963CD3C53DF8}"/>
    <cellStyle name="20% - Akzent2 9 10" xfId="1659" xr:uid="{C9F0B932-D390-4613-9BC3-D76B0EC4C407}"/>
    <cellStyle name="20% - Akzent2 9 10 2" xfId="1660" xr:uid="{8958844F-CA9E-4D2A-9532-DB461014B074}"/>
    <cellStyle name="20% - Akzent2 9 10 2 2" xfId="21235" xr:uid="{0005FCF1-8BCF-4B7A-95BE-DAC8FC5FA1B9}"/>
    <cellStyle name="20% - Akzent2 9 10 3" xfId="21234" xr:uid="{A8A2AAC4-3E0B-4D97-9432-6A66D8E03A0E}"/>
    <cellStyle name="20% - Akzent2 9 11" xfId="1661" xr:uid="{DE718A0B-52DB-46D1-BC51-311C2CA367A0}"/>
    <cellStyle name="20% - Akzent2 9 11 2" xfId="1662" xr:uid="{030EF5FB-58B8-4366-86B4-CFB7FB282A58}"/>
    <cellStyle name="20% - Akzent2 9 11 2 2" xfId="21237" xr:uid="{A3C376AF-F184-4C0E-ACF3-0BC449F4655A}"/>
    <cellStyle name="20% - Akzent2 9 11 3" xfId="21236" xr:uid="{D3B5B689-FC4A-44E2-9978-EA8F1A15D2D0}"/>
    <cellStyle name="20% - Akzent2 9 12" xfId="1663" xr:uid="{7D65018F-F651-46DC-9972-D4EF915E2851}"/>
    <cellStyle name="20% - Akzent2 9 12 2" xfId="1664" xr:uid="{05EFFCBC-8D91-4012-B3DA-5B7EFF174B70}"/>
    <cellStyle name="20% - Akzent2 9 12 2 2" xfId="21239" xr:uid="{714ADF2F-B6B4-4A80-AB8B-1A42C0E39D94}"/>
    <cellStyle name="20% - Akzent2 9 12 3" xfId="21238" xr:uid="{625EAA18-50A6-4E0C-84C5-1EFBB185BF9C}"/>
    <cellStyle name="20% - Akzent2 9 13" xfId="1665" xr:uid="{ACCD77F7-7C81-4F90-BA0F-C167E2D32B82}"/>
    <cellStyle name="20% - Akzent2 9 13 2" xfId="1666" xr:uid="{4B5BA483-19BD-4B62-B341-1C8A49390E32}"/>
    <cellStyle name="20% - Akzent2 9 13 2 2" xfId="21241" xr:uid="{CC542ADB-5315-4E18-A3C8-C92A32DE88FC}"/>
    <cellStyle name="20% - Akzent2 9 13 3" xfId="21240" xr:uid="{0F1ACC86-8B64-409B-8560-D446ACD61FA1}"/>
    <cellStyle name="20% - Akzent2 9 14" xfId="1667" xr:uid="{1FDB4F2E-F6BE-4A41-9BD1-FF947EE206A1}"/>
    <cellStyle name="20% - Akzent2 9 14 2" xfId="1668" xr:uid="{D66BD157-D3BC-45F5-95CB-7309E28C7811}"/>
    <cellStyle name="20% - Akzent2 9 14 2 2" xfId="21243" xr:uid="{C71583F1-BD14-4098-B4C0-B020E4127FAA}"/>
    <cellStyle name="20% - Akzent2 9 14 3" xfId="21242" xr:uid="{20CBFF57-4D0A-4534-A596-E23766D22346}"/>
    <cellStyle name="20% - Akzent2 9 15" xfId="1669" xr:uid="{73504416-A59E-40BA-BD4B-FAE5E3EF9C8B}"/>
    <cellStyle name="20% - Akzent2 9 15 2" xfId="1670" xr:uid="{65F4EBDC-D243-4BFB-9D77-FD1E2BEA4989}"/>
    <cellStyle name="20% - Akzent2 9 15 2 2" xfId="21245" xr:uid="{2A585A23-FF3A-41B4-ABA3-0C75D49F27F5}"/>
    <cellStyle name="20% - Akzent2 9 15 3" xfId="21244" xr:uid="{36017847-5049-48E2-B85E-BA8983417BE4}"/>
    <cellStyle name="20% - Akzent2 9 16" xfId="1671" xr:uid="{272B9C54-E2DC-439C-AF8C-1EFD82144748}"/>
    <cellStyle name="20% - Akzent2 9 16 2" xfId="1672" xr:uid="{4DADF885-F20A-4AC8-BCE7-7CCE190EAE5A}"/>
    <cellStyle name="20% - Akzent2 9 16 2 2" xfId="21247" xr:uid="{83D38D60-FEC5-4452-B0AB-33826C89E261}"/>
    <cellStyle name="20% - Akzent2 9 16 3" xfId="21246" xr:uid="{851A0DDD-A352-49A3-8A38-C1F1E845DE94}"/>
    <cellStyle name="20% - Akzent2 9 17" xfId="1673" xr:uid="{A8A58148-FCD0-46FD-9B99-2DBEBEEF38E0}"/>
    <cellStyle name="20% - Akzent2 9 17 2" xfId="1674" xr:uid="{29B65E47-07AA-4482-BD62-10A7E355629C}"/>
    <cellStyle name="20% - Akzent2 9 17 2 2" xfId="21249" xr:uid="{3EBCBED9-5213-4FF3-A89D-0897EB3109FF}"/>
    <cellStyle name="20% - Akzent2 9 17 3" xfId="21248" xr:uid="{ED70DD2D-5CB2-4F93-8F85-A053C919DF2B}"/>
    <cellStyle name="20% - Akzent2 9 18" xfId="1675" xr:uid="{39C691CD-A4A4-4D39-B22B-D884FFD890F3}"/>
    <cellStyle name="20% - Akzent2 9 18 2" xfId="1676" xr:uid="{55DA91C0-5804-414D-B37B-1B13A66F6F19}"/>
    <cellStyle name="20% - Akzent2 9 18 2 2" xfId="21251" xr:uid="{96A36632-1D10-40C4-9468-F7BA8ACE6EFB}"/>
    <cellStyle name="20% - Akzent2 9 18 3" xfId="21250" xr:uid="{253F7F54-6F36-41B5-BA34-986F010980ED}"/>
    <cellStyle name="20% - Akzent2 9 19" xfId="1677" xr:uid="{6E7225CC-40A5-4660-BEDA-330F1DC47E6F}"/>
    <cellStyle name="20% - Akzent2 9 19 2" xfId="1678" xr:uid="{D5870BD1-1F0D-4B7C-9127-7392E39CCF0F}"/>
    <cellStyle name="20% - Akzent2 9 19 2 2" xfId="21253" xr:uid="{C563F396-2EB2-4830-90BD-FFF45156E028}"/>
    <cellStyle name="20% - Akzent2 9 19 3" xfId="21252" xr:uid="{B190A778-894B-4B1B-B2BC-83F16FE412EA}"/>
    <cellStyle name="20% - Akzent2 9 2" xfId="1679" xr:uid="{B49E7058-9169-4CA4-A7F2-75D36CBCB5A1}"/>
    <cellStyle name="20% - Akzent2 9 2 2" xfId="1680" xr:uid="{C50598C6-D870-41F3-8314-D42258DE1542}"/>
    <cellStyle name="20% - Akzent2 9 2 2 2" xfId="21255" xr:uid="{52A3DC55-8502-4E21-A062-C2873241C3D8}"/>
    <cellStyle name="20% - Akzent2 9 2 3" xfId="21254" xr:uid="{0BD06EC2-0292-47B3-8E9E-41705BE5E367}"/>
    <cellStyle name="20% - Akzent2 9 20" xfId="1681" xr:uid="{7983B700-A2DF-4C61-A91C-2E607A198A13}"/>
    <cellStyle name="20% - Akzent2 9 20 2" xfId="1682" xr:uid="{32412578-7F0F-4350-B866-E88C1DC5D722}"/>
    <cellStyle name="20% - Akzent2 9 20 2 2" xfId="21257" xr:uid="{FF75D42A-CED6-4CC0-9D36-92B1E1186096}"/>
    <cellStyle name="20% - Akzent2 9 20 3" xfId="21256" xr:uid="{85524EF3-6F6C-4DC4-AE1B-B191D390C3A0}"/>
    <cellStyle name="20% - Akzent2 9 21" xfId="1683" xr:uid="{9C5F79F0-0775-4C7A-8042-5811DA92BFBB}"/>
    <cellStyle name="20% - Akzent2 9 21 2" xfId="1684" xr:uid="{58D41B3D-5B43-404C-8D26-F2803D1BB88D}"/>
    <cellStyle name="20% - Akzent2 9 21 2 2" xfId="21259" xr:uid="{2F517F02-C0B6-42DC-9F92-CEF16D24CFD4}"/>
    <cellStyle name="20% - Akzent2 9 21 3" xfId="21258" xr:uid="{091C78BD-8DAF-4978-965C-6311FD08E222}"/>
    <cellStyle name="20% - Akzent2 9 22" xfId="1685" xr:uid="{07D42D4C-C8B6-4BE1-AAA3-C07534E614EE}"/>
    <cellStyle name="20% - Akzent2 9 23" xfId="21233" xr:uid="{BAB39DF4-E025-4EED-A999-5EC0C9B76F62}"/>
    <cellStyle name="20% - Akzent2 9 3" xfId="1686" xr:uid="{B7BC1988-E9F1-418A-BE81-8EBFF3CDC5A7}"/>
    <cellStyle name="20% - Akzent2 9 3 2" xfId="1687" xr:uid="{F4052C30-F3C5-4AF2-B32A-B8C4501D049E}"/>
    <cellStyle name="20% - Akzent2 9 3 2 2" xfId="21261" xr:uid="{B37DD428-181F-46F4-814C-7BB26139364B}"/>
    <cellStyle name="20% - Akzent2 9 3 3" xfId="21260" xr:uid="{19D53147-1E8C-4331-98E6-3E39BAE1707A}"/>
    <cellStyle name="20% - Akzent2 9 4" xfId="1688" xr:uid="{2D7A4A80-4CAD-4570-8206-3963A98559A1}"/>
    <cellStyle name="20% - Akzent2 9 4 2" xfId="1689" xr:uid="{94964063-8D5C-4B5D-AF47-1E8BAABD732A}"/>
    <cellStyle name="20% - Akzent2 9 4 2 2" xfId="21263" xr:uid="{94C792EF-D429-4132-BE82-7322F3C5A5A1}"/>
    <cellStyle name="20% - Akzent2 9 4 3" xfId="21262" xr:uid="{19E51154-25B4-41F0-B56F-C5DB13A8EC4E}"/>
    <cellStyle name="20% - Akzent2 9 5" xfId="1690" xr:uid="{CB51C6DD-7C2E-4227-BF84-0E7028DD52A0}"/>
    <cellStyle name="20% - Akzent2 9 5 2" xfId="1691" xr:uid="{70A8DD9C-C5C9-457A-887A-25B2DDDFA730}"/>
    <cellStyle name="20% - Akzent2 9 5 2 2" xfId="21265" xr:uid="{1B543259-363F-4E29-A37B-2B1457C57B07}"/>
    <cellStyle name="20% - Akzent2 9 5 3" xfId="21264" xr:uid="{6E0B527C-8FE3-4A32-958E-384E8085C8A7}"/>
    <cellStyle name="20% - Akzent2 9 6" xfId="1692" xr:uid="{1E02BFE6-85E9-4AD6-BB39-6EAAB946E056}"/>
    <cellStyle name="20% - Akzent2 9 6 2" xfId="1693" xr:uid="{C59F0706-AC54-4444-8E3C-EE97273B805C}"/>
    <cellStyle name="20% - Akzent2 9 6 2 2" xfId="21267" xr:uid="{85C03A32-CB08-4A56-9249-265CA5EA96A8}"/>
    <cellStyle name="20% - Akzent2 9 6 3" xfId="21266" xr:uid="{A758AA8C-2A4C-4D37-9A39-913D938FE933}"/>
    <cellStyle name="20% - Akzent2 9 7" xfId="1694" xr:uid="{E1F24BD8-3F85-4500-9234-D80849E988C3}"/>
    <cellStyle name="20% - Akzent2 9 7 2" xfId="1695" xr:uid="{0152E270-762D-404C-9211-CFB1BF0DD654}"/>
    <cellStyle name="20% - Akzent2 9 7 2 2" xfId="21269" xr:uid="{EB08EFEF-3E5F-4232-BAC1-F6C533952A94}"/>
    <cellStyle name="20% - Akzent2 9 7 3" xfId="21268" xr:uid="{E220A823-EC88-449D-A160-5FF6FB936795}"/>
    <cellStyle name="20% - Akzent2 9 8" xfId="1696" xr:uid="{D49F2512-0956-4CBD-A0CB-C171EDC6404C}"/>
    <cellStyle name="20% - Akzent2 9 8 2" xfId="1697" xr:uid="{FCBB364A-7665-4598-A383-02A0F0C071C0}"/>
    <cellStyle name="20% - Akzent2 9 8 2 2" xfId="21271" xr:uid="{5A19BD54-D9DF-499F-8243-352213E70524}"/>
    <cellStyle name="20% - Akzent2 9 8 3" xfId="21270" xr:uid="{CBBB6DD0-AAA0-44DC-BFBE-582D2E089914}"/>
    <cellStyle name="20% - Akzent2 9 9" xfId="1698" xr:uid="{6E733B10-A1DF-4053-B4AA-FD9223316866}"/>
    <cellStyle name="20% - Akzent2 9 9 2" xfId="1699" xr:uid="{37D2DEFC-BC5E-41F0-888E-140F52D804B8}"/>
    <cellStyle name="20% - Akzent2 9 9 2 2" xfId="21273" xr:uid="{F9CFB929-FA7E-46C4-ACE5-F1644DDAF8A4}"/>
    <cellStyle name="20% - Akzent2 9 9 3" xfId="21272" xr:uid="{22556C6B-A1EB-4F31-BF4A-1E183DB7EBB5}"/>
    <cellStyle name="20% - Akzent3 10" xfId="1701" xr:uid="{46B9A5C6-D075-4319-BEA2-D28547FEDC79}"/>
    <cellStyle name="20% - Akzent3 10 10" xfId="1702" xr:uid="{5358014B-68C1-4377-93FB-79AABBD6A34F}"/>
    <cellStyle name="20% - Akzent3 10 10 2" xfId="1703" xr:uid="{84DC1CC0-6AFA-497C-96AB-EE99331D2042}"/>
    <cellStyle name="20% - Akzent3 10 10 2 2" xfId="21276" xr:uid="{00CB2CB9-602C-434A-98AA-0F90820F9BCE}"/>
    <cellStyle name="20% - Akzent3 10 10 3" xfId="21275" xr:uid="{71A786BC-84AE-497A-84C4-0095061EE8AC}"/>
    <cellStyle name="20% - Akzent3 10 11" xfId="1704" xr:uid="{CBF810F8-B716-446B-A2B7-A578DD012662}"/>
    <cellStyle name="20% - Akzent3 10 11 2" xfId="1705" xr:uid="{A8ED2EBF-21B4-4F44-9762-A6A00B08855D}"/>
    <cellStyle name="20% - Akzent3 10 11 2 2" xfId="21278" xr:uid="{CFDC2044-DECE-461A-9778-94072F89DF4D}"/>
    <cellStyle name="20% - Akzent3 10 11 3" xfId="21277" xr:uid="{3DE1295D-4990-4550-9FA0-A9C1E7C17A5B}"/>
    <cellStyle name="20% - Akzent3 10 12" xfId="1706" xr:uid="{42BD5167-1088-4A13-A76B-D6B2267B04A6}"/>
    <cellStyle name="20% - Akzent3 10 12 2" xfId="1707" xr:uid="{0441A9E8-62AD-40D1-BD40-94D8A996F800}"/>
    <cellStyle name="20% - Akzent3 10 12 2 2" xfId="21280" xr:uid="{AAF0B9C8-67EA-4815-A19B-C1C9041436B1}"/>
    <cellStyle name="20% - Akzent3 10 12 3" xfId="21279" xr:uid="{E10231D7-7367-40AE-8244-D8A64F57E617}"/>
    <cellStyle name="20% - Akzent3 10 13" xfId="1708" xr:uid="{F70785F8-8659-478B-9EC7-0B675B6C8D62}"/>
    <cellStyle name="20% - Akzent3 10 13 2" xfId="1709" xr:uid="{F44C6D49-E100-4535-9D5D-AD17DCCF83F6}"/>
    <cellStyle name="20% - Akzent3 10 13 2 2" xfId="21282" xr:uid="{693F5EC1-F188-4BB9-B2F7-36756D98DCB5}"/>
    <cellStyle name="20% - Akzent3 10 13 3" xfId="21281" xr:uid="{8A92322B-7B2E-4390-9400-FB4B202ABDFD}"/>
    <cellStyle name="20% - Akzent3 10 14" xfId="1710" xr:uid="{8CF6A9BE-1C24-4EFC-8243-DB670C2E528B}"/>
    <cellStyle name="20% - Akzent3 10 14 2" xfId="1711" xr:uid="{66A60810-E6A6-49CD-8AEC-61FF9DF41DF7}"/>
    <cellStyle name="20% - Akzent3 10 14 2 2" xfId="21284" xr:uid="{FDA36F4E-658D-4145-8834-9854C45ED224}"/>
    <cellStyle name="20% - Akzent3 10 14 3" xfId="21283" xr:uid="{64A1937B-2A02-4F3A-942B-B6D08DAC86E6}"/>
    <cellStyle name="20% - Akzent3 10 15" xfId="1712" xr:uid="{6A34486B-2B43-48B8-8600-E48E97AAD4DC}"/>
    <cellStyle name="20% - Akzent3 10 15 2" xfId="1713" xr:uid="{FA23CDFD-B517-41A5-8342-65DA5D754F8C}"/>
    <cellStyle name="20% - Akzent3 10 15 2 2" xfId="21286" xr:uid="{4B9CEAE1-9974-45DC-B9CC-7A8ABE5842BD}"/>
    <cellStyle name="20% - Akzent3 10 15 3" xfId="21285" xr:uid="{55DB2403-32D3-480A-BC6E-0BD0E0537745}"/>
    <cellStyle name="20% - Akzent3 10 16" xfId="1714" xr:uid="{E3493E60-F81B-47E9-9458-8B993735E572}"/>
    <cellStyle name="20% - Akzent3 10 16 2" xfId="1715" xr:uid="{33A293EF-16B1-4A97-A32E-995AC1C5D937}"/>
    <cellStyle name="20% - Akzent3 10 16 2 2" xfId="21288" xr:uid="{7383C26F-FC67-4B75-B3C2-C20006410E41}"/>
    <cellStyle name="20% - Akzent3 10 16 3" xfId="21287" xr:uid="{10E2161C-3828-4201-92C3-393F01F1A6B0}"/>
    <cellStyle name="20% - Akzent3 10 17" xfId="1716" xr:uid="{B31F77BA-4918-4805-A0AF-F10C58ECE3BF}"/>
    <cellStyle name="20% - Akzent3 10 17 2" xfId="1717" xr:uid="{F97CDFFD-078B-4704-A76A-B49CAAAEFCE8}"/>
    <cellStyle name="20% - Akzent3 10 17 2 2" xfId="21290" xr:uid="{F0C965AA-61DE-43D4-A50F-2D6DE2FAAAD0}"/>
    <cellStyle name="20% - Akzent3 10 17 3" xfId="21289" xr:uid="{64EB43DE-3C3F-4A66-983B-6BF74A462682}"/>
    <cellStyle name="20% - Akzent3 10 18" xfId="1718" xr:uid="{5479D857-96DC-4367-BDF4-0BBA1791BBCF}"/>
    <cellStyle name="20% - Akzent3 10 18 2" xfId="1719" xr:uid="{8AFDCD17-C030-4C12-ADD5-0B99593165F8}"/>
    <cellStyle name="20% - Akzent3 10 18 2 2" xfId="21292" xr:uid="{E5D140E9-2527-4735-9923-80C6C99E5FEC}"/>
    <cellStyle name="20% - Akzent3 10 18 3" xfId="21291" xr:uid="{811C14E7-E9D3-4005-9641-4CA553D1BA28}"/>
    <cellStyle name="20% - Akzent3 10 19" xfId="1720" xr:uid="{9E423319-BD04-4A28-8DC1-3529337D7D7D}"/>
    <cellStyle name="20% - Akzent3 10 19 2" xfId="1721" xr:uid="{9C5C0033-324E-4047-8ACB-236FC7C2028D}"/>
    <cellStyle name="20% - Akzent3 10 19 2 2" xfId="21294" xr:uid="{9B370369-318B-4444-ACED-C6E8FEB20701}"/>
    <cellStyle name="20% - Akzent3 10 19 3" xfId="21293" xr:uid="{3A608D66-31F6-4EB2-8204-EB22A4C52E08}"/>
    <cellStyle name="20% - Akzent3 10 2" xfId="1722" xr:uid="{1334FC87-1043-4549-852B-E57647D3BA8A}"/>
    <cellStyle name="20% - Akzent3 10 2 2" xfId="1723" xr:uid="{1934D7C8-B1E5-4CDA-9213-2626DBB4DB18}"/>
    <cellStyle name="20% - Akzent3 10 2 2 2" xfId="21296" xr:uid="{FD50509A-6151-495C-BFA5-4F21DB5E6366}"/>
    <cellStyle name="20% - Akzent3 10 2 3" xfId="21295" xr:uid="{E710BB0F-7319-429B-ADA2-6F382EA09C78}"/>
    <cellStyle name="20% - Akzent3 10 20" xfId="1724" xr:uid="{151581AD-AE6A-46F8-B4D3-CB08121855C3}"/>
    <cellStyle name="20% - Akzent3 10 20 2" xfId="1725" xr:uid="{BAD6F1DB-8966-4C84-A575-60E42EEA37C7}"/>
    <cellStyle name="20% - Akzent3 10 20 2 2" xfId="21298" xr:uid="{BEF8BA72-5782-4B9C-8EA0-E91071A5A4D8}"/>
    <cellStyle name="20% - Akzent3 10 20 3" xfId="21297" xr:uid="{439F3BEA-A27D-435D-952C-38E90498ABC7}"/>
    <cellStyle name="20% - Akzent3 10 21" xfId="1726" xr:uid="{5371B4C8-EA69-483F-9E3E-648BA7F214DE}"/>
    <cellStyle name="20% - Akzent3 10 21 2" xfId="1727" xr:uid="{69268B5F-5508-466A-A67D-BB2BF6C21D53}"/>
    <cellStyle name="20% - Akzent3 10 21 2 2" xfId="21300" xr:uid="{06488FD6-573C-4E52-8A14-238CA115133B}"/>
    <cellStyle name="20% - Akzent3 10 21 3" xfId="21299" xr:uid="{AC1C9B73-F869-40DC-8821-B062BC6F44BE}"/>
    <cellStyle name="20% - Akzent3 10 22" xfId="1728" xr:uid="{82C631F8-8A08-4FE5-B42B-D49CABBE9475}"/>
    <cellStyle name="20% - Akzent3 10 23" xfId="21274" xr:uid="{99F609EA-CBAC-4E52-9ECE-C2A27C089381}"/>
    <cellStyle name="20% - Akzent3 10 3" xfId="1729" xr:uid="{156E8AAA-4B58-49AF-93A2-3E6D475B6425}"/>
    <cellStyle name="20% - Akzent3 10 3 2" xfId="1730" xr:uid="{CA4D1B5F-10AB-4390-8DF8-440690E719A7}"/>
    <cellStyle name="20% - Akzent3 10 3 2 2" xfId="21302" xr:uid="{9E41F4DC-9F0D-4FD4-BCBA-E1ED43FFC08B}"/>
    <cellStyle name="20% - Akzent3 10 3 3" xfId="21301" xr:uid="{230BD84A-0CC8-477D-A017-E7AE08F6F67C}"/>
    <cellStyle name="20% - Akzent3 10 4" xfId="1731" xr:uid="{E22C1640-08CD-49A5-92B9-B9121F8ABF8C}"/>
    <cellStyle name="20% - Akzent3 10 4 2" xfId="1732" xr:uid="{F9EDCE09-C715-4C3B-B307-03629734947C}"/>
    <cellStyle name="20% - Akzent3 10 4 2 2" xfId="21304" xr:uid="{339703C1-47AF-4EF7-822F-7543985B678E}"/>
    <cellStyle name="20% - Akzent3 10 4 3" xfId="21303" xr:uid="{185AA089-416F-4878-A2AB-EAF85EAEF391}"/>
    <cellStyle name="20% - Akzent3 10 5" xfId="1733" xr:uid="{1B83770F-5EC0-4DF4-8BB6-917EDA67E5D5}"/>
    <cellStyle name="20% - Akzent3 10 5 2" xfId="1734" xr:uid="{A4B309F9-18B0-44DF-8BBA-AF6EC0C6FEDC}"/>
    <cellStyle name="20% - Akzent3 10 5 2 2" xfId="21306" xr:uid="{B11E2A8E-7AF4-48D4-886C-499FC14F1409}"/>
    <cellStyle name="20% - Akzent3 10 5 3" xfId="21305" xr:uid="{4EE30425-E0FA-4716-8FB2-E3191EC751A8}"/>
    <cellStyle name="20% - Akzent3 10 6" xfId="1735" xr:uid="{6BCAE0E9-587C-4998-B542-3592F7A13DD5}"/>
    <cellStyle name="20% - Akzent3 10 6 2" xfId="1736" xr:uid="{5B15DDBF-4F84-4EA0-93EF-78C4357E114F}"/>
    <cellStyle name="20% - Akzent3 10 6 2 2" xfId="21308" xr:uid="{A6151DDF-3C47-42CD-AB88-EF355096EB1C}"/>
    <cellStyle name="20% - Akzent3 10 6 3" xfId="21307" xr:uid="{B08606B9-24B1-4A57-9DCF-D6C5770555A4}"/>
    <cellStyle name="20% - Akzent3 10 7" xfId="1737" xr:uid="{D7668C24-725E-4460-9546-3FC885511EA6}"/>
    <cellStyle name="20% - Akzent3 10 7 2" xfId="1738" xr:uid="{FA999E76-A8E8-4384-9593-F9DEAAF684B1}"/>
    <cellStyle name="20% - Akzent3 10 7 2 2" xfId="21310" xr:uid="{1EDE98A8-6A72-44D9-8299-A08A8831BCEB}"/>
    <cellStyle name="20% - Akzent3 10 7 3" xfId="21309" xr:uid="{EE6BF581-0E7B-4985-83CA-1117FD49B5BB}"/>
    <cellStyle name="20% - Akzent3 10 8" xfId="1739" xr:uid="{A0C96CE0-5C55-41D0-B040-C044006E34C1}"/>
    <cellStyle name="20% - Akzent3 10 8 2" xfId="1740" xr:uid="{68A6A885-E49A-4226-9DAE-6DC3857E3FC4}"/>
    <cellStyle name="20% - Akzent3 10 8 2 2" xfId="21312" xr:uid="{65A89B48-B4DF-40E9-BE20-373347BAF25A}"/>
    <cellStyle name="20% - Akzent3 10 8 3" xfId="21311" xr:uid="{9FCB0B18-5768-4200-997B-16D5FDF11D69}"/>
    <cellStyle name="20% - Akzent3 10 9" xfId="1741" xr:uid="{CA021CDD-F21C-4755-B30A-E6E46D30A29F}"/>
    <cellStyle name="20% - Akzent3 10 9 2" xfId="1742" xr:uid="{1E933C85-A426-440C-BE60-FF34A10B0C37}"/>
    <cellStyle name="20% - Akzent3 10 9 2 2" xfId="21314" xr:uid="{0B708ED7-8003-4B0D-9F4A-DF9D737F1665}"/>
    <cellStyle name="20% - Akzent3 10 9 3" xfId="21313" xr:uid="{6F38B7B9-6004-4D18-8834-47D94C4D1BBF}"/>
    <cellStyle name="20% - Akzent3 11" xfId="1743" xr:uid="{2AB1AB1B-6B82-497C-B3DA-89CCAB26556B}"/>
    <cellStyle name="20% - Akzent3 11 10" xfId="1744" xr:uid="{A03A37A9-D73E-4A28-9C46-428B94FE74DA}"/>
    <cellStyle name="20% - Akzent3 11 10 2" xfId="1745" xr:uid="{57A02235-83F8-4012-A1FB-AE2F86933F13}"/>
    <cellStyle name="20% - Akzent3 11 10 2 2" xfId="21317" xr:uid="{F07F7AFF-80CE-4F8B-9B39-34B08FAEECDE}"/>
    <cellStyle name="20% - Akzent3 11 10 3" xfId="21316" xr:uid="{99BEF7F5-2079-4EF4-945F-3BCFE2F7A7E9}"/>
    <cellStyle name="20% - Akzent3 11 11" xfId="1746" xr:uid="{46759576-682B-4561-A66A-5A4D0E584531}"/>
    <cellStyle name="20% - Akzent3 11 11 2" xfId="1747" xr:uid="{CE40932B-637E-4A2B-81CA-A234E04D8CB4}"/>
    <cellStyle name="20% - Akzent3 11 11 2 2" xfId="21319" xr:uid="{256632B4-85D7-442A-800E-3F6B33EF1468}"/>
    <cellStyle name="20% - Akzent3 11 11 3" xfId="21318" xr:uid="{2D03BA0D-4352-4DF9-AF76-EFA0402DB6F6}"/>
    <cellStyle name="20% - Akzent3 11 12" xfId="1748" xr:uid="{C3B77673-23F5-4733-8B92-FB7906B7DCEB}"/>
    <cellStyle name="20% - Akzent3 11 12 2" xfId="1749" xr:uid="{658829DA-B1E3-4242-A7A0-C827FB4F9095}"/>
    <cellStyle name="20% - Akzent3 11 12 2 2" xfId="21321" xr:uid="{DF23F5C1-EEA3-4853-A373-D0CF0E0A0A8A}"/>
    <cellStyle name="20% - Akzent3 11 12 3" xfId="21320" xr:uid="{A8008F67-A88E-479B-BC3C-45D2BF13C73D}"/>
    <cellStyle name="20% - Akzent3 11 13" xfId="1750" xr:uid="{3B6478D2-F545-4248-A568-B69839E8757C}"/>
    <cellStyle name="20% - Akzent3 11 13 2" xfId="1751" xr:uid="{14DCB35C-EA62-4842-823F-767466D6A3C6}"/>
    <cellStyle name="20% - Akzent3 11 13 2 2" xfId="21323" xr:uid="{4E03367E-DAA3-47C7-9003-0C64E20F969C}"/>
    <cellStyle name="20% - Akzent3 11 13 3" xfId="21322" xr:uid="{DF749129-F7CE-42A0-925C-5D1F8C110E70}"/>
    <cellStyle name="20% - Akzent3 11 14" xfId="1752" xr:uid="{042822F5-09CB-4F7B-80B9-9781D61E3377}"/>
    <cellStyle name="20% - Akzent3 11 14 2" xfId="1753" xr:uid="{F655ECB5-D813-4A1A-B0B2-97A3669978F4}"/>
    <cellStyle name="20% - Akzent3 11 14 2 2" xfId="21325" xr:uid="{4BACE939-312E-41B5-87C8-B2413CC08810}"/>
    <cellStyle name="20% - Akzent3 11 14 3" xfId="21324" xr:uid="{2FE78F2A-27EF-4EAA-AD99-AB5B27D9E153}"/>
    <cellStyle name="20% - Akzent3 11 15" xfId="1754" xr:uid="{9C4819EE-E79F-4D56-9929-218A77AA8225}"/>
    <cellStyle name="20% - Akzent3 11 15 2" xfId="1755" xr:uid="{8E9958C3-5EB9-4720-91E6-506FFF17DB0B}"/>
    <cellStyle name="20% - Akzent3 11 15 2 2" xfId="21327" xr:uid="{977FF306-6337-445A-AB37-9A6F5E53E7D7}"/>
    <cellStyle name="20% - Akzent3 11 15 3" xfId="21326" xr:uid="{ED00CA7B-54B7-4E65-B001-D0CD11E498EE}"/>
    <cellStyle name="20% - Akzent3 11 16" xfId="1756" xr:uid="{37DF9659-EE24-460F-AE0F-70AC1078E9A4}"/>
    <cellStyle name="20% - Akzent3 11 16 2" xfId="1757" xr:uid="{942C4DFB-5CBF-409E-820D-551B6EFA168D}"/>
    <cellStyle name="20% - Akzent3 11 16 2 2" xfId="21329" xr:uid="{9E60841F-6173-4EAA-A463-09BB2493ED54}"/>
    <cellStyle name="20% - Akzent3 11 16 3" xfId="21328" xr:uid="{90CFEEA2-444B-44E5-8FCC-276AE6E29558}"/>
    <cellStyle name="20% - Akzent3 11 17" xfId="1758" xr:uid="{4BD7FAB3-BEE3-46DA-BD7C-C91F31E1161B}"/>
    <cellStyle name="20% - Akzent3 11 17 2" xfId="1759" xr:uid="{CEAECCC9-B069-4D2A-BE2C-26BBD6EE91DE}"/>
    <cellStyle name="20% - Akzent3 11 17 2 2" xfId="21331" xr:uid="{AC05C82F-3EB0-4BA3-8EEF-B59ACCB5E138}"/>
    <cellStyle name="20% - Akzent3 11 17 3" xfId="21330" xr:uid="{8F82EB39-58C3-4214-B84C-1DEC5EFA5738}"/>
    <cellStyle name="20% - Akzent3 11 18" xfId="1760" xr:uid="{AF3B74F5-6A2F-4A9E-A42A-DF0842DDBB2D}"/>
    <cellStyle name="20% - Akzent3 11 18 2" xfId="1761" xr:uid="{AA6877CF-2C0B-4F53-A0FB-4919397AA636}"/>
    <cellStyle name="20% - Akzent3 11 18 2 2" xfId="21333" xr:uid="{625AF618-B5B7-46B2-82AD-80F89D929FB9}"/>
    <cellStyle name="20% - Akzent3 11 18 3" xfId="21332" xr:uid="{1AFA4BBA-F1E9-4237-9301-DE011954C6F2}"/>
    <cellStyle name="20% - Akzent3 11 19" xfId="1762" xr:uid="{0029F1AF-345B-4AAC-80F1-5BC47D5C72BB}"/>
    <cellStyle name="20% - Akzent3 11 19 2" xfId="1763" xr:uid="{50C114B7-F666-4103-BDE7-048D63EEB8D6}"/>
    <cellStyle name="20% - Akzent3 11 19 2 2" xfId="21335" xr:uid="{1DD7675D-A001-4C4F-9131-3A6E09710943}"/>
    <cellStyle name="20% - Akzent3 11 19 3" xfId="21334" xr:uid="{081D210C-564D-45C1-8E26-6C8AEE1504F6}"/>
    <cellStyle name="20% - Akzent3 11 2" xfId="1764" xr:uid="{0E8AAB9F-4F13-4494-A88A-FBEBD7D4B660}"/>
    <cellStyle name="20% - Akzent3 11 2 2" xfId="1765" xr:uid="{F36BC99F-D5C0-41D4-93BF-617FB4CDB5B2}"/>
    <cellStyle name="20% - Akzent3 11 2 2 2" xfId="21337" xr:uid="{8FB353C7-6531-4F32-BC45-6D5341D69FAF}"/>
    <cellStyle name="20% - Akzent3 11 2 3" xfId="21336" xr:uid="{9EAE0071-D83E-4333-9170-BB9F7D182837}"/>
    <cellStyle name="20% - Akzent3 11 20" xfId="1766" xr:uid="{FD6EB0E3-AA1B-484B-AEB0-703C81ED45D3}"/>
    <cellStyle name="20% - Akzent3 11 20 2" xfId="1767" xr:uid="{78DC20F2-C8EB-498B-BE70-E730649A7543}"/>
    <cellStyle name="20% - Akzent3 11 20 2 2" xfId="21339" xr:uid="{CDEC0437-5FBE-45B4-9DD0-F336B0E716B6}"/>
    <cellStyle name="20% - Akzent3 11 20 3" xfId="21338" xr:uid="{9B7C69C1-A04A-4D17-9AF3-6602C77B7B8A}"/>
    <cellStyle name="20% - Akzent3 11 21" xfId="1768" xr:uid="{5A0CBC96-13E7-4844-A297-E22004D7E861}"/>
    <cellStyle name="20% - Akzent3 11 21 2" xfId="1769" xr:uid="{5679367F-CFE9-4B07-BE10-CD37B787E6B1}"/>
    <cellStyle name="20% - Akzent3 11 21 2 2" xfId="21341" xr:uid="{8BFFC55D-DAB2-4AC9-8DC5-CD9ABE1F2923}"/>
    <cellStyle name="20% - Akzent3 11 21 3" xfId="21340" xr:uid="{9CF95A6E-223D-48A9-B272-FE1B85290B22}"/>
    <cellStyle name="20% - Akzent3 11 22" xfId="1770" xr:uid="{4C7E1778-3903-463C-8AB0-B9FE0636FD35}"/>
    <cellStyle name="20% - Akzent3 11 23" xfId="21315" xr:uid="{349DC22B-4E77-492C-947E-4AB02F08276E}"/>
    <cellStyle name="20% - Akzent3 11 3" xfId="1771" xr:uid="{281EA55E-4A27-41C5-AC7B-13AC76856452}"/>
    <cellStyle name="20% - Akzent3 11 3 2" xfId="1772" xr:uid="{2A3F6EA6-B7F3-46F9-B609-066D6A494EFC}"/>
    <cellStyle name="20% - Akzent3 11 3 2 2" xfId="21343" xr:uid="{E8B75D17-D5DB-41A9-BBD4-A667AFB9D430}"/>
    <cellStyle name="20% - Akzent3 11 3 3" xfId="21342" xr:uid="{E52E99E2-F726-4673-A4E0-9C191D4A13AB}"/>
    <cellStyle name="20% - Akzent3 11 4" xfId="1773" xr:uid="{18464397-8ED6-4376-9A1D-DE6B4AF3BDCC}"/>
    <cellStyle name="20% - Akzent3 11 4 2" xfId="1774" xr:uid="{C7347E35-C101-487D-A10E-A7924C1F8967}"/>
    <cellStyle name="20% - Akzent3 11 4 2 2" xfId="21345" xr:uid="{83AFC4EB-7304-4AB6-A2EF-CF6658F440A7}"/>
    <cellStyle name="20% - Akzent3 11 4 3" xfId="21344" xr:uid="{6550BBF4-0A03-4D38-BBE8-6CBA89186BC5}"/>
    <cellStyle name="20% - Akzent3 11 5" xfId="1775" xr:uid="{354F54B0-9063-44A8-9CF4-9945BFF52C57}"/>
    <cellStyle name="20% - Akzent3 11 5 2" xfId="1776" xr:uid="{21E9E79E-CF7D-481E-B04D-D964829B6DBC}"/>
    <cellStyle name="20% - Akzent3 11 5 2 2" xfId="21347" xr:uid="{2E7E8BED-EEC5-4885-ABC0-0C2BF6891D46}"/>
    <cellStyle name="20% - Akzent3 11 5 3" xfId="21346" xr:uid="{EE8F2709-7099-43BF-A3C2-5FD636A07FD9}"/>
    <cellStyle name="20% - Akzent3 11 6" xfId="1777" xr:uid="{9FD1B1EC-A4BF-48EA-B9FA-61590351BA4A}"/>
    <cellStyle name="20% - Akzent3 11 6 2" xfId="1778" xr:uid="{E635E5CF-4BF0-4E7E-88F6-93FFF74B7EA0}"/>
    <cellStyle name="20% - Akzent3 11 6 2 2" xfId="21349" xr:uid="{8EE56F06-F972-46AE-A045-B5744419E511}"/>
    <cellStyle name="20% - Akzent3 11 6 3" xfId="21348" xr:uid="{B9CDC88D-4ACE-4358-A692-99118B9B3D5D}"/>
    <cellStyle name="20% - Akzent3 11 7" xfId="1779" xr:uid="{B645E40D-6E52-446C-A837-8F3A7EC31CB0}"/>
    <cellStyle name="20% - Akzent3 11 7 2" xfId="1780" xr:uid="{745EBFC2-C12E-48DC-A981-0F5AB61D5FDF}"/>
    <cellStyle name="20% - Akzent3 11 7 2 2" xfId="21351" xr:uid="{8B84FC86-5391-47C0-8D93-6A1655A06325}"/>
    <cellStyle name="20% - Akzent3 11 7 3" xfId="21350" xr:uid="{0ACDF3B0-CEC2-4E74-8666-B97367ED7961}"/>
    <cellStyle name="20% - Akzent3 11 8" xfId="1781" xr:uid="{95BEFB1E-17E0-4131-9F45-5EB17EC678E6}"/>
    <cellStyle name="20% - Akzent3 11 8 2" xfId="1782" xr:uid="{C43C8732-1FC8-4E02-9F89-A328FE9188D5}"/>
    <cellStyle name="20% - Akzent3 11 8 2 2" xfId="21353" xr:uid="{2EA38140-6281-4EBB-98EF-B70CD2202DFD}"/>
    <cellStyle name="20% - Akzent3 11 8 3" xfId="21352" xr:uid="{1D1107DE-D7F4-4169-9B46-31335BD6B77B}"/>
    <cellStyle name="20% - Akzent3 11 9" xfId="1783" xr:uid="{B4302AF0-EC6A-45BC-B3B6-53CC3F363E5D}"/>
    <cellStyle name="20% - Akzent3 11 9 2" xfId="1784" xr:uid="{605ADA9B-54A6-4DB7-951C-93D53358A7C9}"/>
    <cellStyle name="20% - Akzent3 11 9 2 2" xfId="21355" xr:uid="{D2D60EBE-F508-4DDE-94DB-F14F4871FFB0}"/>
    <cellStyle name="20% - Akzent3 11 9 3" xfId="21354" xr:uid="{0CB54856-A1D5-4F8D-80A2-1A359C1ACF15}"/>
    <cellStyle name="20% - Akzent3 12" xfId="1785" xr:uid="{DD24F3AC-6C81-4B11-8BC7-A0BAD9F98989}"/>
    <cellStyle name="20% - Akzent3 12 10" xfId="1786" xr:uid="{95F292EA-A10A-4B29-9C6F-B8392156E01C}"/>
    <cellStyle name="20% - Akzent3 12 10 2" xfId="1787" xr:uid="{8DCEEF84-3226-4C3C-9114-ED89EA1143D2}"/>
    <cellStyle name="20% - Akzent3 12 10 2 2" xfId="21358" xr:uid="{87CA1355-441F-4D41-9F98-6153D161228D}"/>
    <cellStyle name="20% - Akzent3 12 10 3" xfId="21357" xr:uid="{D0438414-8C58-4FCA-9B66-450489539BA3}"/>
    <cellStyle name="20% - Akzent3 12 11" xfId="1788" xr:uid="{7904C307-318B-4B2D-B325-386E602B6B56}"/>
    <cellStyle name="20% - Akzent3 12 11 2" xfId="1789" xr:uid="{E80B40B0-E63A-4BC3-AE67-A3963F429104}"/>
    <cellStyle name="20% - Akzent3 12 11 2 2" xfId="21360" xr:uid="{A8B7F769-9150-4DC1-967C-9B58A2F37C79}"/>
    <cellStyle name="20% - Akzent3 12 11 3" xfId="21359" xr:uid="{6387CA77-F963-47C4-948F-22CF6154DFC5}"/>
    <cellStyle name="20% - Akzent3 12 12" xfId="1790" xr:uid="{C9175648-D54C-4AE6-B3E0-B27C7B4EC783}"/>
    <cellStyle name="20% - Akzent3 12 12 2" xfId="1791" xr:uid="{70CBA025-C445-4DF7-9297-34F12CC5D369}"/>
    <cellStyle name="20% - Akzent3 12 12 2 2" xfId="21362" xr:uid="{3FB7B995-37D7-4232-AB3E-F1CA73457BC7}"/>
    <cellStyle name="20% - Akzent3 12 12 3" xfId="21361" xr:uid="{C4ECF61D-A949-4CA1-B003-F0EC19AC11BF}"/>
    <cellStyle name="20% - Akzent3 12 13" xfId="1792" xr:uid="{65624D37-9821-41E7-8510-500D2F6E4163}"/>
    <cellStyle name="20% - Akzent3 12 13 2" xfId="1793" xr:uid="{CE450EC0-6578-4FD6-815A-54CB21308F3A}"/>
    <cellStyle name="20% - Akzent3 12 13 2 2" xfId="21364" xr:uid="{BCED92A3-E5CA-4CCD-91CD-DF6C49EDD7ED}"/>
    <cellStyle name="20% - Akzent3 12 13 3" xfId="21363" xr:uid="{E96DC00F-011E-4FDB-8169-5F7FA63F7859}"/>
    <cellStyle name="20% - Akzent3 12 14" xfId="1794" xr:uid="{DDF2520D-6882-43E0-9B4B-D89992B35B65}"/>
    <cellStyle name="20% - Akzent3 12 14 2" xfId="1795" xr:uid="{4D58E10C-BE7B-4B88-85CC-605803AECB40}"/>
    <cellStyle name="20% - Akzent3 12 14 2 2" xfId="21366" xr:uid="{4359E234-E60F-4485-92AF-85E266ECF62D}"/>
    <cellStyle name="20% - Akzent3 12 14 3" xfId="21365" xr:uid="{F30E5DCE-E982-4CB6-BCC5-1A882A3006C1}"/>
    <cellStyle name="20% - Akzent3 12 15" xfId="1796" xr:uid="{28C3E12C-BD62-4314-8197-2D8601336B41}"/>
    <cellStyle name="20% - Akzent3 12 15 2" xfId="1797" xr:uid="{DD86A1BB-69C6-45EC-A9E1-F645301DDB09}"/>
    <cellStyle name="20% - Akzent3 12 15 2 2" xfId="21368" xr:uid="{F89B9A5E-E106-4793-A78D-B4173F83596C}"/>
    <cellStyle name="20% - Akzent3 12 15 3" xfId="21367" xr:uid="{FF6680BC-A3EC-4920-92DD-2B17EB6F8878}"/>
    <cellStyle name="20% - Akzent3 12 16" xfId="1798" xr:uid="{7DD4CAF8-C3A6-40E7-BF86-46888965674B}"/>
    <cellStyle name="20% - Akzent3 12 16 2" xfId="1799" xr:uid="{A635E5A3-9C2F-48DC-9238-FCB73DB39C27}"/>
    <cellStyle name="20% - Akzent3 12 16 2 2" xfId="21370" xr:uid="{2410ED0E-17FC-4154-90B2-5CEF3DE37C75}"/>
    <cellStyle name="20% - Akzent3 12 16 3" xfId="21369" xr:uid="{1732E15E-5EFA-4685-97B6-9E9E49957145}"/>
    <cellStyle name="20% - Akzent3 12 17" xfId="1800" xr:uid="{BDF2F228-D493-464D-9C3C-6D3339C244B8}"/>
    <cellStyle name="20% - Akzent3 12 17 2" xfId="1801" xr:uid="{AF4D522A-9119-4AB5-B3EC-03B1E5EE070C}"/>
    <cellStyle name="20% - Akzent3 12 17 2 2" xfId="21372" xr:uid="{089DCDB5-51DB-4D22-B2BF-B187DE6E6E18}"/>
    <cellStyle name="20% - Akzent3 12 17 3" xfId="21371" xr:uid="{11AC1D08-6DB7-48A1-B052-5D2A55462E32}"/>
    <cellStyle name="20% - Akzent3 12 18" xfId="1802" xr:uid="{749F4F83-FD11-4AD1-AB84-BF72148722AF}"/>
    <cellStyle name="20% - Akzent3 12 18 2" xfId="1803" xr:uid="{9FDFDDC5-8611-44AF-A792-F1ECBA778681}"/>
    <cellStyle name="20% - Akzent3 12 18 2 2" xfId="21374" xr:uid="{27711B4E-4DA7-422C-99AB-5EAEC8DB7FCF}"/>
    <cellStyle name="20% - Akzent3 12 18 3" xfId="21373" xr:uid="{FB3922D0-3973-4A60-9D8E-454D3BEC7B89}"/>
    <cellStyle name="20% - Akzent3 12 19" xfId="1804" xr:uid="{C3BF2CDC-BE3E-4BFC-97E5-5E6A4880AB0B}"/>
    <cellStyle name="20% - Akzent3 12 19 2" xfId="1805" xr:uid="{31F639CD-C595-4D93-BD10-4CB2F39ECCF0}"/>
    <cellStyle name="20% - Akzent3 12 19 2 2" xfId="21376" xr:uid="{A9984343-7FF7-401C-BE07-05B8CBD6F292}"/>
    <cellStyle name="20% - Akzent3 12 19 3" xfId="21375" xr:uid="{299FEF86-A971-40F9-B7FD-39A047B81C21}"/>
    <cellStyle name="20% - Akzent3 12 2" xfId="1806" xr:uid="{EEE2174A-EC9D-4620-BC24-AE432BFC4484}"/>
    <cellStyle name="20% - Akzent3 12 2 2" xfId="1807" xr:uid="{3F151050-56E7-48BA-9431-B2FBCB641C02}"/>
    <cellStyle name="20% - Akzent3 12 2 2 2" xfId="21378" xr:uid="{50A06171-6D27-4881-939D-3E6A1C0B6230}"/>
    <cellStyle name="20% - Akzent3 12 2 3" xfId="21377" xr:uid="{4101D783-F01E-4764-BB8C-3F1E30FDA5AC}"/>
    <cellStyle name="20% - Akzent3 12 20" xfId="1808" xr:uid="{09E9035D-A34F-4033-81C7-2525772CC472}"/>
    <cellStyle name="20% - Akzent3 12 20 2" xfId="1809" xr:uid="{73C1DB67-928B-4A68-B716-FA81C9725950}"/>
    <cellStyle name="20% - Akzent3 12 20 2 2" xfId="21380" xr:uid="{92D2123D-708F-46C8-A8CB-45A7749951EF}"/>
    <cellStyle name="20% - Akzent3 12 20 3" xfId="21379" xr:uid="{260271CC-1279-444C-9C00-B6AA571A6F56}"/>
    <cellStyle name="20% - Akzent3 12 21" xfId="1810" xr:uid="{A00318B0-1C18-4240-B408-73ED363F88F4}"/>
    <cellStyle name="20% - Akzent3 12 21 2" xfId="1811" xr:uid="{7AA7AE3D-FC39-4C21-BA18-153D0E2C0D13}"/>
    <cellStyle name="20% - Akzent3 12 21 2 2" xfId="21382" xr:uid="{168546C6-4300-4439-A0CF-D42EACBE6ECD}"/>
    <cellStyle name="20% - Akzent3 12 21 3" xfId="21381" xr:uid="{7A868BC0-8EE2-4651-8A48-104F2794F23E}"/>
    <cellStyle name="20% - Akzent3 12 22" xfId="1812" xr:uid="{8BC181A2-B0DF-4727-9C37-3CE41AC0FFFF}"/>
    <cellStyle name="20% - Akzent3 12 23" xfId="21356" xr:uid="{9D0B07BA-D23D-45E9-988B-B5F0303FC9C3}"/>
    <cellStyle name="20% - Akzent3 12 3" xfId="1813" xr:uid="{700E2637-B1A8-4B19-ACAD-FDCB1C13FB91}"/>
    <cellStyle name="20% - Akzent3 12 3 2" xfId="1814" xr:uid="{90346D0E-8805-41FC-998A-B76C081AF23A}"/>
    <cellStyle name="20% - Akzent3 12 3 2 2" xfId="21384" xr:uid="{F4BE6912-9C96-4E51-8AE0-2F0821F6B14E}"/>
    <cellStyle name="20% - Akzent3 12 3 3" xfId="21383" xr:uid="{02502330-CD10-403F-9BEA-5325A614AAF2}"/>
    <cellStyle name="20% - Akzent3 12 4" xfId="1815" xr:uid="{80C29CB3-9858-4531-98F8-E046B5C9E203}"/>
    <cellStyle name="20% - Akzent3 12 4 2" xfId="1816" xr:uid="{3E725E89-B250-4C68-8B5E-BBBDFD09F029}"/>
    <cellStyle name="20% - Akzent3 12 4 2 2" xfId="21386" xr:uid="{D60F46EB-4963-478E-91F5-3EFDF3066990}"/>
    <cellStyle name="20% - Akzent3 12 4 3" xfId="21385" xr:uid="{5F94D35C-4CAD-48D2-8459-9C38C3CD6D7E}"/>
    <cellStyle name="20% - Akzent3 12 5" xfId="1817" xr:uid="{312CD68F-66B1-45AA-AB79-E0157D0AFBBB}"/>
    <cellStyle name="20% - Akzent3 12 5 2" xfId="1818" xr:uid="{B66BE3E1-8BF9-45B6-95E8-B96466CD1B5E}"/>
    <cellStyle name="20% - Akzent3 12 5 2 2" xfId="21388" xr:uid="{863476E3-30FF-4521-BAA3-62450D113602}"/>
    <cellStyle name="20% - Akzent3 12 5 3" xfId="21387" xr:uid="{DF0CB8D7-4C9F-4341-816A-FD9EA4B5F828}"/>
    <cellStyle name="20% - Akzent3 12 6" xfId="1819" xr:uid="{2128DABE-5734-41C5-8954-265002D4B9B8}"/>
    <cellStyle name="20% - Akzent3 12 6 2" xfId="1820" xr:uid="{FE94E699-4870-41BD-B8D1-5CBCDADEBADB}"/>
    <cellStyle name="20% - Akzent3 12 6 2 2" xfId="21390" xr:uid="{7772E5B5-D8BA-4363-B2F2-3DD9904FD6DE}"/>
    <cellStyle name="20% - Akzent3 12 6 3" xfId="21389" xr:uid="{A1FD3A29-2ED2-4F22-8ECD-E40BF2C9318E}"/>
    <cellStyle name="20% - Akzent3 12 7" xfId="1821" xr:uid="{4F7F4825-0C1A-4468-92A2-02359E8DA43F}"/>
    <cellStyle name="20% - Akzent3 12 7 2" xfId="1822" xr:uid="{1A9AEDA3-E050-4BAA-9FCE-5344088750E1}"/>
    <cellStyle name="20% - Akzent3 12 7 2 2" xfId="21392" xr:uid="{D401A1C3-550D-448E-B8A2-4F5080A16E89}"/>
    <cellStyle name="20% - Akzent3 12 7 3" xfId="21391" xr:uid="{3837F528-3EB2-4290-8AB9-6BD503D52A9D}"/>
    <cellStyle name="20% - Akzent3 12 8" xfId="1823" xr:uid="{A50A68BF-1A20-4A2B-B703-8E934D09388E}"/>
    <cellStyle name="20% - Akzent3 12 8 2" xfId="1824" xr:uid="{3E1BE545-CB44-4501-91FF-7E857716D23B}"/>
    <cellStyle name="20% - Akzent3 12 8 2 2" xfId="21394" xr:uid="{A899DF00-DDB4-402C-B5D1-E77C601044D5}"/>
    <cellStyle name="20% - Akzent3 12 8 3" xfId="21393" xr:uid="{963BDBCD-F1C4-448F-88CC-ACCF169DA3DC}"/>
    <cellStyle name="20% - Akzent3 12 9" xfId="1825" xr:uid="{5EA97A78-D25B-4C29-BC7C-C944677BCC92}"/>
    <cellStyle name="20% - Akzent3 12 9 2" xfId="1826" xr:uid="{32751318-B707-4FF7-9ABC-14CE06368C84}"/>
    <cellStyle name="20% - Akzent3 12 9 2 2" xfId="21396" xr:uid="{CBD1231E-CC42-45C9-B5CA-4F60B8E87EE4}"/>
    <cellStyle name="20% - Akzent3 12 9 3" xfId="21395" xr:uid="{8305DABD-1A33-4BF4-BC4D-0402693A649A}"/>
    <cellStyle name="20% - Akzent3 13" xfId="1827" xr:uid="{72E2E370-61AB-400C-B424-6309EE11C774}"/>
    <cellStyle name="20% - Akzent3 13 10" xfId="1828" xr:uid="{22694143-D78B-4E37-805B-12BD7D04CE2E}"/>
    <cellStyle name="20% - Akzent3 13 10 2" xfId="1829" xr:uid="{040BBDAD-2B4F-4280-897D-ADC4C061CEA4}"/>
    <cellStyle name="20% - Akzent3 13 10 2 2" xfId="21399" xr:uid="{9626F992-76D0-4EE0-BC8D-11F093414FFF}"/>
    <cellStyle name="20% - Akzent3 13 10 3" xfId="21398" xr:uid="{9DCC73BD-1050-41B0-A5D2-AFADE4E0C01F}"/>
    <cellStyle name="20% - Akzent3 13 11" xfId="1830" xr:uid="{10E034ED-B38B-4F1F-9149-B2DCB03065CC}"/>
    <cellStyle name="20% - Akzent3 13 11 2" xfId="1831" xr:uid="{4C1FD51C-CBE2-4DE0-8C12-14A5AFCC4C9F}"/>
    <cellStyle name="20% - Akzent3 13 11 2 2" xfId="21401" xr:uid="{FF1B2FBD-9613-4DFF-90F1-7478028DBAAD}"/>
    <cellStyle name="20% - Akzent3 13 11 3" xfId="21400" xr:uid="{8CFA02C3-AFE3-4FFE-9BF9-752999803FC4}"/>
    <cellStyle name="20% - Akzent3 13 12" xfId="1832" xr:uid="{B2C28AAE-30FB-4E32-960D-94AAC5D5EA22}"/>
    <cellStyle name="20% - Akzent3 13 12 2" xfId="1833" xr:uid="{BB76E448-AE32-4DE0-B4F7-10CA5BB65AF1}"/>
    <cellStyle name="20% - Akzent3 13 12 2 2" xfId="21403" xr:uid="{C11CA3CE-9A9F-4942-9203-541D2955BB9C}"/>
    <cellStyle name="20% - Akzent3 13 12 3" xfId="21402" xr:uid="{A3F07354-6CDB-4B8A-A5AC-54A7AD24A5C2}"/>
    <cellStyle name="20% - Akzent3 13 13" xfId="1834" xr:uid="{3B4B298F-4A8B-4D16-AF8E-C6B07847A186}"/>
    <cellStyle name="20% - Akzent3 13 13 2" xfId="1835" xr:uid="{E45B093C-CB2E-4AF2-AA96-72343A803C7B}"/>
    <cellStyle name="20% - Akzent3 13 13 2 2" xfId="21405" xr:uid="{07D0CAD7-F5C5-46EE-BC84-6C759746FBC5}"/>
    <cellStyle name="20% - Akzent3 13 13 3" xfId="21404" xr:uid="{5998AD5B-5018-4C4F-BDB3-D78AF5FD41BB}"/>
    <cellStyle name="20% - Akzent3 13 14" xfId="1836" xr:uid="{7A110424-EA3E-4D6B-B44D-710842AEDDE5}"/>
    <cellStyle name="20% - Akzent3 13 15" xfId="21397" xr:uid="{721E0CEE-6EAD-4A77-B32C-E957A30FD491}"/>
    <cellStyle name="20% - Akzent3 13 2" xfId="1837" xr:uid="{1708E057-DBAD-4C94-A0FD-6AD8F1679AFC}"/>
    <cellStyle name="20% - Akzent3 13 2 2" xfId="1838" xr:uid="{B719F8E1-3026-4269-8046-1F4B3B95F408}"/>
    <cellStyle name="20% - Akzent3 13 2 2 2" xfId="21407" xr:uid="{04B6A36F-F4E5-42CF-A73A-4D5B7C0CCC08}"/>
    <cellStyle name="20% - Akzent3 13 2 3" xfId="21406" xr:uid="{43BB9A2A-1963-4EA8-B9E1-48E1D9275B90}"/>
    <cellStyle name="20% - Akzent3 13 3" xfId="1839" xr:uid="{E52ADE83-BC01-4ADF-96F9-3E61371DA1A7}"/>
    <cellStyle name="20% - Akzent3 13 3 2" xfId="1840" xr:uid="{BDE83F23-E3DA-4571-9710-D8BC47DDF422}"/>
    <cellStyle name="20% - Akzent3 13 3 2 2" xfId="21409" xr:uid="{41A67D8E-1311-40BD-93CD-1C6C62EE413F}"/>
    <cellStyle name="20% - Akzent3 13 3 3" xfId="21408" xr:uid="{02AA863E-3530-4A31-919C-ABA5967D3A18}"/>
    <cellStyle name="20% - Akzent3 13 4" xfId="1841" xr:uid="{2E018D27-4DB2-4936-90F6-D70F8B4C0158}"/>
    <cellStyle name="20% - Akzent3 13 4 2" xfId="1842" xr:uid="{6DBD975A-7DC7-4CE4-93CE-AF98D5A142B9}"/>
    <cellStyle name="20% - Akzent3 13 4 2 2" xfId="21411" xr:uid="{F5FB4619-F0D2-464B-9D86-6222D9C77154}"/>
    <cellStyle name="20% - Akzent3 13 4 3" xfId="21410" xr:uid="{A06D8B1D-34A0-4417-9B8D-B0DBA4DB71F3}"/>
    <cellStyle name="20% - Akzent3 13 5" xfId="1843" xr:uid="{50A1B584-094E-44C7-93AE-A2B9A440C975}"/>
    <cellStyle name="20% - Akzent3 13 5 2" xfId="1844" xr:uid="{51DCC204-A02A-4E1A-9921-4ED5AD289C0B}"/>
    <cellStyle name="20% - Akzent3 13 5 2 2" xfId="21413" xr:uid="{393FD889-298B-46A8-A05E-5A684074D274}"/>
    <cellStyle name="20% - Akzent3 13 5 3" xfId="21412" xr:uid="{8DB84A22-5344-4C4A-A642-4C8E6876E4EA}"/>
    <cellStyle name="20% - Akzent3 13 6" xfId="1845" xr:uid="{C0AF856F-E9F0-4906-BA4E-998C7AC3D4A8}"/>
    <cellStyle name="20% - Akzent3 13 6 2" xfId="1846" xr:uid="{0EE1604B-A032-440E-8705-36A113E53E1A}"/>
    <cellStyle name="20% - Akzent3 13 6 2 2" xfId="21415" xr:uid="{CB245FFC-B71E-4545-91C6-0A61712773DF}"/>
    <cellStyle name="20% - Akzent3 13 6 3" xfId="21414" xr:uid="{10D4F0B6-2846-44E1-B17E-835304509B10}"/>
    <cellStyle name="20% - Akzent3 13 7" xfId="1847" xr:uid="{578E0CD4-1CF6-4959-BF08-77675C74945B}"/>
    <cellStyle name="20% - Akzent3 13 7 2" xfId="1848" xr:uid="{66DD91FC-27F0-46C8-9E64-5CA6BD73D2C0}"/>
    <cellStyle name="20% - Akzent3 13 7 2 2" xfId="21417" xr:uid="{0D897A05-9BB9-477F-BF31-AEF1EE854622}"/>
    <cellStyle name="20% - Akzent3 13 7 3" xfId="21416" xr:uid="{612A3613-61E8-4E42-A8CC-516A885BF4B4}"/>
    <cellStyle name="20% - Akzent3 13 8" xfId="1849" xr:uid="{EA821FE6-68EE-4A20-9E87-64004D5F2B41}"/>
    <cellStyle name="20% - Akzent3 13 8 2" xfId="1850" xr:uid="{A956D971-49CD-4552-A31C-4E9F60CEDCA6}"/>
    <cellStyle name="20% - Akzent3 13 8 2 2" xfId="21419" xr:uid="{1D4B8EBB-B63F-4244-B796-B35673741847}"/>
    <cellStyle name="20% - Akzent3 13 8 3" xfId="21418" xr:uid="{80F78012-E874-40AF-819F-F5EC2871F3F3}"/>
    <cellStyle name="20% - Akzent3 13 9" xfId="1851" xr:uid="{F35F04D6-E700-4A17-BA80-C05F1DE85EC1}"/>
    <cellStyle name="20% - Akzent3 13 9 2" xfId="1852" xr:uid="{924C92BE-7127-4AAA-B4A4-1DCFA91C82AA}"/>
    <cellStyle name="20% - Akzent3 13 9 2 2" xfId="21421" xr:uid="{5090D1D9-65BA-45D5-BAE9-741496647446}"/>
    <cellStyle name="20% - Akzent3 13 9 3" xfId="21420" xr:uid="{E40F4189-7BB5-46E0-81FE-4EFF4BC61210}"/>
    <cellStyle name="20% - Akzent3 14" xfId="1853" xr:uid="{95DD32FB-F63A-482E-BAD9-91209A28572E}"/>
    <cellStyle name="20% - Akzent3 14 2" xfId="1854" xr:uid="{425A8A99-4F92-40C1-892E-16F1CBC3EFB6}"/>
    <cellStyle name="20% - Akzent3 14 2 2" xfId="21423" xr:uid="{DA7200A7-82A0-4280-9CEB-06F39209C717}"/>
    <cellStyle name="20% - Akzent3 14 3" xfId="1855" xr:uid="{725E3257-D581-4355-888D-4883952BD7D5}"/>
    <cellStyle name="20% - Akzent3 14 3 2" xfId="21424" xr:uid="{8B5A5C26-B763-4B1B-A4CD-4BCA28D24E9D}"/>
    <cellStyle name="20% - Akzent3 14 4" xfId="21422" xr:uid="{6ED39857-6DC9-4E6A-919C-B75894B23584}"/>
    <cellStyle name="20% - Akzent3 15" xfId="1856" xr:uid="{48009B11-F464-43D6-B823-6944E9C82E3C}"/>
    <cellStyle name="20% - Akzent3 15 2" xfId="1857" xr:uid="{7A013F98-FCB9-4721-A1DE-E739CC201444}"/>
    <cellStyle name="20% - Akzent3 15 2 2" xfId="21426" xr:uid="{210ED4ED-A8BA-4494-92AF-5ECEE5758496}"/>
    <cellStyle name="20% - Akzent3 15 3" xfId="1858" xr:uid="{2CC9812D-285A-4D01-88A4-139B53AEAABF}"/>
    <cellStyle name="20% - Akzent3 15 3 2" xfId="21427" xr:uid="{BCB02A05-BEA1-4092-B8CC-84470005279F}"/>
    <cellStyle name="20% - Akzent3 15 4" xfId="21425" xr:uid="{D0DDCCD8-8AEB-4129-8D71-6D3EFA765A26}"/>
    <cellStyle name="20% - Akzent3 16" xfId="1859" xr:uid="{2CAB6924-70B1-4C29-9C81-3202DF908391}"/>
    <cellStyle name="20% - Akzent3 16 2" xfId="1860" xr:uid="{6432DC72-4AC2-4C17-B2D3-8CF1F8D1BCB1}"/>
    <cellStyle name="20% - Akzent3 16 2 2" xfId="21429" xr:uid="{8F4CE189-9A70-4F65-AFBD-87D1C312C30F}"/>
    <cellStyle name="20% - Akzent3 16 3" xfId="1861" xr:uid="{593D0923-F637-4111-A15C-0470B32D7F08}"/>
    <cellStyle name="20% - Akzent3 16 3 2" xfId="21430" xr:uid="{68F8738E-3EF2-4A70-99A0-59C1FEBF71BD}"/>
    <cellStyle name="20% - Akzent3 16 4" xfId="21428" xr:uid="{53F9F9BF-4C3F-4567-98FD-CA30A91C68C7}"/>
    <cellStyle name="20% - Akzent3 17" xfId="1862" xr:uid="{1907AC98-C221-4801-848F-F7B5DF087BE5}"/>
    <cellStyle name="20% - Akzent3 17 2" xfId="1863" xr:uid="{42C57152-1FF5-4576-A110-D7814CC0CBAC}"/>
    <cellStyle name="20% - Akzent3 17 2 2" xfId="21432" xr:uid="{5CDD75C1-BA39-4741-8302-29BD93E7F5B8}"/>
    <cellStyle name="20% - Akzent3 17 3" xfId="1864" xr:uid="{32928BB4-C277-46E6-8047-8E5BACEB980F}"/>
    <cellStyle name="20% - Akzent3 17 3 2" xfId="21433" xr:uid="{B3F7A401-8BE1-4F66-AC46-957CBCA457E1}"/>
    <cellStyle name="20% - Akzent3 17 4" xfId="21431" xr:uid="{5AE5EDF5-1592-4D6E-89AB-46BD067EAF2A}"/>
    <cellStyle name="20% - Akzent3 18" xfId="1865" xr:uid="{F268B469-9087-478E-B52C-C2CAD49A733F}"/>
    <cellStyle name="20% - Akzent3 18 2" xfId="1866" xr:uid="{0939B337-9EDD-46B2-8C5A-8C3B20E3382D}"/>
    <cellStyle name="20% - Akzent3 18 2 2" xfId="21435" xr:uid="{60874DFA-F965-45BE-A6D6-271E27DF5158}"/>
    <cellStyle name="20% - Akzent3 18 3" xfId="1867" xr:uid="{E3504C58-3B54-49FF-87C1-DF8CA33CA1AA}"/>
    <cellStyle name="20% - Akzent3 18 3 2" xfId="21436" xr:uid="{06680399-0B2A-4FBA-9E71-3A0EA1AF5B03}"/>
    <cellStyle name="20% - Akzent3 18 4" xfId="21434" xr:uid="{8BFC6256-071E-4ACD-AB31-3A6000BAC3FF}"/>
    <cellStyle name="20% - Akzent3 19" xfId="1868" xr:uid="{AFDC6B88-BA26-43A6-8E36-8A1C29CF2BF3}"/>
    <cellStyle name="20% - Akzent3 19 2" xfId="1869" xr:uid="{44EE91E8-1E2F-42A1-9194-22D563234A53}"/>
    <cellStyle name="20% - Akzent3 19 2 2" xfId="21438" xr:uid="{36BDF283-CA97-428D-BF89-A29864C9F564}"/>
    <cellStyle name="20% - Akzent3 19 3" xfId="1870" xr:uid="{EC52B6CD-648A-4A99-8B05-93151CDEB54E}"/>
    <cellStyle name="20% - Akzent3 19 3 2" xfId="21439" xr:uid="{454196F6-1422-4481-B96B-66251B8DA738}"/>
    <cellStyle name="20% - Akzent3 19 4" xfId="21437" xr:uid="{CEFC6D83-3E25-43E6-A0BA-D3D7E430D034}"/>
    <cellStyle name="20% - Akzent3 2" xfId="101" xr:uid="{87AB986E-CF55-4832-9E52-683018584578}"/>
    <cellStyle name="20% - Akzent3 2 10" xfId="1872" xr:uid="{EB5D27D7-5838-4D44-B5DB-D88BD28D0C5F}"/>
    <cellStyle name="20% - Akzent3 2 10 2" xfId="1873" xr:uid="{76352EA7-C9CE-43BD-A8C9-2D027BF027BA}"/>
    <cellStyle name="20% - Akzent3 2 10 2 2" xfId="21442" xr:uid="{6F62003A-1E66-4691-A584-DC7B23F3F1CD}"/>
    <cellStyle name="20% - Akzent3 2 10 3" xfId="21441" xr:uid="{F642F56E-E9BD-4EC1-B6D1-F0D71F7F4140}"/>
    <cellStyle name="20% - Akzent3 2 11" xfId="1874" xr:uid="{34FB2087-4DCD-4115-9DB2-73E5A2195089}"/>
    <cellStyle name="20% - Akzent3 2 11 2" xfId="1875" xr:uid="{9B5B5EF9-7F0C-4E1F-B3FE-63CF7ED8BE62}"/>
    <cellStyle name="20% - Akzent3 2 11 2 2" xfId="21444" xr:uid="{2C0D8C5E-636F-4ACF-9401-5F0DF6625BF4}"/>
    <cellStyle name="20% - Akzent3 2 11 3" xfId="21443" xr:uid="{E593A9A1-DA10-4AF6-8B37-CE47E5B507F6}"/>
    <cellStyle name="20% - Akzent3 2 12" xfId="1876" xr:uid="{7C3FF8C1-F14F-4CF5-95CE-A5A643A921D7}"/>
    <cellStyle name="20% - Akzent3 2 12 2" xfId="1877" xr:uid="{8E770D40-2DFB-448E-9A81-27A53C5213DC}"/>
    <cellStyle name="20% - Akzent3 2 12 2 2" xfId="21446" xr:uid="{1A9B36D8-608A-45E5-86E0-C7E1C3AE7A7D}"/>
    <cellStyle name="20% - Akzent3 2 12 3" xfId="21445" xr:uid="{A6507994-F151-4C12-AC1A-93F9267E0657}"/>
    <cellStyle name="20% - Akzent3 2 13" xfId="1878" xr:uid="{F7A6B4AF-B67B-4BD9-AC67-0BC6EAC266C8}"/>
    <cellStyle name="20% - Akzent3 2 13 2" xfId="1879" xr:uid="{2472CD9D-B173-408D-84CB-715E583B8126}"/>
    <cellStyle name="20% - Akzent3 2 13 2 2" xfId="21448" xr:uid="{6507182F-E748-4895-8701-8592197D1DA5}"/>
    <cellStyle name="20% - Akzent3 2 13 3" xfId="21447" xr:uid="{D357B5BD-1636-4E1D-82C7-74C86321AF5F}"/>
    <cellStyle name="20% - Akzent3 2 14" xfId="1880" xr:uid="{597A0990-4A45-4D21-AE6E-C66F5270829C}"/>
    <cellStyle name="20% - Akzent3 2 14 2" xfId="1881" xr:uid="{840C4CB7-CCE8-4421-AEB6-90D5B5B7E517}"/>
    <cellStyle name="20% - Akzent3 2 14 2 2" xfId="21450" xr:uid="{5E66B865-BBF9-482C-BD77-FE2415D49F80}"/>
    <cellStyle name="20% - Akzent3 2 14 3" xfId="21449" xr:uid="{2EEDF49F-DBF2-46C6-894E-DD0B2720156F}"/>
    <cellStyle name="20% - Akzent3 2 15" xfId="1882" xr:uid="{5059B85B-1ABD-46BF-9365-C62273898841}"/>
    <cellStyle name="20% - Akzent3 2 15 2" xfId="1883" xr:uid="{F6C833BA-C570-49C3-9E6A-2CB45B6D0AD6}"/>
    <cellStyle name="20% - Akzent3 2 15 2 2" xfId="21452" xr:uid="{F3420969-8D27-46B6-B2E5-EA55FB44C268}"/>
    <cellStyle name="20% - Akzent3 2 15 3" xfId="21451" xr:uid="{A06CF100-7E7B-4196-9ED4-AEA02D634228}"/>
    <cellStyle name="20% - Akzent3 2 16" xfId="1884" xr:uid="{DBB30B60-D615-4373-850B-FC0712078212}"/>
    <cellStyle name="20% - Akzent3 2 16 2" xfId="1885" xr:uid="{7EC3F8E8-83BA-4B0E-A3B6-F90C2245882D}"/>
    <cellStyle name="20% - Akzent3 2 16 2 2" xfId="21454" xr:uid="{E8613324-A3D9-44A9-A100-154464A00BE7}"/>
    <cellStyle name="20% - Akzent3 2 16 3" xfId="21453" xr:uid="{C4D63CE9-B59F-4933-8A71-56F53A809718}"/>
    <cellStyle name="20% - Akzent3 2 17" xfId="1886" xr:uid="{06FC2A41-A866-47A5-82CD-AD2B922BEA22}"/>
    <cellStyle name="20% - Akzent3 2 17 2" xfId="1887" xr:uid="{F6190B8F-D23E-4226-9C2A-18E58F77A1C0}"/>
    <cellStyle name="20% - Akzent3 2 17 2 2" xfId="21456" xr:uid="{A75FB3FD-1EB5-42D2-9199-885EC249ED55}"/>
    <cellStyle name="20% - Akzent3 2 17 3" xfId="21455" xr:uid="{40093D04-CB96-4D70-9923-12DBB74210C5}"/>
    <cellStyle name="20% - Akzent3 2 18" xfId="1888" xr:uid="{2425B176-03AE-4983-902A-ECE7AC05E8F3}"/>
    <cellStyle name="20% - Akzent3 2 18 2" xfId="1889" xr:uid="{525777C9-B8FD-4F0C-88A3-763369F24C24}"/>
    <cellStyle name="20% - Akzent3 2 18 2 2" xfId="21458" xr:uid="{083361ED-FAAB-4147-BD4D-4891F2509073}"/>
    <cellStyle name="20% - Akzent3 2 18 3" xfId="21457" xr:uid="{7AA5F410-E38C-4625-97BE-CFACD9E50EEA}"/>
    <cellStyle name="20% - Akzent3 2 19" xfId="1890" xr:uid="{F90D2BD2-845D-4447-9104-AAC24AB1D3CA}"/>
    <cellStyle name="20% - Akzent3 2 19 2" xfId="1891" xr:uid="{5A3B7674-0941-4484-914F-1A82DCDCC8E0}"/>
    <cellStyle name="20% - Akzent3 2 19 2 2" xfId="21460" xr:uid="{BE8246C9-52D0-4E17-B7B7-9C06B5A9A70E}"/>
    <cellStyle name="20% - Akzent3 2 19 3" xfId="21459" xr:uid="{5A5F2DDB-677F-4C37-A0CB-24CE9AA1D555}"/>
    <cellStyle name="20% - Akzent3 2 2" xfId="1892" xr:uid="{64D825C5-150B-428D-A2C3-9AA5A0046536}"/>
    <cellStyle name="20% - Akzent3 2 2 10" xfId="1893" xr:uid="{D0AAE5DD-A977-4B86-812F-1D6304D6C1F0}"/>
    <cellStyle name="20% - Akzent3 2 2 11" xfId="1894" xr:uid="{86FE02AD-70B9-4BD7-ABAC-77FD1C9AF35A}"/>
    <cellStyle name="20% - Akzent3 2 2 12" xfId="1895" xr:uid="{57BCCA3E-BB8E-4296-B23C-9D216563B5E9}"/>
    <cellStyle name="20% - Akzent3 2 2 13" xfId="1896" xr:uid="{BF7402A5-8887-4E92-96EC-3864DF666565}"/>
    <cellStyle name="20% - Akzent3 2 2 13 2" xfId="1897" xr:uid="{CE44FBBC-AC87-42B7-AAF9-371364420F4B}"/>
    <cellStyle name="20% - Akzent3 2 2 13 2 2" xfId="21463" xr:uid="{C104ADC5-1823-4275-AD63-8E52EB0FD786}"/>
    <cellStyle name="20% - Akzent3 2 2 13 3" xfId="21462" xr:uid="{6C3391DA-E969-44B0-9F27-8E7EDF1B117A}"/>
    <cellStyle name="20% - Akzent3 2 2 14" xfId="1898" xr:uid="{E1BE2E52-1D38-4F1B-8D9D-95EDE95A5418}"/>
    <cellStyle name="20% - Akzent3 2 2 14 2" xfId="1899" xr:uid="{8313C1E8-DBB1-40CE-9292-83AC67911822}"/>
    <cellStyle name="20% - Akzent3 2 2 14 2 2" xfId="21465" xr:uid="{6607561B-6F74-4BE7-B027-22403ECCCE6C}"/>
    <cellStyle name="20% - Akzent3 2 2 14 3" xfId="21464" xr:uid="{EBAE1B31-8EDD-4B18-8B3B-394A9DC1547F}"/>
    <cellStyle name="20% - Akzent3 2 2 15" xfId="1900" xr:uid="{470E0F84-2B71-428C-B194-DDFD9E896799}"/>
    <cellStyle name="20% - Akzent3 2 2 15 2" xfId="1901" xr:uid="{FAA1EC29-F383-4E22-AFA2-80A7A3AAACE8}"/>
    <cellStyle name="20% - Akzent3 2 2 15 2 2" xfId="21467" xr:uid="{5FCA4516-FCFA-4FA7-A9F4-D5592CF87235}"/>
    <cellStyle name="20% - Akzent3 2 2 15 3" xfId="21466" xr:uid="{762FF8DA-18E3-4CC5-8754-CBAAEE50E871}"/>
    <cellStyle name="20% - Akzent3 2 2 16" xfId="1902" xr:uid="{FBCD0A23-9A7B-4AE4-BF62-9993DD502F58}"/>
    <cellStyle name="20% - Akzent3 2 2 16 2" xfId="1903" xr:uid="{CB2CB35A-8D6E-4F9A-ADC5-8FD011A91DCC}"/>
    <cellStyle name="20% - Akzent3 2 2 16 2 2" xfId="21469" xr:uid="{F6E3CCED-5873-444A-A9ED-0838261ECE80}"/>
    <cellStyle name="20% - Akzent3 2 2 16 3" xfId="21468" xr:uid="{C04F576E-1014-406E-8491-729EF1A212DE}"/>
    <cellStyle name="20% - Akzent3 2 2 17" xfId="1904" xr:uid="{54D489E2-ADBE-4713-8007-5AC994D902D5}"/>
    <cellStyle name="20% - Akzent3 2 2 17 2" xfId="1905" xr:uid="{DA36C034-0EEB-4F4B-99F4-C056F8811DE3}"/>
    <cellStyle name="20% - Akzent3 2 2 17 2 2" xfId="21471" xr:uid="{4507A6F3-58DA-41A3-99F5-552535135AFF}"/>
    <cellStyle name="20% - Akzent3 2 2 17 3" xfId="21470" xr:uid="{7A04C94F-BEBE-4B7E-9A84-0E190865FF86}"/>
    <cellStyle name="20% - Akzent3 2 2 18" xfId="1906" xr:uid="{32467D2B-490F-4667-9073-C593B4B12690}"/>
    <cellStyle name="20% - Akzent3 2 2 18 2" xfId="1907" xr:uid="{2FD13A45-26E3-47A0-A5C1-7D20450C811D}"/>
    <cellStyle name="20% - Akzent3 2 2 18 2 2" xfId="21473" xr:uid="{A398409F-F542-4F0C-B58C-189364538224}"/>
    <cellStyle name="20% - Akzent3 2 2 18 3" xfId="21472" xr:uid="{F68C3C28-E6D1-4FD5-BECB-EF76D09902C2}"/>
    <cellStyle name="20% - Akzent3 2 2 19" xfId="1908" xr:uid="{001D8C0E-2A4F-4ACD-8EC5-2CC9E7B9E7CF}"/>
    <cellStyle name="20% - Akzent3 2 2 19 2" xfId="1909" xr:uid="{421D536A-6EF9-4EF2-8100-12EF5950B2B3}"/>
    <cellStyle name="20% - Akzent3 2 2 19 2 2" xfId="21475" xr:uid="{63DC048C-0B12-47ED-89EB-A6E4EF216096}"/>
    <cellStyle name="20% - Akzent3 2 2 19 3" xfId="21474" xr:uid="{8A3F8E14-BBB4-4C8C-A856-9B362CF55381}"/>
    <cellStyle name="20% - Akzent3 2 2 2" xfId="1910" xr:uid="{FE59897A-87CC-451E-B377-6B7902EE5578}"/>
    <cellStyle name="20% - Akzent3 2 2 2 10" xfId="1911" xr:uid="{7A0A0651-6420-4AA9-B1E2-B406BE2DAB88}"/>
    <cellStyle name="20% - Akzent3 2 2 2 10 2" xfId="1912" xr:uid="{583BBB23-BC3E-467C-BFBA-DB01AB37420B}"/>
    <cellStyle name="20% - Akzent3 2 2 2 10 2 2" xfId="21478" xr:uid="{3EED3352-C62D-49BB-8B81-AF89C63C6939}"/>
    <cellStyle name="20% - Akzent3 2 2 2 10 3" xfId="21477" xr:uid="{28B4D69B-4FD3-42DD-A939-6CF9B27E51F2}"/>
    <cellStyle name="20% - Akzent3 2 2 2 11" xfId="1913" xr:uid="{8F15EF93-6500-4530-91BD-591CCC9951B4}"/>
    <cellStyle name="20% - Akzent3 2 2 2 11 2" xfId="21479" xr:uid="{2B87AFCC-2FC8-4A43-86BD-96FAE7B5B149}"/>
    <cellStyle name="20% - Akzent3 2 2 2 12" xfId="21476" xr:uid="{F7AF4FBB-F2E7-45F2-A495-09B49523E4D1}"/>
    <cellStyle name="20% - Akzent3 2 2 2 13" xfId="39913" xr:uid="{05C2B141-B657-4958-94E9-D0A28500DE12}"/>
    <cellStyle name="20% - Akzent3 2 2 2 2" xfId="1914" xr:uid="{A05DF9FE-3239-4CF9-AC44-CC1B084D06A6}"/>
    <cellStyle name="20% - Akzent3 2 2 2 2 2" xfId="1915" xr:uid="{CDD19743-AA67-4328-AFA3-F17E8AACE36B}"/>
    <cellStyle name="20% - Akzent3 2 2 2 2 2 10" xfId="21480" xr:uid="{4FA5F8C8-2DB3-42A6-AABF-23B2E7938432}"/>
    <cellStyle name="20% - Akzent3 2 2 2 2 2 2" xfId="1916" xr:uid="{114CD480-E399-4DAC-A006-EB8C04400125}"/>
    <cellStyle name="20% - Akzent3 2 2 2 2 2 2 2" xfId="1917" xr:uid="{1D21A3D3-EED5-4D48-84E9-2A80A85D6FFB}"/>
    <cellStyle name="20% - Akzent3 2 2 2 2 2 2 2 2" xfId="1918" xr:uid="{D4562FBA-5613-410B-A887-3FC07C902181}"/>
    <cellStyle name="20% - Akzent3 2 2 2 2 2 2 2 2 2" xfId="21482" xr:uid="{499DF8F5-2713-469A-9B7F-3CE7C7131C2B}"/>
    <cellStyle name="20% - Akzent3 2 2 2 2 2 2 2 3" xfId="21481" xr:uid="{8A3C1972-18D5-4C74-AC3A-D6548927F88D}"/>
    <cellStyle name="20% - Akzent3 2 2 2 2 2 3" xfId="1919" xr:uid="{630858EA-9BED-4047-A637-EF24CC28C762}"/>
    <cellStyle name="20% - Akzent3 2 2 2 2 2 3 2" xfId="1920" xr:uid="{238FD3E2-C64B-4DBC-AAEC-CEEA31C8C5FC}"/>
    <cellStyle name="20% - Akzent3 2 2 2 2 2 3 2 2" xfId="21484" xr:uid="{3A6EA519-BF90-4166-8F50-504F6E53C7B3}"/>
    <cellStyle name="20% - Akzent3 2 2 2 2 2 3 3" xfId="21483" xr:uid="{10F4B82D-E1CE-4ADA-9F89-71CA193046F4}"/>
    <cellStyle name="20% - Akzent3 2 2 2 2 2 4" xfId="1921" xr:uid="{2FA8C694-8994-4733-A370-6F9988264C94}"/>
    <cellStyle name="20% - Akzent3 2 2 2 2 2 4 2" xfId="1922" xr:uid="{D3F61CB6-F2E1-46BA-AC6C-66DA9C2F4EFC}"/>
    <cellStyle name="20% - Akzent3 2 2 2 2 2 4 2 2" xfId="21486" xr:uid="{3453A733-A2CC-4BFB-9D71-E9536F6E0EE4}"/>
    <cellStyle name="20% - Akzent3 2 2 2 2 2 4 3" xfId="21485" xr:uid="{A1575661-343B-48FB-9125-8A1D9400BAEB}"/>
    <cellStyle name="20% - Akzent3 2 2 2 2 2 5" xfId="1923" xr:uid="{3A056AB5-87F1-4F3D-9312-348ACAAFB19B}"/>
    <cellStyle name="20% - Akzent3 2 2 2 2 2 5 2" xfId="1924" xr:uid="{57A234D3-CD87-46F0-862A-D2BE5E256D79}"/>
    <cellStyle name="20% - Akzent3 2 2 2 2 2 5 2 2" xfId="21488" xr:uid="{6C9B5AB2-BCE8-4580-A780-E5B82EA6CB34}"/>
    <cellStyle name="20% - Akzent3 2 2 2 2 2 5 3" xfId="21487" xr:uid="{FE1E95F5-E381-462A-870B-F1C91B704E56}"/>
    <cellStyle name="20% - Akzent3 2 2 2 2 2 6" xfId="1925" xr:uid="{922D01F5-11FB-4E87-A9C7-E3721BE3033D}"/>
    <cellStyle name="20% - Akzent3 2 2 2 2 2 6 2" xfId="1926" xr:uid="{EE2D74F4-D623-4E16-954D-8437ACCA12BF}"/>
    <cellStyle name="20% - Akzent3 2 2 2 2 2 6 2 2" xfId="21490" xr:uid="{7316726C-9B48-4A48-92E9-E70781CBA624}"/>
    <cellStyle name="20% - Akzent3 2 2 2 2 2 6 3" xfId="21489" xr:uid="{DEBFC332-365C-46F2-BAF6-0F0A88738279}"/>
    <cellStyle name="20% - Akzent3 2 2 2 2 2 7" xfId="1927" xr:uid="{A7E39E83-3D00-4ABA-9210-D3190F4D4617}"/>
    <cellStyle name="20% - Akzent3 2 2 2 2 2 7 2" xfId="1928" xr:uid="{55234446-4BAE-4EFC-919D-C0F6C17E5F14}"/>
    <cellStyle name="20% - Akzent3 2 2 2 2 2 7 2 2" xfId="21492" xr:uid="{3402E16A-13DB-45F2-A0C5-ED8FD83BE728}"/>
    <cellStyle name="20% - Akzent3 2 2 2 2 2 7 3" xfId="21491" xr:uid="{5D6F4BCF-CEAB-410C-9CC4-A8EBB8D3438A}"/>
    <cellStyle name="20% - Akzent3 2 2 2 2 2 8" xfId="1929" xr:uid="{A92F642B-9BBA-4AEE-905B-2E5A0374F86C}"/>
    <cellStyle name="20% - Akzent3 2 2 2 2 2 8 2" xfId="1930" xr:uid="{B16939AF-C786-4A9B-8CD9-02DD0E4F6FE4}"/>
    <cellStyle name="20% - Akzent3 2 2 2 2 2 8 2 2" xfId="21494" xr:uid="{0BE179E6-E00D-4328-A875-74EF411FF928}"/>
    <cellStyle name="20% - Akzent3 2 2 2 2 2 8 3" xfId="21493" xr:uid="{6AB409CA-5D0E-4389-AE65-276D9A5E6FFF}"/>
    <cellStyle name="20% - Akzent3 2 2 2 2 2 9" xfId="1931" xr:uid="{BD72A525-E7BE-4D41-B74A-252B4C02A92E}"/>
    <cellStyle name="20% - Akzent3 2 2 2 2 2 9 2" xfId="21495" xr:uid="{F8247FC4-E0E9-4EE6-A5E8-19B8FBF598F2}"/>
    <cellStyle name="20% - Akzent3 2 2 2 2 3" xfId="1932" xr:uid="{98C4CB77-8C72-4C21-BD31-315B7E5F60D5}"/>
    <cellStyle name="20% - Akzent3 2 2 2 2 3 2" xfId="1933" xr:uid="{FD67ADDE-F368-4166-A2D4-ED5B758C4A46}"/>
    <cellStyle name="20% - Akzent3 2 2 2 2 3 3" xfId="1934" xr:uid="{410C3888-5B56-454A-92E0-F8DEC1C80FAD}"/>
    <cellStyle name="20% - Akzent3 2 2 2 2 3 3 2" xfId="21497" xr:uid="{2E898675-BB5A-4C44-AF2D-1C33AFFC10C0}"/>
    <cellStyle name="20% - Akzent3 2 2 2 2 3 4" xfId="21496" xr:uid="{5265D04C-B80B-4307-8F9C-FE9F1A75F932}"/>
    <cellStyle name="20% - Akzent3 2 2 2 2 4" xfId="1935" xr:uid="{948B695C-B82D-45E0-A751-B2BDCB908A8B}"/>
    <cellStyle name="20% - Akzent3 2 2 2 2 5" xfId="1936" xr:uid="{AE35BA80-706B-46BE-973C-1DF49A79274B}"/>
    <cellStyle name="20% - Akzent3 2 2 2 2 6" xfId="1937" xr:uid="{10AC7C4F-9F22-4AD5-8E97-181A0F15527E}"/>
    <cellStyle name="20% - Akzent3 2 2 2 2 7" xfId="1938" xr:uid="{4C1BEB28-1619-46A6-B9D5-D0158291A096}"/>
    <cellStyle name="20% - Akzent3 2 2 2 2 8" xfId="1939" xr:uid="{E47E1D52-AC03-4814-A01C-0467CC8CC061}"/>
    <cellStyle name="20% - Akzent3 2 2 2 2 9" xfId="40859" xr:uid="{DC35B5DA-EF85-4447-8CA1-348E8177E47E}"/>
    <cellStyle name="20% - Akzent3 2 2 2 3" xfId="1940" xr:uid="{43D95587-6418-448A-B255-627703B4CD8F}"/>
    <cellStyle name="20% - Akzent3 2 2 2 3 2" xfId="1941" xr:uid="{C2310359-16D0-4734-A8AF-9D029976B97A}"/>
    <cellStyle name="20% - Akzent3 2 2 2 3 2 2" xfId="21499" xr:uid="{ED690997-F737-4FD3-AB9A-10C18F82CADE}"/>
    <cellStyle name="20% - Akzent3 2 2 2 3 3" xfId="21498" xr:uid="{E660F732-1D2C-4B23-934F-C5BC8F31AFB0}"/>
    <cellStyle name="20% - Akzent3 2 2 2 3 4" xfId="41719" xr:uid="{8C779F0F-FAE4-4768-97D5-B570A2C11E75}"/>
    <cellStyle name="20% - Akzent3 2 2 2 4" xfId="1942" xr:uid="{F6F47258-58D1-424B-A31E-956DF97A3718}"/>
    <cellStyle name="20% - Akzent3 2 2 2 4 2" xfId="1943" xr:uid="{1A3DD5B1-6CAB-4A77-87CD-9D230384433B}"/>
    <cellStyle name="20% - Akzent3 2 2 2 4 2 2" xfId="21501" xr:uid="{B4216792-F1B1-4D7B-89E6-F8533733457B}"/>
    <cellStyle name="20% - Akzent3 2 2 2 4 3" xfId="21500" xr:uid="{AC989194-93E0-403C-BD10-2455352E1BC4}"/>
    <cellStyle name="20% - Akzent3 2 2 2 5" xfId="1944" xr:uid="{BD8E5440-1AA6-4897-87DF-3BF3B1559753}"/>
    <cellStyle name="20% - Akzent3 2 2 2 5 2" xfId="1945" xr:uid="{FAC17F40-0651-421D-BC90-20DCF3E48383}"/>
    <cellStyle name="20% - Akzent3 2 2 2 5 2 2" xfId="1946" xr:uid="{D07731D1-DEBD-49A2-91F9-A994C49E2EF9}"/>
    <cellStyle name="20% - Akzent3 2 2 2 5 2 2 2" xfId="21503" xr:uid="{7BA34CE6-5E8B-48E0-9212-28B25E593428}"/>
    <cellStyle name="20% - Akzent3 2 2 2 5 2 3" xfId="21502" xr:uid="{A5534029-1A1D-47B2-9718-8481017D0DF6}"/>
    <cellStyle name="20% - Akzent3 2 2 2 6" xfId="1947" xr:uid="{966EA88D-0E62-429E-B32A-F4E88AA9540F}"/>
    <cellStyle name="20% - Akzent3 2 2 2 6 2" xfId="1948" xr:uid="{718C8095-0A29-4292-8E1E-DAEDC4EEBAFC}"/>
    <cellStyle name="20% - Akzent3 2 2 2 6 2 2" xfId="21505" xr:uid="{11A82460-FCAE-426A-B165-D81CF0D7BA59}"/>
    <cellStyle name="20% - Akzent3 2 2 2 6 3" xfId="21504" xr:uid="{8CA141B9-01F3-4B66-84A1-73EA18A234F8}"/>
    <cellStyle name="20% - Akzent3 2 2 2 7" xfId="1949" xr:uid="{A0A20759-9902-4D7D-9EA6-8950189DB791}"/>
    <cellStyle name="20% - Akzent3 2 2 2 7 2" xfId="1950" xr:uid="{AE1E18D8-8A43-4B81-8A98-AA472A5987DD}"/>
    <cellStyle name="20% - Akzent3 2 2 2 7 2 2" xfId="21507" xr:uid="{902D4447-229B-455A-8259-BA436DFEC937}"/>
    <cellStyle name="20% - Akzent3 2 2 2 7 3" xfId="21506" xr:uid="{8F748120-AAC9-456D-B61D-88AE977C1241}"/>
    <cellStyle name="20% - Akzent3 2 2 2 8" xfId="1951" xr:uid="{BA129D76-EE79-4DDC-B1D6-43B7B5031A3E}"/>
    <cellStyle name="20% - Akzent3 2 2 2 8 2" xfId="1952" xr:uid="{40987ACF-0DC2-4E43-A7E3-CE6FA10AEDB0}"/>
    <cellStyle name="20% - Akzent3 2 2 2 8 2 2" xfId="21509" xr:uid="{E17B8A02-798A-41F7-A8E3-06C619A6BE4D}"/>
    <cellStyle name="20% - Akzent3 2 2 2 8 3" xfId="21508" xr:uid="{68F2FB92-3AC4-4F07-BE99-31DEFB162C9A}"/>
    <cellStyle name="20% - Akzent3 2 2 2 9" xfId="1953" xr:uid="{63F25753-769E-44CC-9932-75F180D2A78A}"/>
    <cellStyle name="20% - Akzent3 2 2 2 9 2" xfId="1954" xr:uid="{7C23D9D2-EF37-4FA5-ADF8-EAFD7EF5121D}"/>
    <cellStyle name="20% - Akzent3 2 2 2 9 2 2" xfId="21511" xr:uid="{994FBDED-5405-4F8E-9F4F-0150F0951369}"/>
    <cellStyle name="20% - Akzent3 2 2 2 9 3" xfId="21510" xr:uid="{E571825C-9E5A-4507-AD61-6996FBF6FED0}"/>
    <cellStyle name="20% - Akzent3 2 2 20" xfId="1955" xr:uid="{E40FBC8F-5AF1-45EA-93B0-3F61FEA1AF83}"/>
    <cellStyle name="20% - Akzent3 2 2 20 2" xfId="1956" xr:uid="{E6C2EA20-0B40-4B36-82BE-CCD5BD0873F4}"/>
    <cellStyle name="20% - Akzent3 2 2 20 2 2" xfId="21513" xr:uid="{490DB4F4-EEBA-4C5C-B568-F9A5F54E5806}"/>
    <cellStyle name="20% - Akzent3 2 2 20 3" xfId="21512" xr:uid="{05704C3A-5110-4E1A-A80B-A42F0AFFA10A}"/>
    <cellStyle name="20% - Akzent3 2 2 21" xfId="1957" xr:uid="{564F78EB-60E8-413D-B770-BD7F62D8CCC4}"/>
    <cellStyle name="20% - Akzent3 2 2 21 2" xfId="1958" xr:uid="{55474BCB-75B5-4248-AA0E-69A5584E82EC}"/>
    <cellStyle name="20% - Akzent3 2 2 21 2 2" xfId="21515" xr:uid="{BF4C0C45-8662-40EE-A09C-4D3D94BBA417}"/>
    <cellStyle name="20% - Akzent3 2 2 21 3" xfId="21514" xr:uid="{C194CBAE-2588-4698-B265-76FE00D0515A}"/>
    <cellStyle name="20% - Akzent3 2 2 22" xfId="1959" xr:uid="{42491F1F-3E1B-4C74-BB1C-3C83203C4A6B}"/>
    <cellStyle name="20% - Akzent3 2 2 22 2" xfId="21516" xr:uid="{FEE2B9D7-2A05-4E9E-AF51-4D05EC8FB254}"/>
    <cellStyle name="20% - Akzent3 2 2 23" xfId="21461" xr:uid="{24BD82E3-5D36-425B-AB76-752B9374565F}"/>
    <cellStyle name="20% - Akzent3 2 2 24" xfId="39284" xr:uid="{7E301983-02B8-40E0-82E6-7582FF25B277}"/>
    <cellStyle name="20% - Akzent3 2 2 3" xfId="1960" xr:uid="{EB391D89-9A70-4184-A394-D0109C5F4D93}"/>
    <cellStyle name="20% - Akzent3 2 2 3 2" xfId="1961" xr:uid="{077985B0-F3A5-48B5-B7AE-2DA285C1D536}"/>
    <cellStyle name="20% - Akzent3 2 2 3 2 2" xfId="21518" xr:uid="{4889E1FE-AAF5-4E70-804A-2AFA1BC06648}"/>
    <cellStyle name="20% - Akzent3 2 2 3 3" xfId="21517" xr:uid="{774321B3-D55B-403F-97A0-AF7E76ABA72B}"/>
    <cellStyle name="20% - Akzent3 2 2 3 4" xfId="40439" xr:uid="{7FDE5F9A-2380-4460-9D55-7096E7AD2B87}"/>
    <cellStyle name="20% - Akzent3 2 2 4" xfId="1962" xr:uid="{FC34BCD3-ED1B-496C-81EB-82BEABACD108}"/>
    <cellStyle name="20% - Akzent3 2 2 4 2" xfId="1963" xr:uid="{BB263D6A-516F-4721-AD68-D6C808F8A09F}"/>
    <cellStyle name="20% - Akzent3 2 2 4 2 2" xfId="21520" xr:uid="{4F37A313-10BF-4302-9DE3-CDE6B2F1FB7E}"/>
    <cellStyle name="20% - Akzent3 2 2 4 3" xfId="21519" xr:uid="{4C196058-14A0-4BDF-8D25-8FEDA96DA86C}"/>
    <cellStyle name="20% - Akzent3 2 2 4 4" xfId="41299" xr:uid="{BBC9FF33-857E-4323-87FC-BDA9D4CAFE69}"/>
    <cellStyle name="20% - Akzent3 2 2 5" xfId="1964" xr:uid="{89E07990-8ED7-4966-83EA-B05C5DFD0978}"/>
    <cellStyle name="20% - Akzent3 2 2 5 2" xfId="1965" xr:uid="{0AA272F2-B828-42E6-86F1-10BFF9969253}"/>
    <cellStyle name="20% - Akzent3 2 2 5 3" xfId="1966" xr:uid="{FF2F0B03-9635-4438-AD19-EECF58C2725C}"/>
    <cellStyle name="20% - Akzent3 2 2 5 3 2" xfId="21522" xr:uid="{65E6ABBF-7D2C-477F-A2D9-81FD379ACD0C}"/>
    <cellStyle name="20% - Akzent3 2 2 5 4" xfId="21521" xr:uid="{B9B7D3A8-79EF-4C11-B9C6-6F1D85CD5D70}"/>
    <cellStyle name="20% - Akzent3 2 2 6" xfId="1967" xr:uid="{03A29841-9B69-4F92-A31B-A2E80C6DCBD6}"/>
    <cellStyle name="20% - Akzent3 2 2 7" xfId="1968" xr:uid="{2FBD90CC-6D25-4480-BDBF-598C39777E08}"/>
    <cellStyle name="20% - Akzent3 2 2 7 2" xfId="1969" xr:uid="{8BA4C337-7964-424C-BB2C-AEEFE6F55A1C}"/>
    <cellStyle name="20% - Akzent3 2 2 7 3" xfId="1970" xr:uid="{E9CB1CED-1C7B-42F0-AF2B-06DBA1E0B0DD}"/>
    <cellStyle name="20% - Akzent3 2 2 7 3 2" xfId="21524" xr:uid="{7499DA30-3CF4-4991-81AD-54576B177BE5}"/>
    <cellStyle name="20% - Akzent3 2 2 7 4" xfId="21523" xr:uid="{CF28106C-EF93-4832-9A5F-29B8217418AC}"/>
    <cellStyle name="20% - Akzent3 2 2 8" xfId="1971" xr:uid="{E8DB2045-0109-4081-8440-EE2A52A0E506}"/>
    <cellStyle name="20% - Akzent3 2 2 9" xfId="1972" xr:uid="{C616D619-B060-44F9-A7B6-4F45A9A672E5}"/>
    <cellStyle name="20% - Akzent3 2 20" xfId="1973" xr:uid="{34031CC5-5889-4A8F-AAD8-D00918512F2C}"/>
    <cellStyle name="20% - Akzent3 2 20 2" xfId="1974" xr:uid="{7D3B00DB-7B4F-4363-86C2-8C19F755A4BF}"/>
    <cellStyle name="20% - Akzent3 2 20 2 2" xfId="21526" xr:uid="{86A74F01-8385-44B4-A56E-3C37BC9264B6}"/>
    <cellStyle name="20% - Akzent3 2 20 3" xfId="21525" xr:uid="{2C998658-B414-40BB-B66B-9442181214D1}"/>
    <cellStyle name="20% - Akzent3 2 21" xfId="1975" xr:uid="{043FFF9A-A996-46F5-A5DD-8B8DDD7A907A}"/>
    <cellStyle name="20% - Akzent3 2 21 2" xfId="1976" xr:uid="{2EEDEE07-A655-4463-A942-62568ED64AC2}"/>
    <cellStyle name="20% - Akzent3 2 21 2 2" xfId="21528" xr:uid="{32910584-CED5-45E4-BC67-7587CC6AD2D1}"/>
    <cellStyle name="20% - Akzent3 2 21 3" xfId="21527" xr:uid="{A1F1417B-A442-442E-95B0-8CE9D7E92EC4}"/>
    <cellStyle name="20% - Akzent3 2 22" xfId="1977" xr:uid="{7F76470D-CEEC-4CB4-9E9A-42DDB9A7896E}"/>
    <cellStyle name="20% - Akzent3 2 22 2" xfId="1978" xr:uid="{3C4A5D4B-CE83-4511-81DD-BCD29281160A}"/>
    <cellStyle name="20% - Akzent3 2 22 2 2" xfId="21530" xr:uid="{47539BD3-BB1D-4A5C-A663-C57B3EF55A65}"/>
    <cellStyle name="20% - Akzent3 2 22 3" xfId="21529" xr:uid="{90B1C300-5046-4E54-853F-60DAFDBF4CCC}"/>
    <cellStyle name="20% - Akzent3 2 23" xfId="1979" xr:uid="{74A3DCE8-2641-4FB2-9598-207B3F534E00}"/>
    <cellStyle name="20% - Akzent3 2 23 2" xfId="1980" xr:uid="{CBF6AA2B-C6C6-460D-BE79-D4B42C9C6502}"/>
    <cellStyle name="20% - Akzent3 2 23 2 2" xfId="21532" xr:uid="{FB08B78A-3AD0-4724-9F2B-8C1279407E67}"/>
    <cellStyle name="20% - Akzent3 2 23 3" xfId="21531" xr:uid="{AE64B979-F0AE-4A47-81F8-EAC7D3852150}"/>
    <cellStyle name="20% - Akzent3 2 24" xfId="1981" xr:uid="{283298DA-AB18-4E4A-9E71-FE78A456EEB7}"/>
    <cellStyle name="20% - Akzent3 2 25" xfId="21440" xr:uid="{73BB81AC-9A1D-42F3-9D0C-C25BD40288BB}"/>
    <cellStyle name="20% - Akzent3 2 26" xfId="39283" xr:uid="{C6D24C68-4969-4B89-8604-775B631646B5}"/>
    <cellStyle name="20% - Akzent3 2 27" xfId="1871" xr:uid="{C73A8EE1-8DF4-4812-8232-B5DF1C30905F}"/>
    <cellStyle name="20% - Akzent3 2 3" xfId="1982" xr:uid="{D5CDD6C8-2BCE-4653-83F2-261F6255CFBB}"/>
    <cellStyle name="20% - Akzent3 2 3 10" xfId="1983" xr:uid="{4E7E71C8-A359-4E0A-BFEE-6555DF516AE4}"/>
    <cellStyle name="20% - Akzent3 2 3 10 2" xfId="1984" xr:uid="{A95C245B-B850-42FD-B3EC-31CD295D958C}"/>
    <cellStyle name="20% - Akzent3 2 3 10 2 2" xfId="21535" xr:uid="{965297AF-25A4-4AEF-B7B5-0CF48A7B4F27}"/>
    <cellStyle name="20% - Akzent3 2 3 10 3" xfId="21534" xr:uid="{997AB35A-5846-42E7-ADDB-AE71AAF4D362}"/>
    <cellStyle name="20% - Akzent3 2 3 11" xfId="1985" xr:uid="{55D51057-57DC-4F0E-9A6B-1FE2AA36E587}"/>
    <cellStyle name="20% - Akzent3 2 3 11 2" xfId="1986" xr:uid="{B7F0BB36-1961-4377-ADB4-3BA39F71ACBE}"/>
    <cellStyle name="20% - Akzent3 2 3 11 2 2" xfId="21537" xr:uid="{450D0B7B-E224-4A3F-ABBF-C49D85DE51DC}"/>
    <cellStyle name="20% - Akzent3 2 3 11 3" xfId="21536" xr:uid="{47C9D32F-BB27-4732-9276-7AD79A4329FE}"/>
    <cellStyle name="20% - Akzent3 2 3 12" xfId="1987" xr:uid="{AB18A9D6-1991-4BAD-9B9D-D254548C6C9C}"/>
    <cellStyle name="20% - Akzent3 2 3 12 2" xfId="1988" xr:uid="{599AC2BC-F74B-4200-BAAE-8D9DAD974015}"/>
    <cellStyle name="20% - Akzent3 2 3 12 2 2" xfId="21539" xr:uid="{17319FF2-060D-4A59-B511-FE6FF7C0621D}"/>
    <cellStyle name="20% - Akzent3 2 3 12 3" xfId="21538" xr:uid="{3DE74152-E3A7-4605-8CFE-04DADB79506A}"/>
    <cellStyle name="20% - Akzent3 2 3 13" xfId="1989" xr:uid="{1F6BE234-F34C-44B2-910B-93C60BB4367C}"/>
    <cellStyle name="20% - Akzent3 2 3 13 2" xfId="1990" xr:uid="{CEE00409-07C7-40EC-B29C-12BADE572D8B}"/>
    <cellStyle name="20% - Akzent3 2 3 13 2 2" xfId="21541" xr:uid="{22EAD106-C865-49F9-B4DA-4167C5857CB6}"/>
    <cellStyle name="20% - Akzent3 2 3 13 3" xfId="21540" xr:uid="{3BA8C563-C044-4B56-AF68-C33779A45EEB}"/>
    <cellStyle name="20% - Akzent3 2 3 14" xfId="1991" xr:uid="{CA484652-E015-463B-9BAA-54424C8121DD}"/>
    <cellStyle name="20% - Akzent3 2 3 14 2" xfId="1992" xr:uid="{400EFBEC-66F4-4DAE-9F1C-5483C40D186B}"/>
    <cellStyle name="20% - Akzent3 2 3 14 2 2" xfId="21543" xr:uid="{10349E65-BE90-4406-A9A3-CAD0CFD8F639}"/>
    <cellStyle name="20% - Akzent3 2 3 14 3" xfId="21542" xr:uid="{6CDC3DE3-598C-4C04-A407-E22C88CBC0A3}"/>
    <cellStyle name="20% - Akzent3 2 3 15" xfId="1993" xr:uid="{3E417422-C746-4240-A765-A37AA28E15FB}"/>
    <cellStyle name="20% - Akzent3 2 3 15 2" xfId="1994" xr:uid="{E79A5C8F-0F53-4327-B661-E5C9788873E3}"/>
    <cellStyle name="20% - Akzent3 2 3 15 2 2" xfId="21545" xr:uid="{810EC7F3-7592-4634-867B-11CA27D9A4B3}"/>
    <cellStyle name="20% - Akzent3 2 3 15 3" xfId="21544" xr:uid="{BF10B4D9-A891-44F1-A0B1-3C9B89396AD8}"/>
    <cellStyle name="20% - Akzent3 2 3 16" xfId="1995" xr:uid="{FD61E31B-9F84-49ED-A25A-B49640412733}"/>
    <cellStyle name="20% - Akzent3 2 3 16 2" xfId="1996" xr:uid="{F4EC4667-5126-429C-9185-87CB99DDA545}"/>
    <cellStyle name="20% - Akzent3 2 3 16 2 2" xfId="21547" xr:uid="{70A7B5A1-414B-4F4B-BC91-D7DB91F69762}"/>
    <cellStyle name="20% - Akzent3 2 3 16 3" xfId="21546" xr:uid="{2F370A19-6558-40DA-8BDF-EA069A639D86}"/>
    <cellStyle name="20% - Akzent3 2 3 17" xfId="1997" xr:uid="{4B05C107-8094-472C-ABD3-9A6A2C0CDC0D}"/>
    <cellStyle name="20% - Akzent3 2 3 17 2" xfId="1998" xr:uid="{D38807CC-FF25-44EB-97F1-E950F574F3DF}"/>
    <cellStyle name="20% - Akzent3 2 3 17 2 2" xfId="21549" xr:uid="{3BCC0D06-AFBA-424A-89B2-40F3E9B7C705}"/>
    <cellStyle name="20% - Akzent3 2 3 17 3" xfId="21548" xr:uid="{0BBAF6E3-B00B-4546-A95B-B12285EF097A}"/>
    <cellStyle name="20% - Akzent3 2 3 18" xfId="1999" xr:uid="{FADA66D5-D1FD-43EA-8813-BB2B958E95F1}"/>
    <cellStyle name="20% - Akzent3 2 3 18 2" xfId="2000" xr:uid="{D9E1F7B6-45E9-429D-8476-5D13EB232DEE}"/>
    <cellStyle name="20% - Akzent3 2 3 18 2 2" xfId="21551" xr:uid="{58875D9E-FF90-4BF5-A4F1-AFC7D213EDC2}"/>
    <cellStyle name="20% - Akzent3 2 3 18 3" xfId="21550" xr:uid="{E08D3FF8-46B9-400F-8E02-DF5587D14905}"/>
    <cellStyle name="20% - Akzent3 2 3 19" xfId="2001" xr:uid="{98A199E9-F96E-455F-A561-66C5B7B8066B}"/>
    <cellStyle name="20% - Akzent3 2 3 19 2" xfId="2002" xr:uid="{FE9A63B0-53F3-4231-9FB3-D6CAA03BA1D9}"/>
    <cellStyle name="20% - Akzent3 2 3 19 2 2" xfId="21553" xr:uid="{4D1B9988-6E37-46C6-B802-0F59D0E37358}"/>
    <cellStyle name="20% - Akzent3 2 3 19 3" xfId="21552" xr:uid="{03E3F325-BE07-4BCE-9B83-DC58CD12DBDD}"/>
    <cellStyle name="20% - Akzent3 2 3 2" xfId="2003" xr:uid="{53005A60-C915-4A0D-97A7-C801E0D188C1}"/>
    <cellStyle name="20% - Akzent3 2 3 2 2" xfId="2004" xr:uid="{4A8B9194-AF52-4E1C-A29C-2DBEFCB79BED}"/>
    <cellStyle name="20% - Akzent3 2 3 2 2 2" xfId="21555" xr:uid="{E8F996CA-1D47-4F6B-8B31-949639162F31}"/>
    <cellStyle name="20% - Akzent3 2 3 2 3" xfId="21554" xr:uid="{87FE4142-9EE8-4ED6-91DF-4FFD553BBD3D}"/>
    <cellStyle name="20% - Akzent3 2 3 2 4" xfId="40858" xr:uid="{81D7484E-E3B8-4644-A6FE-C5A137AAC2E1}"/>
    <cellStyle name="20% - Akzent3 2 3 20" xfId="2005" xr:uid="{89ADBB8D-ECA7-4EB6-8296-053D3DC837C4}"/>
    <cellStyle name="20% - Akzent3 2 3 20 2" xfId="2006" xr:uid="{9387D837-0FB8-4AB6-A006-65CFA6BD6CE5}"/>
    <cellStyle name="20% - Akzent3 2 3 20 2 2" xfId="21557" xr:uid="{140119E0-8912-47AF-AB1C-1D72A7A0B76C}"/>
    <cellStyle name="20% - Akzent3 2 3 20 3" xfId="21556" xr:uid="{299D16AC-F926-4F31-B977-D5C7A2A3BD38}"/>
    <cellStyle name="20% - Akzent3 2 3 21" xfId="2007" xr:uid="{D5E655B8-7E4F-4C32-A0D3-DA536119F631}"/>
    <cellStyle name="20% - Akzent3 2 3 21 2" xfId="2008" xr:uid="{0C6B7DAD-1330-432E-AFB3-D172A11A458F}"/>
    <cellStyle name="20% - Akzent3 2 3 21 2 2" xfId="21559" xr:uid="{6E850B18-77BD-43F2-8C86-0DFB3151FF40}"/>
    <cellStyle name="20% - Akzent3 2 3 21 3" xfId="21558" xr:uid="{400AEC61-7916-4217-B9EA-C35E130F131E}"/>
    <cellStyle name="20% - Akzent3 2 3 22" xfId="2009" xr:uid="{991B29EF-6A78-4F68-BFB0-A201F971D87A}"/>
    <cellStyle name="20% - Akzent3 2 3 22 2" xfId="21560" xr:uid="{EDEB561D-B27B-471B-BA7F-A1A5E676C694}"/>
    <cellStyle name="20% - Akzent3 2 3 23" xfId="21533" xr:uid="{804CFE54-E9E1-459B-BF30-F4CF97AF1C84}"/>
    <cellStyle name="20% - Akzent3 2 3 24" xfId="39912" xr:uid="{801522A1-EAAB-4F19-802B-D6B68573B627}"/>
    <cellStyle name="20% - Akzent3 2 3 3" xfId="2010" xr:uid="{31B8CCE5-7BF0-4AC9-8FDD-8657DBE3DC6C}"/>
    <cellStyle name="20% - Akzent3 2 3 3 2" xfId="2011" xr:uid="{7E6D49FD-C9DE-4B6F-8348-E5C9615A932A}"/>
    <cellStyle name="20% - Akzent3 2 3 3 2 2" xfId="21562" xr:uid="{CACEBE6F-D93A-4FD3-B05E-2079E712C37F}"/>
    <cellStyle name="20% - Akzent3 2 3 3 3" xfId="21561" xr:uid="{D641A254-EAE4-41C6-85E0-B3DC5503F556}"/>
    <cellStyle name="20% - Akzent3 2 3 3 4" xfId="41718" xr:uid="{10E23835-D954-481D-B8B9-FA6C77764E9E}"/>
    <cellStyle name="20% - Akzent3 2 3 4" xfId="2012" xr:uid="{657296BE-740D-4C6A-8FAF-D2D463E95D22}"/>
    <cellStyle name="20% - Akzent3 2 3 4 2" xfId="2013" xr:uid="{04E470B5-B3DE-4B68-B2CF-582937762D6C}"/>
    <cellStyle name="20% - Akzent3 2 3 4 2 2" xfId="21564" xr:uid="{EF58F0E5-0BAA-412B-B532-85F1E662FC40}"/>
    <cellStyle name="20% - Akzent3 2 3 4 3" xfId="21563" xr:uid="{8203CE13-AF4B-42DB-914F-5A178E7F5FEC}"/>
    <cellStyle name="20% - Akzent3 2 3 5" xfId="2014" xr:uid="{86972656-F090-478D-B261-A75CC0EE81C9}"/>
    <cellStyle name="20% - Akzent3 2 3 5 2" xfId="2015" xr:uid="{4278CDC7-048D-44BF-A0A2-76ADA05C9AF4}"/>
    <cellStyle name="20% - Akzent3 2 3 5 2 2" xfId="21566" xr:uid="{95B73E6E-B9B7-4AC4-822F-715ABB1F8BAE}"/>
    <cellStyle name="20% - Akzent3 2 3 5 3" xfId="21565" xr:uid="{BC7BB5A9-9D79-475F-95A0-ACA6064C8500}"/>
    <cellStyle name="20% - Akzent3 2 3 6" xfId="2016" xr:uid="{93A8DE36-DBEC-4775-B31E-335E7E6A68F8}"/>
    <cellStyle name="20% - Akzent3 2 3 6 2" xfId="2017" xr:uid="{14400A84-12D5-4A07-B099-FA1D79A83AA7}"/>
    <cellStyle name="20% - Akzent3 2 3 6 2 2" xfId="21568" xr:uid="{B6405985-D82B-4531-9292-E415D6986F8D}"/>
    <cellStyle name="20% - Akzent3 2 3 6 3" xfId="21567" xr:uid="{2478E476-24E3-4450-B669-D34C399CEAFC}"/>
    <cellStyle name="20% - Akzent3 2 3 7" xfId="2018" xr:uid="{E10010DF-AE6F-4431-95B8-99F183F5796E}"/>
    <cellStyle name="20% - Akzent3 2 3 7 2" xfId="2019" xr:uid="{51DF233B-E365-4EEB-86C7-3444E2596411}"/>
    <cellStyle name="20% - Akzent3 2 3 7 2 2" xfId="21570" xr:uid="{B087EAC8-1ED0-42E5-8D58-A58138CC80FF}"/>
    <cellStyle name="20% - Akzent3 2 3 7 3" xfId="21569" xr:uid="{DCEC3986-8158-441C-8000-B4E1F2685E60}"/>
    <cellStyle name="20% - Akzent3 2 3 8" xfId="2020" xr:uid="{04C96CFF-45A2-4E7C-9AEE-1D7255792118}"/>
    <cellStyle name="20% - Akzent3 2 3 8 2" xfId="2021" xr:uid="{419EE754-FD7C-4217-B7DC-35D366DB9CF5}"/>
    <cellStyle name="20% - Akzent3 2 3 8 2 2" xfId="21572" xr:uid="{599AAC3E-C8D3-4CBF-803B-3A5F5019DA5D}"/>
    <cellStyle name="20% - Akzent3 2 3 8 3" xfId="21571" xr:uid="{E13B4D57-13DB-4BC3-8A9C-D2569D6FB0AF}"/>
    <cellStyle name="20% - Akzent3 2 3 9" xfId="2022" xr:uid="{B18423DB-3622-40EE-905C-2B75751E39C4}"/>
    <cellStyle name="20% - Akzent3 2 3 9 2" xfId="2023" xr:uid="{5845CC00-EC9E-493D-AED1-4B522557ACBC}"/>
    <cellStyle name="20% - Akzent3 2 3 9 2 2" xfId="21574" xr:uid="{CF1C6DE5-A730-4003-B996-0331C43C211B}"/>
    <cellStyle name="20% - Akzent3 2 3 9 3" xfId="21573" xr:uid="{52C7FE50-0C32-433B-9320-5B1F88EA1E1F}"/>
    <cellStyle name="20% - Akzent3 2 4" xfId="2024" xr:uid="{870E12E3-C95F-4953-B1A6-8A4E572A4CC0}"/>
    <cellStyle name="20% - Akzent3 2 4 2" xfId="2025" xr:uid="{A45B93CC-FEFA-4B34-B37B-BDABE3FA1C04}"/>
    <cellStyle name="20% - Akzent3 2 4 2 2" xfId="2026" xr:uid="{0E891534-AE7D-46A8-A036-8920454CFBEC}"/>
    <cellStyle name="20% - Akzent3 2 4 2 3" xfId="2027" xr:uid="{E339686F-7642-404C-8328-CD0339CEA62A}"/>
    <cellStyle name="20% - Akzent3 2 4 2 3 2" xfId="21576" xr:uid="{BD5260C3-F1E5-4461-8188-CEB688C41B75}"/>
    <cellStyle name="20% - Akzent3 2 4 2 4" xfId="21575" xr:uid="{6F3BDB36-3FEC-4256-846D-57FE916F487B}"/>
    <cellStyle name="20% - Akzent3 2 4 3" xfId="2028" xr:uid="{41CFDFEA-5D3E-4976-B0D2-AA23E5B29742}"/>
    <cellStyle name="20% - Akzent3 2 4 4" xfId="2029" xr:uid="{4FC36496-CC62-4ABB-81FF-F2F4E77E1A68}"/>
    <cellStyle name="20% - Akzent3 2 4 5" xfId="40438" xr:uid="{1192E58C-ED6A-4CD3-B1E8-1B7D1AE8D838}"/>
    <cellStyle name="20% - Akzent3 2 5" xfId="2030" xr:uid="{8D5A59E4-BFC3-42D4-AB85-A8AA0031ECD2}"/>
    <cellStyle name="20% - Akzent3 2 5 2" xfId="41298" xr:uid="{8066FF9D-11AD-4457-BBF4-91887703EEF4}"/>
    <cellStyle name="20% - Akzent3 2 6" xfId="2031" xr:uid="{D2C119EC-17B9-414E-8831-360ECC349AD1}"/>
    <cellStyle name="20% - Akzent3 2 6 2" xfId="2032" xr:uid="{BD7F9EB0-DB44-4C2C-BB24-F383D4EE5761}"/>
    <cellStyle name="20% - Akzent3 2 6 2 2" xfId="2033" xr:uid="{43A8B1E2-3D79-477D-9824-E9341B1A8B30}"/>
    <cellStyle name="20% - Akzent3 2 6 2 2 2" xfId="21578" xr:uid="{41B931DC-6CCA-4975-B445-B90C6D153165}"/>
    <cellStyle name="20% - Akzent3 2 6 2 3" xfId="21577" xr:uid="{72BACEFA-706D-45E2-B60B-F2E681EC5B04}"/>
    <cellStyle name="20% - Akzent3 2 7" xfId="2034" xr:uid="{F4163265-33B5-48C1-82CE-A20C8A8D5887}"/>
    <cellStyle name="20% - Akzent3 2 7 2" xfId="2035" xr:uid="{4F43CE56-357C-4843-84D8-BE0553EC947B}"/>
    <cellStyle name="20% - Akzent3 2 7 2 2" xfId="21580" xr:uid="{FC1F9BC6-BBCC-435A-A6F4-46B85333637D}"/>
    <cellStyle name="20% - Akzent3 2 7 3" xfId="21579" xr:uid="{22FA286A-B9E0-4425-832F-3670DCAE3C30}"/>
    <cellStyle name="20% - Akzent3 2 8" xfId="2036" xr:uid="{B6BFF846-D420-4576-A08E-5F25C4DA53CC}"/>
    <cellStyle name="20% - Akzent3 2 8 2" xfId="2037" xr:uid="{87517DE7-C17A-41E1-8B3B-8B0ED2E39E1D}"/>
    <cellStyle name="20% - Akzent3 2 8 2 2" xfId="2038" xr:uid="{987B090C-638D-4AE7-9F09-164AB1B7A921}"/>
    <cellStyle name="20% - Akzent3 2 8 2 2 2" xfId="21582" xr:uid="{38B937E9-5899-4372-8575-D2AD7BD0E899}"/>
    <cellStyle name="20% - Akzent3 2 8 2 3" xfId="21581" xr:uid="{EDC976D1-E0FF-4D28-A881-438C5E09EAC7}"/>
    <cellStyle name="20% - Akzent3 2 9" xfId="2039" xr:uid="{B3420078-1813-4B2F-90EF-901D722E6E83}"/>
    <cellStyle name="20% - Akzent3 2 9 2" xfId="2040" xr:uid="{ADC4E9D6-BE43-4FAE-AD4F-3559B875E1F3}"/>
    <cellStyle name="20% - Akzent3 2 9 2 2" xfId="21584" xr:uid="{18379E1C-9944-49DB-B700-33288113F951}"/>
    <cellStyle name="20% - Akzent3 2 9 3" xfId="21583" xr:uid="{E6A6600A-1F7B-410A-8AF8-88E7693BCA6B}"/>
    <cellStyle name="20% - Akzent3 20" xfId="2041" xr:uid="{EA84BD0B-83C3-49A6-9918-0F1EC037520E}"/>
    <cellStyle name="20% - Akzent3 20 2" xfId="2042" xr:uid="{D75ADB77-DC08-42BB-BD34-D9A0DD4BAAD0}"/>
    <cellStyle name="20% - Akzent3 20 2 2" xfId="21586" xr:uid="{5BB085CB-5764-4446-BB91-86816A7971AC}"/>
    <cellStyle name="20% - Akzent3 20 3" xfId="2043" xr:uid="{AEC836FA-EAC2-4CEA-AA24-883A93AF2917}"/>
    <cellStyle name="20% - Akzent3 20 3 2" xfId="21587" xr:uid="{47F04210-DB1F-4DEE-AFF8-430A8839CC19}"/>
    <cellStyle name="20% - Akzent3 20 4" xfId="21585" xr:uid="{FF7EA3E3-93D1-43B9-9730-90CEAEC98D50}"/>
    <cellStyle name="20% - Akzent3 21" xfId="2044" xr:uid="{10630384-D521-4292-BA66-A75BE0474924}"/>
    <cellStyle name="20% - Akzent3 21 2" xfId="2045" xr:uid="{89B9EE47-CD28-45DE-8419-1363BD9911CE}"/>
    <cellStyle name="20% - Akzent3 21 2 2" xfId="21589" xr:uid="{B860E329-ADE7-4768-8A0F-C4F6DF6FD515}"/>
    <cellStyle name="20% - Akzent3 21 3" xfId="2046" xr:uid="{A0312CDD-57CE-498B-B616-3A14005C3D1E}"/>
    <cellStyle name="20% - Akzent3 21 3 2" xfId="21590" xr:uid="{A252CC07-BD40-46B5-B3D2-B2FF60F2FBB5}"/>
    <cellStyle name="20% - Akzent3 21 4" xfId="21588" xr:uid="{97FE60BD-8750-4FC4-BCBF-04A297C8E4F7}"/>
    <cellStyle name="20% - Akzent3 22" xfId="2047" xr:uid="{371D98A9-8DC3-4131-93A4-7BAC83571800}"/>
    <cellStyle name="20% - Akzent3 22 2" xfId="2048" xr:uid="{7DE89CDA-1CA5-4A8F-B358-AABB4516C1AD}"/>
    <cellStyle name="20% - Akzent3 22 2 2" xfId="21592" xr:uid="{21518D96-A02D-42A2-A2F8-4939851D92AC}"/>
    <cellStyle name="20% - Akzent3 22 3" xfId="2049" xr:uid="{F11B2E93-03E2-44CF-BC55-B08ACDE0795F}"/>
    <cellStyle name="20% - Akzent3 22 3 2" xfId="21593" xr:uid="{0C67463A-91BC-47A8-8D66-1B7750110F0F}"/>
    <cellStyle name="20% - Akzent3 22 4" xfId="21591" xr:uid="{21E4DB4F-A8F5-44D5-B04F-8BD1B293C0F4}"/>
    <cellStyle name="20% - Akzent3 23" xfId="2050" xr:uid="{076AEC38-E867-4238-858D-4FD866A96E1D}"/>
    <cellStyle name="20% - Akzent3 23 2" xfId="2051" xr:uid="{7AD699F2-2EE5-4DB4-90AB-2372E7F467AC}"/>
    <cellStyle name="20% - Akzent3 23 2 2" xfId="21595" xr:uid="{68141CAD-A5DA-4786-946A-22AD3A22386E}"/>
    <cellStyle name="20% - Akzent3 23 3" xfId="2052" xr:uid="{7C2F94F6-C405-4A6B-8BA0-2F7612EC55BA}"/>
    <cellStyle name="20% - Akzent3 23 3 2" xfId="21596" xr:uid="{706C59C1-A894-42C3-B960-A74F1BDCF1F1}"/>
    <cellStyle name="20% - Akzent3 23 4" xfId="21594" xr:uid="{4C8612FC-396E-455E-9929-8E984B9C5708}"/>
    <cellStyle name="20% - Akzent3 24" xfId="2053" xr:uid="{7EF00FBD-8FAE-47F2-B763-52A1F0ADEFF6}"/>
    <cellStyle name="20% - Akzent3 24 2" xfId="2054" xr:uid="{41B4F2D5-D80C-4C48-926C-0C2AEBF6FE78}"/>
    <cellStyle name="20% - Akzent3 24 2 2" xfId="21598" xr:uid="{C21A13CE-F03F-45A1-8DA7-63D0258FC7A1}"/>
    <cellStyle name="20% - Akzent3 24 3" xfId="2055" xr:uid="{AA578478-074B-4004-9D20-D9A4756A836B}"/>
    <cellStyle name="20% - Akzent3 24 3 2" xfId="21599" xr:uid="{92A01F2F-B79A-4BC4-9A1C-B9A5221257CC}"/>
    <cellStyle name="20% - Akzent3 24 4" xfId="21597" xr:uid="{42EB521B-5F99-4CF0-A0E9-D39B7095C8A4}"/>
    <cellStyle name="20% - Akzent3 25" xfId="2056" xr:uid="{5C2DB53F-9CFB-4562-B640-B4114DA229EC}"/>
    <cellStyle name="20% - Akzent3 25 2" xfId="2057" xr:uid="{0632DCD9-AAFC-43B5-99FB-DBD1EC83923B}"/>
    <cellStyle name="20% - Akzent3 25 2 2" xfId="21601" xr:uid="{86F6817F-62D0-48D7-90E2-13FB7B110CB0}"/>
    <cellStyle name="20% - Akzent3 25 3" xfId="2058" xr:uid="{C1B1C517-ABE1-40D0-BEDD-5B5825A7B2BB}"/>
    <cellStyle name="20% - Akzent3 25 3 2" xfId="21602" xr:uid="{C4920942-8A09-46C9-A5EA-89239949A84D}"/>
    <cellStyle name="20% - Akzent3 25 4" xfId="21600" xr:uid="{E4BEF1F7-38E9-44C4-975D-EDA2E7E7913B}"/>
    <cellStyle name="20% - Akzent3 26" xfId="2059" xr:uid="{16519FA3-F483-4597-9E3E-FEE4649E1237}"/>
    <cellStyle name="20% - Akzent3 26 2" xfId="2060" xr:uid="{29B6E089-FD59-4ED3-9079-A6C5CAD57ECC}"/>
    <cellStyle name="20% - Akzent3 26 2 2" xfId="21604" xr:uid="{111EDF50-9994-4607-97A9-7E406BA7BD29}"/>
    <cellStyle name="20% - Akzent3 26 3" xfId="2061" xr:uid="{F3979046-826B-4910-91F4-A79293A49D40}"/>
    <cellStyle name="20% - Akzent3 26 3 2" xfId="21605" xr:uid="{65FF6D31-7873-4B72-8B92-AFBC00C0E2C2}"/>
    <cellStyle name="20% - Akzent3 26 4" xfId="21603" xr:uid="{3D96F1BF-1ABF-4E4B-9F54-2CD60353E8C6}"/>
    <cellStyle name="20% - Akzent3 27" xfId="2062" xr:uid="{2769DF0A-91A3-471C-8F3B-BAA48BBEEC40}"/>
    <cellStyle name="20% - Akzent3 27 2" xfId="2063" xr:uid="{BB3FD46D-99E4-4800-BE3B-033A5CC89BC7}"/>
    <cellStyle name="20% - Akzent3 27 2 2" xfId="21607" xr:uid="{9E84A43E-53FD-45F8-B68D-A1CFB77A1568}"/>
    <cellStyle name="20% - Akzent3 27 3" xfId="2064" xr:uid="{EBD43588-4AEE-4702-B21A-980F1E8DFBFF}"/>
    <cellStyle name="20% - Akzent3 27 3 2" xfId="21608" xr:uid="{DC30220F-EFDB-4CBC-96A0-E3AC643E33FA}"/>
    <cellStyle name="20% - Akzent3 27 4" xfId="21606" xr:uid="{580DD007-758D-4753-AADD-1FCA7C7EF7F9}"/>
    <cellStyle name="20% - Akzent3 28" xfId="2065" xr:uid="{5FC8E26E-0E26-4C4E-A9F3-99B44F5CD22B}"/>
    <cellStyle name="20% - Akzent3 28 2" xfId="2066" xr:uid="{ECC75C12-C9EA-43C9-AE3C-A416B992BE19}"/>
    <cellStyle name="20% - Akzent3 28 2 2" xfId="21610" xr:uid="{4080206E-3D22-4653-8E01-01917495CFEC}"/>
    <cellStyle name="20% - Akzent3 28 3" xfId="2067" xr:uid="{73A82C11-C945-4BF5-9DE0-7841BAB98B1A}"/>
    <cellStyle name="20% - Akzent3 28 3 2" xfId="21611" xr:uid="{83763844-6FCF-49F9-B688-E069DBC90F0F}"/>
    <cellStyle name="20% - Akzent3 28 4" xfId="21609" xr:uid="{29807EA5-BE80-44F7-A048-59F0817A941D}"/>
    <cellStyle name="20% - Akzent3 29" xfId="2068" xr:uid="{2E7310E8-8A3C-43BF-8F12-EC4C387D6C1D}"/>
    <cellStyle name="20% - Akzent3 29 2" xfId="2069" xr:uid="{F9F0A6E1-9865-4337-A830-9AA396863E4C}"/>
    <cellStyle name="20% - Akzent3 29 2 2" xfId="21613" xr:uid="{595779F7-CE75-4686-AABE-86612FB0A1AC}"/>
    <cellStyle name="20% - Akzent3 29 3" xfId="2070" xr:uid="{04DB058D-A3C7-4C12-8540-6C6AB2B3FFBA}"/>
    <cellStyle name="20% - Akzent3 29 3 2" xfId="21614" xr:uid="{70FDA9D4-EADE-4E6D-B856-428BB09B0A76}"/>
    <cellStyle name="20% - Akzent3 29 4" xfId="21612" xr:uid="{9BC70359-F833-4C6E-BD22-DBA11FBD969A}"/>
    <cellStyle name="20% - Akzent3 3" xfId="117" xr:uid="{D67FDE7A-3385-487C-BC19-50D7DB2C475B}"/>
    <cellStyle name="20% - Akzent3 3 10" xfId="2072" xr:uid="{C13F50B6-0814-45A8-9EA5-DF9249FB81AB}"/>
    <cellStyle name="20% - Akzent3 3 10 2" xfId="2073" xr:uid="{E35A0F8D-994E-4D2F-A01C-11E470C9F78C}"/>
    <cellStyle name="20% - Akzent3 3 10 2 2" xfId="21617" xr:uid="{D785A0BC-EFD6-4B6E-8DEF-9444AC31786B}"/>
    <cellStyle name="20% - Akzent3 3 10 3" xfId="21616" xr:uid="{52388273-7015-412E-BFB6-77C077201699}"/>
    <cellStyle name="20% - Akzent3 3 11" xfId="2074" xr:uid="{44E1FFDE-0A26-42A0-90B9-88167F0F8086}"/>
    <cellStyle name="20% - Akzent3 3 11 2" xfId="2075" xr:uid="{948CC74B-9838-40E7-B1C6-36F2905ED7AA}"/>
    <cellStyle name="20% - Akzent3 3 11 2 2" xfId="21619" xr:uid="{0248A000-BE27-49F7-86B1-701EFC612B1A}"/>
    <cellStyle name="20% - Akzent3 3 11 3" xfId="21618" xr:uid="{33B6DBA5-0552-4061-BB3E-6F7465A5497B}"/>
    <cellStyle name="20% - Akzent3 3 12" xfId="2076" xr:uid="{736A5C2F-69BD-4AF1-AFB4-E28513B71639}"/>
    <cellStyle name="20% - Akzent3 3 12 2" xfId="2077" xr:uid="{A452CC1D-BD23-4046-A0F8-B133EF924C81}"/>
    <cellStyle name="20% - Akzent3 3 12 2 2" xfId="21621" xr:uid="{57D52309-1C09-4CF6-9AE9-E44D63A5D315}"/>
    <cellStyle name="20% - Akzent3 3 12 3" xfId="21620" xr:uid="{173EE32A-0710-4D08-8E92-4857B617CF6C}"/>
    <cellStyle name="20% - Akzent3 3 13" xfId="2078" xr:uid="{5CBA248C-F0C3-4ADF-A999-488CC5AE6E0E}"/>
    <cellStyle name="20% - Akzent3 3 13 2" xfId="2079" xr:uid="{FD766F36-49DD-4891-ADDA-3F224CF3EB7E}"/>
    <cellStyle name="20% - Akzent3 3 13 2 2" xfId="21623" xr:uid="{4F355852-F252-45D3-B405-A860009426CA}"/>
    <cellStyle name="20% - Akzent3 3 13 3" xfId="21622" xr:uid="{480A83AD-DE60-451D-91D0-F5B58ACABB16}"/>
    <cellStyle name="20% - Akzent3 3 14" xfId="2080" xr:uid="{C5BEE9D6-5FA3-4107-8513-E7D2BEE73C0A}"/>
    <cellStyle name="20% - Akzent3 3 14 2" xfId="2081" xr:uid="{B8B88FEA-623A-49ED-B5F4-B36949DC8960}"/>
    <cellStyle name="20% - Akzent3 3 14 2 2" xfId="21625" xr:uid="{8DA70796-3D5F-41A2-9A96-F38C1438E303}"/>
    <cellStyle name="20% - Akzent3 3 14 3" xfId="21624" xr:uid="{D70BDB78-3542-41E0-AB35-DB690A363868}"/>
    <cellStyle name="20% - Akzent3 3 15" xfId="2082" xr:uid="{77D52206-9779-41A5-AD24-20F4A2C555CA}"/>
    <cellStyle name="20% - Akzent3 3 15 2" xfId="2083" xr:uid="{41BC553E-169A-4CDD-84FD-88BD536D2114}"/>
    <cellStyle name="20% - Akzent3 3 15 2 2" xfId="21627" xr:uid="{5193FFC4-31B1-4636-A7BF-E81938A65568}"/>
    <cellStyle name="20% - Akzent3 3 15 3" xfId="21626" xr:uid="{5871677C-F70F-4D94-AD93-33B47F5B8C77}"/>
    <cellStyle name="20% - Akzent3 3 16" xfId="2084" xr:uid="{F691B8A1-E941-44E6-85BF-023293BC0B88}"/>
    <cellStyle name="20% - Akzent3 3 16 2" xfId="2085" xr:uid="{D878C90E-56C8-4041-851D-6D19212A41CA}"/>
    <cellStyle name="20% - Akzent3 3 16 2 2" xfId="21629" xr:uid="{C728408C-36F5-417E-942D-0FD7D7CEED44}"/>
    <cellStyle name="20% - Akzent3 3 16 3" xfId="21628" xr:uid="{07517C5B-3E62-412A-80D5-0FC841D6ABAF}"/>
    <cellStyle name="20% - Akzent3 3 17" xfId="2086" xr:uid="{88E103D4-D2B2-4367-AC74-F1FDC14E4B13}"/>
    <cellStyle name="20% - Akzent3 3 17 2" xfId="2087" xr:uid="{B1A7E413-3911-4A70-8C6C-5F9E6832880B}"/>
    <cellStyle name="20% - Akzent3 3 17 2 2" xfId="21631" xr:uid="{4C53BB6F-6102-4916-B5DC-0EDD59F7F115}"/>
    <cellStyle name="20% - Akzent3 3 17 3" xfId="21630" xr:uid="{1ACDA8F5-0065-43DD-8DAF-1861E9414EBE}"/>
    <cellStyle name="20% - Akzent3 3 18" xfId="2088" xr:uid="{045CCE54-36DC-4B8D-8665-37BA9BD0727D}"/>
    <cellStyle name="20% - Akzent3 3 18 2" xfId="2089" xr:uid="{9C38D2A6-F156-41C1-8517-F25F19CFBBE2}"/>
    <cellStyle name="20% - Akzent3 3 18 2 2" xfId="21633" xr:uid="{3B4015D5-595A-498D-804C-CB6C77162262}"/>
    <cellStyle name="20% - Akzent3 3 18 3" xfId="21632" xr:uid="{F0547BCF-7FDD-47DB-AE4B-5294A8838968}"/>
    <cellStyle name="20% - Akzent3 3 19" xfId="2090" xr:uid="{1447844E-6DDF-4019-B091-156121D354B1}"/>
    <cellStyle name="20% - Akzent3 3 19 2" xfId="2091" xr:uid="{1056665C-7DC0-496B-9A5E-343A8DC8490B}"/>
    <cellStyle name="20% - Akzent3 3 19 2 2" xfId="21635" xr:uid="{356BBDF8-EFF1-4D4B-82AF-D4443F668E38}"/>
    <cellStyle name="20% - Akzent3 3 19 3" xfId="21634" xr:uid="{27EE1DC0-3854-43C4-81BB-4B0EBADDA7C7}"/>
    <cellStyle name="20% - Akzent3 3 2" xfId="2092" xr:uid="{7C1E719F-772D-49E2-9DBE-F9249CD75213}"/>
    <cellStyle name="20% - Akzent3 3 2 2" xfId="2093" xr:uid="{F0373F6A-2099-41EB-9CEA-A2E72E292A10}"/>
    <cellStyle name="20% - Akzent3 3 2 2 2" xfId="2094" xr:uid="{72B178F2-F856-403C-8E80-99F8B3D95ABD}"/>
    <cellStyle name="20% - Akzent3 3 2 2 3" xfId="2095" xr:uid="{A8A55B6A-C342-441E-A69F-FAD65E933898}"/>
    <cellStyle name="20% - Akzent3 3 2 2 3 2" xfId="21637" xr:uid="{5AEB0F76-8C8C-41CD-9953-F3A3288954E5}"/>
    <cellStyle name="20% - Akzent3 3 2 2 4" xfId="21636" xr:uid="{23987871-B68C-49B9-8CFD-33876DBE2D21}"/>
    <cellStyle name="20% - Akzent3 3 2 2 5" xfId="40861" xr:uid="{78B60CF3-2B5F-42E6-AF30-C05676FD72C6}"/>
    <cellStyle name="20% - Akzent3 3 2 3" xfId="2096" xr:uid="{C6234E6C-FBA4-4179-881E-C8CF1BBA6C7D}"/>
    <cellStyle name="20% - Akzent3 3 2 3 2" xfId="41721" xr:uid="{E0205970-C18A-4AE3-915F-C71517FDEE79}"/>
    <cellStyle name="20% - Akzent3 3 2 4" xfId="2097" xr:uid="{6A939882-E54D-4013-A19B-79FFFB0A4994}"/>
    <cellStyle name="20% - Akzent3 3 2 5" xfId="39915" xr:uid="{AE8852F1-A9A2-4945-A2BA-020EE395A04A}"/>
    <cellStyle name="20% - Akzent3 3 20" xfId="2098" xr:uid="{6E612249-7AE4-47EF-93BB-1E6C37DD611B}"/>
    <cellStyle name="20% - Akzent3 3 20 2" xfId="2099" xr:uid="{D13DCB5D-881D-4525-86A1-83CD102DF4C3}"/>
    <cellStyle name="20% - Akzent3 3 20 2 2" xfId="21639" xr:uid="{C56B3A11-A198-4BA8-9980-AC4EA2829484}"/>
    <cellStyle name="20% - Akzent3 3 20 3" xfId="21638" xr:uid="{56751B2F-AA57-42C8-9681-0013BFACAC0B}"/>
    <cellStyle name="20% - Akzent3 3 21" xfId="2100" xr:uid="{8CAD2CC7-AD9D-4535-954F-22A97D7D7478}"/>
    <cellStyle name="20% - Akzent3 3 21 2" xfId="2101" xr:uid="{85E8223B-DF66-4E31-B06F-1ADB86B6D487}"/>
    <cellStyle name="20% - Akzent3 3 21 2 2" xfId="21641" xr:uid="{622A3FFA-E251-4F3B-9C8F-F179CC3F8DBC}"/>
    <cellStyle name="20% - Akzent3 3 21 3" xfId="21640" xr:uid="{4C78C383-D65D-4520-BF59-8DF1DE91F33B}"/>
    <cellStyle name="20% - Akzent3 3 22" xfId="2102" xr:uid="{AD34BAE5-7ED7-4077-AED1-2E668DC4D361}"/>
    <cellStyle name="20% - Akzent3 3 22 2" xfId="21642" xr:uid="{039C15F6-9D2D-498F-A27B-754D9519A3F9}"/>
    <cellStyle name="20% - Akzent3 3 23" xfId="2103" xr:uid="{E3017773-3502-43C2-81E4-027F61B4ACF2}"/>
    <cellStyle name="20% - Akzent3 3 23 2" xfId="21643" xr:uid="{1EABEDFB-B16F-4B45-8196-E70F91A59788}"/>
    <cellStyle name="20% - Akzent3 3 24" xfId="21615" xr:uid="{A2F16B91-5F2F-4DE8-910B-6A8B26C45B49}"/>
    <cellStyle name="20% - Akzent3 3 25" xfId="39285" xr:uid="{F56C50B4-B05B-47FC-905B-0EB0EED229C0}"/>
    <cellStyle name="20% - Akzent3 3 26" xfId="2071" xr:uid="{852F8492-6890-4A60-A4AF-AFAC36E1101A}"/>
    <cellStyle name="20% - Akzent3 3 3" xfId="2104" xr:uid="{A5EF2748-AE71-47CA-B95D-F5C9F40829BF}"/>
    <cellStyle name="20% - Akzent3 3 3 2" xfId="40860" xr:uid="{BBFAB614-F327-46B1-9DC0-39FAB1A377E4}"/>
    <cellStyle name="20% - Akzent3 3 3 3" xfId="41720" xr:uid="{6029AB64-2A0B-4CBB-92F9-BB3DEBA436FB}"/>
    <cellStyle name="20% - Akzent3 3 3 4" xfId="39914" xr:uid="{3237BCF4-9F79-47CA-B272-980098F64867}"/>
    <cellStyle name="20% - Akzent3 3 4" xfId="2105" xr:uid="{05460F7D-5646-4035-9159-5B3C4094FD43}"/>
    <cellStyle name="20% - Akzent3 3 4 2" xfId="40440" xr:uid="{BA70620C-2FFA-41B0-9A56-C6BABC2867C6}"/>
    <cellStyle name="20% - Akzent3 3 5" xfId="2106" xr:uid="{5CFACD24-FE31-4956-A46E-91F8B6803AD0}"/>
    <cellStyle name="20% - Akzent3 3 5 2" xfId="2107" xr:uid="{FE1E5364-5FEC-447C-AA97-7D856B0ABDEA}"/>
    <cellStyle name="20% - Akzent3 3 5 2 2" xfId="2108" xr:uid="{39EC2C33-55EE-4920-94BE-A004DA4B892F}"/>
    <cellStyle name="20% - Akzent3 3 5 2 2 2" xfId="21645" xr:uid="{CFB3AF26-2380-4B48-A728-E4437E546C64}"/>
    <cellStyle name="20% - Akzent3 3 5 2 3" xfId="21644" xr:uid="{11123252-D969-44E9-A9E3-3273A05CE512}"/>
    <cellStyle name="20% - Akzent3 3 5 3" xfId="41300" xr:uid="{F4FB373C-4107-4803-8CEC-BFB81D6DC18F}"/>
    <cellStyle name="20% - Akzent3 3 6" xfId="2109" xr:uid="{EC81E463-8D39-4A1C-AE47-ADB6BB72A46B}"/>
    <cellStyle name="20% - Akzent3 3 6 2" xfId="2110" xr:uid="{84C7004C-0B53-4F8D-93E9-34A791C6686A}"/>
    <cellStyle name="20% - Akzent3 3 6 2 2" xfId="21647" xr:uid="{E5A8CCE7-D02C-4B66-95BC-541FC5F3EBE4}"/>
    <cellStyle name="20% - Akzent3 3 6 3" xfId="21646" xr:uid="{1FDC07D8-086C-491B-A600-65B01276BE8B}"/>
    <cellStyle name="20% - Akzent3 3 7" xfId="2111" xr:uid="{D0B6207A-5190-494D-A061-C23AE46FC00C}"/>
    <cellStyle name="20% - Akzent3 3 7 2" xfId="2112" xr:uid="{29E97EA3-9DC7-4B69-85B5-E1D17E9385A0}"/>
    <cellStyle name="20% - Akzent3 3 7 2 2" xfId="21649" xr:uid="{67E74467-2055-4F38-93D7-D6DBA1329926}"/>
    <cellStyle name="20% - Akzent3 3 7 3" xfId="21648" xr:uid="{67F5CAD2-9D73-4508-BAA2-F2C133DB6425}"/>
    <cellStyle name="20% - Akzent3 3 8" xfId="2113" xr:uid="{A967AFA5-F328-4E1B-8AF0-CF5AF0FAEE42}"/>
    <cellStyle name="20% - Akzent3 3 8 2" xfId="2114" xr:uid="{38617FE8-878B-4329-92FC-5E034C117767}"/>
    <cellStyle name="20% - Akzent3 3 8 2 2" xfId="21651" xr:uid="{165B54C7-7616-4960-913E-9C490693DBE9}"/>
    <cellStyle name="20% - Akzent3 3 8 3" xfId="21650" xr:uid="{AEEDBE4D-06ED-43DE-BE49-7C73A3D96D1B}"/>
    <cellStyle name="20% - Akzent3 3 9" xfId="2115" xr:uid="{9C338328-34C2-4B9A-AF87-A9D91BCF0CE6}"/>
    <cellStyle name="20% - Akzent3 3 9 2" xfId="2116" xr:uid="{AC08AAAC-1F84-4C2F-BB30-D156AC8D3AB0}"/>
    <cellStyle name="20% - Akzent3 3 9 2 2" xfId="21653" xr:uid="{1030A889-4E9A-48A5-BA67-8C3C397BAF64}"/>
    <cellStyle name="20% - Akzent3 3 9 3" xfId="21652" xr:uid="{2DFD4079-5F38-4AE9-83D0-3B5142FF110B}"/>
    <cellStyle name="20% - Akzent3 30" xfId="2117" xr:uid="{527E4E5C-7AB0-4EAA-A8E7-120CB6B43FE4}"/>
    <cellStyle name="20% - Akzent3 30 2" xfId="2118" xr:uid="{FFB0D857-22E9-4D1E-AD7C-5DFA2C0E50DA}"/>
    <cellStyle name="20% - Akzent3 30 2 2" xfId="21655" xr:uid="{9DF75692-F3D3-4D41-A0AF-B9920A282FC7}"/>
    <cellStyle name="20% - Akzent3 30 3" xfId="2119" xr:uid="{B0279C30-2CFB-4492-A856-B1489EF255C9}"/>
    <cellStyle name="20% - Akzent3 30 3 2" xfId="21656" xr:uid="{57D9238D-D75B-48E3-B318-EFC806538E90}"/>
    <cellStyle name="20% - Akzent3 30 4" xfId="21654" xr:uid="{D004479D-A781-4041-B82B-20721D2DDFFB}"/>
    <cellStyle name="20% - Akzent3 31" xfId="2120" xr:uid="{90991E2A-238E-496A-83EC-EF99E8065889}"/>
    <cellStyle name="20% - Akzent3 31 2" xfId="2121" xr:uid="{6732B7D0-F36D-4157-B2F4-2AB5F30A7FA2}"/>
    <cellStyle name="20% - Akzent3 31 2 2" xfId="21658" xr:uid="{22C0E016-A087-4CF4-92A1-EA2D6BCE92C5}"/>
    <cellStyle name="20% - Akzent3 31 3" xfId="2122" xr:uid="{4590622E-59E5-4820-BF3A-6C4590F97157}"/>
    <cellStyle name="20% - Akzent3 31 3 2" xfId="21659" xr:uid="{A612FA1C-65C8-476E-A80C-911FDC6778AF}"/>
    <cellStyle name="20% - Akzent3 31 4" xfId="21657" xr:uid="{42D601A3-09D0-49C8-B48D-C63AF22F66E3}"/>
    <cellStyle name="20% - Akzent3 32" xfId="2123" xr:uid="{2277C59D-628E-4C59-B618-243385E11539}"/>
    <cellStyle name="20% - Akzent3 32 2" xfId="2124" xr:uid="{BAF43C98-3746-4BFA-834B-464CA83514D8}"/>
    <cellStyle name="20% - Akzent3 32 2 2" xfId="21661" xr:uid="{5A762188-093B-4C65-92ED-BB6F9E33B486}"/>
    <cellStyle name="20% - Akzent3 32 3" xfId="2125" xr:uid="{0C61253D-134F-45A7-BDA2-0E722E601983}"/>
    <cellStyle name="20% - Akzent3 32 3 2" xfId="21662" xr:uid="{7DFF6075-3A65-4CE9-B22A-83034EB53834}"/>
    <cellStyle name="20% - Akzent3 32 4" xfId="21660" xr:uid="{99DBA646-8543-47ED-8FBF-116149ACD7EA}"/>
    <cellStyle name="20% - Akzent3 33" xfId="2126" xr:uid="{C59C499D-2B6F-4851-8270-D099584DA0BB}"/>
    <cellStyle name="20% - Akzent3 33 2" xfId="2127" xr:uid="{81F64057-DAE1-47C1-BBCB-A0AA7C0604B7}"/>
    <cellStyle name="20% - Akzent3 33 2 2" xfId="21664" xr:uid="{329156F4-92FE-496E-9F39-A1764FE9C72E}"/>
    <cellStyle name="20% - Akzent3 33 3" xfId="2128" xr:uid="{59CADD35-E8C0-4452-8D61-5F1CF93DCC42}"/>
    <cellStyle name="20% - Akzent3 33 3 2" xfId="21665" xr:uid="{BE459384-245B-4951-B904-FCF98DA1BCD7}"/>
    <cellStyle name="20% - Akzent3 33 4" xfId="21663" xr:uid="{F7CCC01F-46E5-48BA-B97A-6C453B8E810C}"/>
    <cellStyle name="20% - Akzent3 34" xfId="2129" xr:uid="{4269CDA1-6A75-47CB-8814-1F314F74115D}"/>
    <cellStyle name="20% - Akzent3 34 2" xfId="2130" xr:uid="{D66240F5-ACD4-424A-9D48-063E1233B9EF}"/>
    <cellStyle name="20% - Akzent3 34 2 2" xfId="21667" xr:uid="{ACA64D78-61A8-4D19-A9DB-644B86A6CA28}"/>
    <cellStyle name="20% - Akzent3 34 3" xfId="2131" xr:uid="{92D90C37-5272-414B-8FBF-8ACB15FF5E3B}"/>
    <cellStyle name="20% - Akzent3 34 3 2" xfId="21668" xr:uid="{21BA440B-30EC-4604-BDF7-1656C63F749E}"/>
    <cellStyle name="20% - Akzent3 34 4" xfId="21666" xr:uid="{444BBDAA-378A-47AC-BA9A-90B9213214AF}"/>
    <cellStyle name="20% - Akzent3 35" xfId="2132" xr:uid="{836A4737-8F5D-4069-BC43-CD1EE910B1A7}"/>
    <cellStyle name="20% - Akzent3 35 2" xfId="2133" xr:uid="{61F7B777-2147-47A3-8050-BAE3219C1DBE}"/>
    <cellStyle name="20% - Akzent3 35 2 2" xfId="21670" xr:uid="{150483F4-0B4B-444D-B412-84EE78C42475}"/>
    <cellStyle name="20% - Akzent3 35 3" xfId="2134" xr:uid="{37AB909E-682D-4830-8AA0-50443A61D403}"/>
    <cellStyle name="20% - Akzent3 35 3 2" xfId="21671" xr:uid="{3CFF9714-E5A3-4FAE-9661-3DD2367D0B89}"/>
    <cellStyle name="20% - Akzent3 35 4" xfId="21669" xr:uid="{95F3D335-9D91-4AB8-9A81-344EE76662B8}"/>
    <cellStyle name="20% - Akzent3 36" xfId="2135" xr:uid="{A5240141-53A6-403A-9A4E-C57061EF1024}"/>
    <cellStyle name="20% - Akzent3 36 2" xfId="2136" xr:uid="{8C1B6502-81D8-4BB6-B017-EC57A1ED64FC}"/>
    <cellStyle name="20% - Akzent3 36 2 2" xfId="21673" xr:uid="{8F047591-0B83-41D8-8653-781A3B3702F8}"/>
    <cellStyle name="20% - Akzent3 36 3" xfId="2137" xr:uid="{81745C3F-B226-43AA-9210-33CBC977EBBE}"/>
    <cellStyle name="20% - Akzent3 36 3 2" xfId="21674" xr:uid="{9A6A72BE-C84A-4B33-85BE-2BB097DD6549}"/>
    <cellStyle name="20% - Akzent3 36 4" xfId="21672" xr:uid="{B52D9DC4-BA62-410B-9EFD-56BA39B97D57}"/>
    <cellStyle name="20% - Akzent3 37" xfId="2138" xr:uid="{66EB7194-D19B-4B55-B2E7-752B06CBC2B2}"/>
    <cellStyle name="20% - Akzent3 37 2" xfId="2139" xr:uid="{7BF7456E-5A80-427F-BB49-8E0623420CF0}"/>
    <cellStyle name="20% - Akzent3 37 2 2" xfId="21676" xr:uid="{20F671CE-DF73-4319-BB99-81D3F37909F7}"/>
    <cellStyle name="20% - Akzent3 37 3" xfId="21675" xr:uid="{CFC7A140-BEC6-46B2-B3E7-AC7A299038EF}"/>
    <cellStyle name="20% - Akzent3 38" xfId="2140" xr:uid="{BCD6F372-0693-4AE6-B187-1B0899E684EC}"/>
    <cellStyle name="20% - Akzent3 38 2" xfId="2141" xr:uid="{84855D0F-D343-44E6-B541-0C2EFE11FE00}"/>
    <cellStyle name="20% - Akzent3 38 2 2" xfId="21678" xr:uid="{203D98F6-2E0C-4493-BEE8-6D567035B306}"/>
    <cellStyle name="20% - Akzent3 38 3" xfId="21677" xr:uid="{6B16A5B0-870D-4431-A56E-C859D720CC56}"/>
    <cellStyle name="20% - Akzent3 39" xfId="2142" xr:uid="{A36FEFE1-7F54-4FA7-A580-576775AA37CA}"/>
    <cellStyle name="20% - Akzent3 39 2" xfId="2143" xr:uid="{F651F139-B15F-473D-98F6-8101AC35940A}"/>
    <cellStyle name="20% - Akzent3 39 2 2" xfId="21680" xr:uid="{7C2E53C4-3549-47C2-8420-66BE605666D3}"/>
    <cellStyle name="20% - Akzent3 39 3" xfId="21679" xr:uid="{4E0D3E1F-FB17-4EB7-98F1-8C337CC48F2E}"/>
    <cellStyle name="20% - Akzent3 4" xfId="131" xr:uid="{9FBDF286-D821-418E-BA76-F23C04B346C3}"/>
    <cellStyle name="20% - Akzent3 4 10" xfId="2145" xr:uid="{F3C5FF15-191E-41F6-848B-044C7A71C2AD}"/>
    <cellStyle name="20% - Akzent3 4 10 2" xfId="2146" xr:uid="{F21450EE-5301-4CAF-A6C9-4C9969EE45D5}"/>
    <cellStyle name="20% - Akzent3 4 10 2 2" xfId="21683" xr:uid="{15B3D4E9-7BA4-4D22-94D6-B3B1D61D241F}"/>
    <cellStyle name="20% - Akzent3 4 10 3" xfId="21682" xr:uid="{B91ED926-C9F5-43DD-94A9-9ABA044AC11A}"/>
    <cellStyle name="20% - Akzent3 4 11" xfId="2147" xr:uid="{5E773A75-E881-4771-B4C0-E4BACA907AB2}"/>
    <cellStyle name="20% - Akzent3 4 11 2" xfId="2148" xr:uid="{14F3DA72-17A7-437E-9A88-0646E478E4B9}"/>
    <cellStyle name="20% - Akzent3 4 11 2 2" xfId="21685" xr:uid="{5C72E888-21AB-4F72-9ADA-046FCF266CA9}"/>
    <cellStyle name="20% - Akzent3 4 11 3" xfId="21684" xr:uid="{78AB90EA-74E1-46F3-A624-B8BA590A0E9D}"/>
    <cellStyle name="20% - Akzent3 4 12" xfId="2149" xr:uid="{FFC680B1-68F5-4625-9893-0811550A4BF1}"/>
    <cellStyle name="20% - Akzent3 4 12 2" xfId="2150" xr:uid="{DDAD4DCF-B92F-4609-85EE-87C3D8996550}"/>
    <cellStyle name="20% - Akzent3 4 12 2 2" xfId="21687" xr:uid="{1784F581-A971-4E50-97A9-4F962C270741}"/>
    <cellStyle name="20% - Akzent3 4 12 3" xfId="21686" xr:uid="{D8579F9B-FE61-43E2-8BB4-BEC138C83A23}"/>
    <cellStyle name="20% - Akzent3 4 13" xfId="2151" xr:uid="{9F2F5748-5EA5-420F-BBDA-D12F89D08458}"/>
    <cellStyle name="20% - Akzent3 4 13 2" xfId="2152" xr:uid="{836C435B-57D8-4F7D-A8D8-D4F7432A791B}"/>
    <cellStyle name="20% - Akzent3 4 13 2 2" xfId="21689" xr:uid="{B651B5A3-783B-440E-A99B-CBD7459FA386}"/>
    <cellStyle name="20% - Akzent3 4 13 3" xfId="21688" xr:uid="{5A5B59A8-0D76-494E-975D-C5F3BB21E04A}"/>
    <cellStyle name="20% - Akzent3 4 14" xfId="2153" xr:uid="{9A2C2E80-36BF-40FE-BF70-459C1E02B573}"/>
    <cellStyle name="20% - Akzent3 4 14 2" xfId="2154" xr:uid="{DCC575E5-B6CE-403B-8FE1-6E0FB5F0ACD5}"/>
    <cellStyle name="20% - Akzent3 4 14 2 2" xfId="21691" xr:uid="{6394CD8C-F68B-44F3-B058-F9418D9FEBC6}"/>
    <cellStyle name="20% - Akzent3 4 14 3" xfId="21690" xr:uid="{7C93973F-FFBF-4468-A0D8-A6CA2742C590}"/>
    <cellStyle name="20% - Akzent3 4 15" xfId="2155" xr:uid="{BCD2F0E1-14AB-4E35-BF8F-EC55EABCA3ED}"/>
    <cellStyle name="20% - Akzent3 4 15 2" xfId="2156" xr:uid="{5ECFB77F-980B-44B7-8474-47E9774B865E}"/>
    <cellStyle name="20% - Akzent3 4 15 2 2" xfId="21693" xr:uid="{7F114174-73B8-437A-B1A9-8152D9BFCD87}"/>
    <cellStyle name="20% - Akzent3 4 15 3" xfId="21692" xr:uid="{D38B9305-385E-401B-B9B9-094E3B062185}"/>
    <cellStyle name="20% - Akzent3 4 16" xfId="2157" xr:uid="{A8220245-7DCB-4515-9E50-412C3C165A88}"/>
    <cellStyle name="20% - Akzent3 4 16 2" xfId="2158" xr:uid="{651E4AB4-7912-4F6F-AD6B-5D3027CC3A4F}"/>
    <cellStyle name="20% - Akzent3 4 16 2 2" xfId="21695" xr:uid="{B5D2B8BE-85B8-4508-B1F0-3CFDDA532809}"/>
    <cellStyle name="20% - Akzent3 4 16 3" xfId="21694" xr:uid="{19A7EB18-206B-4D04-A51D-50B83C132EBB}"/>
    <cellStyle name="20% - Akzent3 4 17" xfId="2159" xr:uid="{686DD0FD-E1E6-45F8-9543-AC9A041F6338}"/>
    <cellStyle name="20% - Akzent3 4 17 2" xfId="2160" xr:uid="{E130E611-B4A3-48EF-AC13-137AA52A50FE}"/>
    <cellStyle name="20% - Akzent3 4 17 2 2" xfId="21697" xr:uid="{831C379A-262F-4677-AB02-0E8E7C9134AF}"/>
    <cellStyle name="20% - Akzent3 4 17 3" xfId="21696" xr:uid="{518F1D17-196D-43EC-BE10-3D55D303E7D5}"/>
    <cellStyle name="20% - Akzent3 4 18" xfId="2161" xr:uid="{786374F3-81B6-417E-87DF-F84784D46246}"/>
    <cellStyle name="20% - Akzent3 4 18 2" xfId="2162" xr:uid="{00F479FC-3F7F-4658-A643-8E279FDBB703}"/>
    <cellStyle name="20% - Akzent3 4 18 2 2" xfId="21699" xr:uid="{161F458A-FA1F-48B3-ABCA-E0703161D917}"/>
    <cellStyle name="20% - Akzent3 4 18 3" xfId="21698" xr:uid="{49E0E6D3-DA88-4F67-9DF3-FC5D39C4AEF5}"/>
    <cellStyle name="20% - Akzent3 4 19" xfId="2163" xr:uid="{3C164A07-3A82-4935-A90C-2D7DBCA94AA7}"/>
    <cellStyle name="20% - Akzent3 4 19 2" xfId="2164" xr:uid="{E1A062A4-3DDD-41A8-8A14-06B6BBB8596B}"/>
    <cellStyle name="20% - Akzent3 4 19 2 2" xfId="21701" xr:uid="{485365CB-9A99-43E1-A309-C6BE9FDD41A2}"/>
    <cellStyle name="20% - Akzent3 4 19 3" xfId="21700" xr:uid="{61077AFD-50CE-4612-A1B2-4045FD90700C}"/>
    <cellStyle name="20% - Akzent3 4 2" xfId="2165" xr:uid="{D6E7872E-709C-4836-A618-F75A201B68CA}"/>
    <cellStyle name="20% - Akzent3 4 2 2" xfId="2166" xr:uid="{8765D866-3426-4B1B-A6AE-64F776EE3936}"/>
    <cellStyle name="20% - Akzent3 4 2 2 2" xfId="2167" xr:uid="{C1675C69-D888-49CF-A33B-6DCE127D1D0D}"/>
    <cellStyle name="20% - Akzent3 4 2 2 2 2" xfId="21703" xr:uid="{CA86ADBB-3551-46BC-BD9B-5F0D4269202C}"/>
    <cellStyle name="20% - Akzent3 4 2 2 3" xfId="21702" xr:uid="{C8169609-0CD3-4492-9D57-3E0C43C8DAC0}"/>
    <cellStyle name="20% - Akzent3 4 2 2 4" xfId="40863" xr:uid="{AD58D6AC-777F-430D-A43D-1D74E16EFCC4}"/>
    <cellStyle name="20% - Akzent3 4 2 3" xfId="41723" xr:uid="{E9DD4339-6788-4DC5-A1F7-0A8433760932}"/>
    <cellStyle name="20% - Akzent3 4 2 4" xfId="39917" xr:uid="{BBD84380-2D5A-4FAB-B84B-4F93ED251A10}"/>
    <cellStyle name="20% - Akzent3 4 20" xfId="2168" xr:uid="{8133651B-DE2A-40D0-8F10-96E40E4F589F}"/>
    <cellStyle name="20% - Akzent3 4 20 2" xfId="2169" xr:uid="{AD034A3B-D106-47A6-9515-B017D72D2DBC}"/>
    <cellStyle name="20% - Akzent3 4 20 2 2" xfId="21705" xr:uid="{D07C60F3-B6F8-4E51-A4E2-6FBAE3B91333}"/>
    <cellStyle name="20% - Akzent3 4 20 3" xfId="21704" xr:uid="{D610D2B0-5A88-4915-A5EA-2AAA78CA8A1E}"/>
    <cellStyle name="20% - Akzent3 4 21" xfId="2170" xr:uid="{A6195285-41DA-40FF-8F44-CA5AA5BA47DB}"/>
    <cellStyle name="20% - Akzent3 4 21 2" xfId="2171" xr:uid="{92C7EB98-F344-40FF-9C43-50025D56651B}"/>
    <cellStyle name="20% - Akzent3 4 21 2 2" xfId="21707" xr:uid="{9680335C-2A41-4A0E-BCF4-FE96C58B92BB}"/>
    <cellStyle name="20% - Akzent3 4 21 3" xfId="21706" xr:uid="{7E9BFE27-4453-4560-A210-AC93EAD5D0B9}"/>
    <cellStyle name="20% - Akzent3 4 22" xfId="2172" xr:uid="{71386DF2-59BD-4CD7-8633-39CB56E8AFB2}"/>
    <cellStyle name="20% - Akzent3 4 22 2" xfId="21708" xr:uid="{79EB66E2-87EE-40C7-B318-BA7F793BDF06}"/>
    <cellStyle name="20% - Akzent3 4 23" xfId="2173" xr:uid="{DA51F619-E159-4245-BBBC-48D074435D33}"/>
    <cellStyle name="20% - Akzent3 4 23 2" xfId="21709" xr:uid="{D99E8E34-200E-4859-8F7B-48D35E96771E}"/>
    <cellStyle name="20% - Akzent3 4 24" xfId="21681" xr:uid="{5CB75A99-4AD1-463B-868B-40125DE9A855}"/>
    <cellStyle name="20% - Akzent3 4 25" xfId="39286" xr:uid="{36B53298-255E-4285-9428-6996737F5CAE}"/>
    <cellStyle name="20% - Akzent3 4 26" xfId="2144" xr:uid="{58E5F477-D9FF-4C9C-ACDA-126B7CDA7656}"/>
    <cellStyle name="20% - Akzent3 4 3" xfId="2174" xr:uid="{FB8CD9C8-A146-4B5E-AC3B-8BBB885510FE}"/>
    <cellStyle name="20% - Akzent3 4 3 2" xfId="2175" xr:uid="{BE6300D8-79F6-4B68-8012-86DAA6197004}"/>
    <cellStyle name="20% - Akzent3 4 3 2 2" xfId="21711" xr:uid="{A097F11B-8821-45DB-93A2-62B3196A2C3F}"/>
    <cellStyle name="20% - Akzent3 4 3 2 3" xfId="40862" xr:uid="{CD5E362E-E872-41BE-B683-EAEAE9872BF5}"/>
    <cellStyle name="20% - Akzent3 4 3 3" xfId="21710" xr:uid="{844E49DC-2839-49B8-905B-FE4D5A10F4F6}"/>
    <cellStyle name="20% - Akzent3 4 3 3 2" xfId="41722" xr:uid="{09AE1349-9140-4E1A-B39C-F0EFC9670D53}"/>
    <cellStyle name="20% - Akzent3 4 3 4" xfId="39916" xr:uid="{9FA74DDF-23F1-40E6-8B15-EC6E834FB1C2}"/>
    <cellStyle name="20% - Akzent3 4 4" xfId="2176" xr:uid="{F54CE848-FE5B-44D5-A9AF-4164A7490E29}"/>
    <cellStyle name="20% - Akzent3 4 4 2" xfId="2177" xr:uid="{203D6948-7E74-4AF5-95DE-BB4D543C05A7}"/>
    <cellStyle name="20% - Akzent3 4 4 2 2" xfId="21713" xr:uid="{F2F26AA7-C578-4DC7-B266-9CCE41BD7C36}"/>
    <cellStyle name="20% - Akzent3 4 4 3" xfId="21712" xr:uid="{F2B1F7B4-65D3-4EB4-AEE0-34E2F5B150BD}"/>
    <cellStyle name="20% - Akzent3 4 4 4" xfId="40441" xr:uid="{1D0778C7-C795-4A3A-8323-A5766BDE67BA}"/>
    <cellStyle name="20% - Akzent3 4 5" xfId="2178" xr:uid="{469E59DD-3F4C-49A3-893A-0613EAA8ACE1}"/>
    <cellStyle name="20% - Akzent3 4 5 2" xfId="2179" xr:uid="{439521DF-73E2-44C4-856B-C8764A0B61D9}"/>
    <cellStyle name="20% - Akzent3 4 5 2 2" xfId="21715" xr:uid="{80663FAE-377B-48D4-9957-9C69899B2D3A}"/>
    <cellStyle name="20% - Akzent3 4 5 3" xfId="21714" xr:uid="{04239B43-2EAD-47CF-BA63-AEA2E764CBC0}"/>
    <cellStyle name="20% - Akzent3 4 5 4" xfId="41301" xr:uid="{8222C647-163F-41A6-8D68-3F8F70ABEAA3}"/>
    <cellStyle name="20% - Akzent3 4 6" xfId="2180" xr:uid="{EBB23D8B-4487-4FC0-9ABC-9AC9B4E82E26}"/>
    <cellStyle name="20% - Akzent3 4 6 2" xfId="2181" xr:uid="{FBE1DFA8-0CC4-4CD4-93A9-664BFF4F05D5}"/>
    <cellStyle name="20% - Akzent3 4 6 2 2" xfId="21717" xr:uid="{8D63E057-C595-467C-9F10-E1049098DFEA}"/>
    <cellStyle name="20% - Akzent3 4 6 3" xfId="21716" xr:uid="{3504A191-D395-4127-8BC0-A23D517ECDAB}"/>
    <cellStyle name="20% - Akzent3 4 7" xfId="2182" xr:uid="{77F632D0-556D-4501-98E1-1C680168570E}"/>
    <cellStyle name="20% - Akzent3 4 7 2" xfId="2183" xr:uid="{6653C4F8-7BBF-4B77-A0D5-841434B4EE41}"/>
    <cellStyle name="20% - Akzent3 4 7 2 2" xfId="21719" xr:uid="{9DA4FB2F-CBEE-41AB-A992-E4E98AA9E7A3}"/>
    <cellStyle name="20% - Akzent3 4 7 3" xfId="21718" xr:uid="{0E086A0A-36E2-4275-99E1-2C0C82C32B05}"/>
    <cellStyle name="20% - Akzent3 4 8" xfId="2184" xr:uid="{B08D7F39-6C04-4D62-8E9C-4489133009CD}"/>
    <cellStyle name="20% - Akzent3 4 8 2" xfId="2185" xr:uid="{25785B8D-E51D-4083-A112-753C07F45B2F}"/>
    <cellStyle name="20% - Akzent3 4 8 2 2" xfId="21721" xr:uid="{FCC7869A-2195-48F4-95B6-76016B61BB19}"/>
    <cellStyle name="20% - Akzent3 4 8 3" xfId="21720" xr:uid="{2DD20984-1412-42DE-9996-45E1ACD9779D}"/>
    <cellStyle name="20% - Akzent3 4 9" xfId="2186" xr:uid="{955EF5B9-F62A-4ABB-A296-537A05478519}"/>
    <cellStyle name="20% - Akzent3 4 9 2" xfId="2187" xr:uid="{B1B664D5-9418-49EC-866A-F926691B450D}"/>
    <cellStyle name="20% - Akzent3 4 9 2 2" xfId="21723" xr:uid="{1C175AA6-C26E-4B82-A0A7-7C6C29BE21D7}"/>
    <cellStyle name="20% - Akzent3 4 9 3" xfId="21722" xr:uid="{60851CBB-DB81-44C3-9BC8-727D8E0E2048}"/>
    <cellStyle name="20% - Akzent3 40" xfId="2188" xr:uid="{D14788CD-A23A-462F-9418-D51C062F22C1}"/>
    <cellStyle name="20% - Akzent3 40 2" xfId="2189" xr:uid="{FF46264E-3955-4D78-B917-78BC479C7713}"/>
    <cellStyle name="20% - Akzent3 40 2 2" xfId="21725" xr:uid="{9E5E1F74-CADF-4CFE-85DD-0217F031630F}"/>
    <cellStyle name="20% - Akzent3 40 3" xfId="21724" xr:uid="{3AC1E8C7-1F14-45B8-B538-D9354C4BE466}"/>
    <cellStyle name="20% - Akzent3 41" xfId="2190" xr:uid="{846B735E-66E6-4A6D-AFD1-7DF271E2235B}"/>
    <cellStyle name="20% - Akzent3 41 2" xfId="2191" xr:uid="{4407447D-A4BF-4011-8A50-C2E9511C62EB}"/>
    <cellStyle name="20% - Akzent3 41 2 2" xfId="21727" xr:uid="{28624532-FA2C-4773-BAC4-9D0A51996D34}"/>
    <cellStyle name="20% - Akzent3 41 3" xfId="21726" xr:uid="{3872CC76-EBD6-4D23-BD37-4D47346A7566}"/>
    <cellStyle name="20% - Akzent3 42" xfId="2192" xr:uid="{CC6824BF-4EE5-4F7F-B013-2CE74C9637D0}"/>
    <cellStyle name="20% - Akzent3 42 2" xfId="2193" xr:uid="{53468AC4-CBA1-4214-BA14-3270C384EB3D}"/>
    <cellStyle name="20% - Akzent3 42 2 2" xfId="21729" xr:uid="{53B2C0DF-D14E-4DBB-8AE6-2CFA4A38C936}"/>
    <cellStyle name="20% - Akzent3 42 3" xfId="21728" xr:uid="{83B73DE7-5F42-42A0-A237-79A9B0CC5B8E}"/>
    <cellStyle name="20% - Akzent3 43" xfId="2194" xr:uid="{422C92F2-21D7-4554-A241-1EAB4A148A64}"/>
    <cellStyle name="20% - Akzent3 43 2" xfId="2195" xr:uid="{653BA7CB-9EB0-41E1-86BC-8F4514EC7472}"/>
    <cellStyle name="20% - Akzent3 43 2 2" xfId="21731" xr:uid="{D128FF06-1797-426E-BA28-C995395290CD}"/>
    <cellStyle name="20% - Akzent3 43 3" xfId="21730" xr:uid="{3D7FD5D2-2948-42E9-8632-BDA4FD822AD4}"/>
    <cellStyle name="20% - Akzent3 44" xfId="2196" xr:uid="{047524FB-941A-4E9D-AB58-16F2760E5F60}"/>
    <cellStyle name="20% - Akzent3 44 2" xfId="2197" xr:uid="{42FE6B1C-7B7A-4C13-A68C-027CC9DB3666}"/>
    <cellStyle name="20% - Akzent3 44 2 2" xfId="21733" xr:uid="{DA36C564-D26E-4626-A30D-7AD97A2533DD}"/>
    <cellStyle name="20% - Akzent3 44 3" xfId="21732" xr:uid="{D29FB225-57A8-4786-B62C-16BFA49E2A1B}"/>
    <cellStyle name="20% - Akzent3 45" xfId="2198" xr:uid="{947FCB97-2199-4070-A515-743FCC84F19C}"/>
    <cellStyle name="20% - Akzent3 45 2" xfId="2199" xr:uid="{83B39D59-0FB0-44D5-B58B-D8B2FBED618E}"/>
    <cellStyle name="20% - Akzent3 45 2 2" xfId="21735" xr:uid="{FF34F1C7-807E-4832-A274-7921A7C037EB}"/>
    <cellStyle name="20% - Akzent3 45 3" xfId="21734" xr:uid="{B924C11B-CA11-4A4F-A768-4E17437E08D7}"/>
    <cellStyle name="20% - Akzent3 46" xfId="2200" xr:uid="{4DF5A218-1C6B-458C-A5DC-1C071E8A860F}"/>
    <cellStyle name="20% - Akzent3 46 2" xfId="2201" xr:uid="{57D8EAC4-B5DF-43F7-9E72-EE08223CAAD4}"/>
    <cellStyle name="20% - Akzent3 46 2 2" xfId="21737" xr:uid="{B5A84B4A-447B-4924-8494-1CF0559B46B7}"/>
    <cellStyle name="20% - Akzent3 46 3" xfId="21736" xr:uid="{7229EE24-3885-4181-BC24-EA50760BEB32}"/>
    <cellStyle name="20% - Akzent3 47" xfId="2202" xr:uid="{31F1E6E6-E6F1-46AF-A016-DF4BDA044C4C}"/>
    <cellStyle name="20% - Akzent3 47 2" xfId="2203" xr:uid="{8AE01A29-3FDB-41A9-B7F4-2FAF0F4E4F22}"/>
    <cellStyle name="20% - Akzent3 47 2 2" xfId="21739" xr:uid="{1EB69721-BF2C-48E7-9BB9-E5DC12763286}"/>
    <cellStyle name="20% - Akzent3 47 3" xfId="21738" xr:uid="{8DC5B836-8FAE-44CB-A7EE-DFCEBE17B938}"/>
    <cellStyle name="20% - Akzent3 48" xfId="2204" xr:uid="{F0C323B9-559F-404F-A6DA-A1A67C18E817}"/>
    <cellStyle name="20% - Akzent3 48 2" xfId="2205" xr:uid="{7A488285-51B5-4BD6-88F1-2A344A7E05C3}"/>
    <cellStyle name="20% - Akzent3 48 2 2" xfId="21741" xr:uid="{BD1787D0-16B8-4FE4-93DA-A1EB8180D102}"/>
    <cellStyle name="20% - Akzent3 48 3" xfId="21740" xr:uid="{34FA88AB-4102-40BA-B100-A69267060FCB}"/>
    <cellStyle name="20% - Akzent3 49" xfId="2206" xr:uid="{59BA308A-17EA-4807-AE8E-D6FB7B66B14D}"/>
    <cellStyle name="20% - Akzent3 49 2" xfId="2207" xr:uid="{55705983-657D-4163-9EBD-F35DCA22F0E1}"/>
    <cellStyle name="20% - Akzent3 49 2 2" xfId="21743" xr:uid="{EEECEF4F-9316-4EE9-B71F-2C87326E26D7}"/>
    <cellStyle name="20% - Akzent3 49 3" xfId="21742" xr:uid="{EFD87765-9E32-4F35-A920-2A94F7E77C73}"/>
    <cellStyle name="20% - Akzent3 5" xfId="2208" xr:uid="{884C0CE7-B86A-4EAF-BD7E-6B7D99AB4DDD}"/>
    <cellStyle name="20% - Akzent3 5 10" xfId="2209" xr:uid="{E17B5121-F231-4BAE-BE3C-B625D0DA075D}"/>
    <cellStyle name="20% - Akzent3 5 10 2" xfId="2210" xr:uid="{204C60CC-4F2D-42BD-889E-95E27C48DDC0}"/>
    <cellStyle name="20% - Akzent3 5 10 2 2" xfId="21746" xr:uid="{10601AFE-A2ED-471E-A1A6-0EC6F9B7C48F}"/>
    <cellStyle name="20% - Akzent3 5 10 3" xfId="21745" xr:uid="{FC650149-4AF1-45B9-A0BC-AC18208DABBA}"/>
    <cellStyle name="20% - Akzent3 5 11" xfId="2211" xr:uid="{9C32FB02-C8DA-4FFB-9420-98D5D7576191}"/>
    <cellStyle name="20% - Akzent3 5 11 2" xfId="2212" xr:uid="{182A5352-E494-4E1F-91AB-E1DEEAD2FE90}"/>
    <cellStyle name="20% - Akzent3 5 11 2 2" xfId="21748" xr:uid="{2903DB20-A772-4910-AA8F-F448617792D7}"/>
    <cellStyle name="20% - Akzent3 5 11 3" xfId="21747" xr:uid="{E19EE7AA-201E-4205-B89E-6E08ADE075AC}"/>
    <cellStyle name="20% - Akzent3 5 12" xfId="2213" xr:uid="{FD2A8000-BB21-4E1A-AF09-51B8356A9629}"/>
    <cellStyle name="20% - Akzent3 5 12 2" xfId="2214" xr:uid="{DF28D1DA-D371-43B4-8A00-95E3FFCED69A}"/>
    <cellStyle name="20% - Akzent3 5 12 2 2" xfId="21750" xr:uid="{51666FD0-137B-4132-834B-A472647D044A}"/>
    <cellStyle name="20% - Akzent3 5 12 3" xfId="21749" xr:uid="{8FBA8776-602A-4B4E-ABAE-45A61312F243}"/>
    <cellStyle name="20% - Akzent3 5 13" xfId="2215" xr:uid="{D519E7C7-7CE9-4A5A-BC35-4F6F16DE8E71}"/>
    <cellStyle name="20% - Akzent3 5 13 2" xfId="2216" xr:uid="{4980D3AE-6036-4FDC-B1B2-37E2EFE80B72}"/>
    <cellStyle name="20% - Akzent3 5 13 2 2" xfId="21752" xr:uid="{FD17FC68-1683-4BEE-9E6B-06412B9EF37F}"/>
    <cellStyle name="20% - Akzent3 5 13 3" xfId="21751" xr:uid="{499247BB-E231-49DE-BF23-AB98F5370D47}"/>
    <cellStyle name="20% - Akzent3 5 14" xfId="2217" xr:uid="{FF17DA45-D62B-4979-91A7-39B0F1BB58F5}"/>
    <cellStyle name="20% - Akzent3 5 14 2" xfId="2218" xr:uid="{2D24E116-D0A3-4B82-B22D-FF3E48E0C414}"/>
    <cellStyle name="20% - Akzent3 5 14 2 2" xfId="21754" xr:uid="{BD23109D-E814-4EB3-BE84-602F25CD7926}"/>
    <cellStyle name="20% - Akzent3 5 14 3" xfId="21753" xr:uid="{6A3680DD-87BD-45CA-B80B-DD790DF549AE}"/>
    <cellStyle name="20% - Akzent3 5 15" xfId="2219" xr:uid="{5A3A1CD3-DEDB-4A50-BD39-63EFFE5EE84F}"/>
    <cellStyle name="20% - Akzent3 5 15 2" xfId="2220" xr:uid="{D7E14435-D094-4A69-95A8-37930B608FC3}"/>
    <cellStyle name="20% - Akzent3 5 15 2 2" xfId="21756" xr:uid="{63D3AA07-A352-4DE7-B778-9625D91AD306}"/>
    <cellStyle name="20% - Akzent3 5 15 3" xfId="21755" xr:uid="{BFC5DF91-B194-4D35-B546-C070EA4A53FC}"/>
    <cellStyle name="20% - Akzent3 5 16" xfId="2221" xr:uid="{5958A21A-9BBA-4B97-B30A-43ABD2749156}"/>
    <cellStyle name="20% - Akzent3 5 16 2" xfId="2222" xr:uid="{B879F519-1DF1-4B9C-8201-1A0D488D50CF}"/>
    <cellStyle name="20% - Akzent3 5 16 2 2" xfId="21758" xr:uid="{8613FE97-9EBF-4DB2-8367-2263FE607183}"/>
    <cellStyle name="20% - Akzent3 5 16 3" xfId="21757" xr:uid="{70FFBAA4-D7FA-4683-B901-81742AB343D0}"/>
    <cellStyle name="20% - Akzent3 5 17" xfId="2223" xr:uid="{42D8C34D-6CA6-4893-8C2F-86468C9FC9F9}"/>
    <cellStyle name="20% - Akzent3 5 17 2" xfId="2224" xr:uid="{6AEA9AF1-3F94-40DA-B726-2CC30E987A85}"/>
    <cellStyle name="20% - Akzent3 5 17 2 2" xfId="21760" xr:uid="{C6E7A0D7-E04D-41D3-85A6-4BFB99752D4F}"/>
    <cellStyle name="20% - Akzent3 5 17 3" xfId="21759" xr:uid="{970D8AA6-D996-4F6D-88EF-390877A10132}"/>
    <cellStyle name="20% - Akzent3 5 18" xfId="2225" xr:uid="{3CFA6EBC-2807-4443-ABA5-FE783B09317D}"/>
    <cellStyle name="20% - Akzent3 5 18 2" xfId="2226" xr:uid="{7D507982-ABBD-4876-9AA1-3CB803537276}"/>
    <cellStyle name="20% - Akzent3 5 18 2 2" xfId="21762" xr:uid="{CE9FBED8-9E90-4A36-A0F2-0D6A9FAF00D8}"/>
    <cellStyle name="20% - Akzent3 5 18 3" xfId="21761" xr:uid="{0D62C6E6-A2D0-4F5F-912B-606B6F33EB78}"/>
    <cellStyle name="20% - Akzent3 5 19" xfId="2227" xr:uid="{B3D9ED36-2E72-4F71-9EF0-C5E2A13D1C33}"/>
    <cellStyle name="20% - Akzent3 5 19 2" xfId="2228" xr:uid="{351CA0FF-E494-4B63-9B30-7D968261158B}"/>
    <cellStyle name="20% - Akzent3 5 19 2 2" xfId="21764" xr:uid="{599D253D-9A16-49EE-B341-FAFAB0C18D5B}"/>
    <cellStyle name="20% - Akzent3 5 19 3" xfId="21763" xr:uid="{123D4600-C44B-47D4-97A7-4DE2993E3C80}"/>
    <cellStyle name="20% - Akzent3 5 2" xfId="2229" xr:uid="{22C0E1FE-692E-4AB7-AACA-6F6AA4A4742D}"/>
    <cellStyle name="20% - Akzent3 5 2 2" xfId="2230" xr:uid="{898CE168-06E6-44CB-95A0-D604B6A4FBEE}"/>
    <cellStyle name="20% - Akzent3 5 2 2 2" xfId="21766" xr:uid="{CFFB5F5A-8995-4E9F-9021-1142C74BC1A9}"/>
    <cellStyle name="20% - Akzent3 5 2 3" xfId="21765" xr:uid="{900EE1BE-364C-4E19-8526-0259BFF680AC}"/>
    <cellStyle name="20% - Akzent3 5 20" xfId="2231" xr:uid="{CF2B479F-7730-452C-BF81-A42A7913C2B7}"/>
    <cellStyle name="20% - Akzent3 5 20 2" xfId="2232" xr:uid="{E36E862F-68BA-49A2-9C4C-E765477C5810}"/>
    <cellStyle name="20% - Akzent3 5 20 2 2" xfId="21768" xr:uid="{D6E743A2-36F8-4ABE-8CBE-9E961B5E3E4E}"/>
    <cellStyle name="20% - Akzent3 5 20 3" xfId="21767" xr:uid="{70D3576B-D58E-459F-B688-BB18E76DBDC3}"/>
    <cellStyle name="20% - Akzent3 5 21" xfId="2233" xr:uid="{7CB978B9-3CB7-456A-AC05-152CAD5FCD2D}"/>
    <cellStyle name="20% - Akzent3 5 21 2" xfId="2234" xr:uid="{C316135A-516F-4743-9BF2-AEE27787208B}"/>
    <cellStyle name="20% - Akzent3 5 21 2 2" xfId="21770" xr:uid="{F5D31032-F307-479D-8BDC-33B12CBDE8C5}"/>
    <cellStyle name="20% - Akzent3 5 21 3" xfId="21769" xr:uid="{C49DE2EC-8A3A-40EE-8B41-AA084AAFD51D}"/>
    <cellStyle name="20% - Akzent3 5 22" xfId="2235" xr:uid="{FCA6B9BB-8213-4EA8-8A21-22042A647F02}"/>
    <cellStyle name="20% - Akzent3 5 22 2" xfId="21771" xr:uid="{9469D863-2269-4998-AE7A-E903DDC35422}"/>
    <cellStyle name="20% - Akzent3 5 23" xfId="2236" xr:uid="{2E0EB72A-4501-4870-ACBF-36011C7A164B}"/>
    <cellStyle name="20% - Akzent3 5 23 2" xfId="21772" xr:uid="{D47EFCDD-85DF-40CC-BA73-8DE64FA85679}"/>
    <cellStyle name="20% - Akzent3 5 24" xfId="21744" xr:uid="{8AB20EE1-FAF5-4A45-8968-104D7D2C2474}"/>
    <cellStyle name="20% - Akzent3 5 25" xfId="39287" xr:uid="{AF8678EE-ABAD-4C3A-89E0-9B62804392C5}"/>
    <cellStyle name="20% - Akzent3 5 3" xfId="2237" xr:uid="{24F6114C-6D2A-4AC8-A06C-B53442A15479}"/>
    <cellStyle name="20% - Akzent3 5 3 2" xfId="2238" xr:uid="{CBF17F88-14AD-419E-9D86-4E92D51E2BC5}"/>
    <cellStyle name="20% - Akzent3 5 3 2 2" xfId="21774" xr:uid="{FAB90A23-28C8-4C8E-A748-57C56A29262D}"/>
    <cellStyle name="20% - Akzent3 5 3 3" xfId="21773" xr:uid="{C8955057-FAAD-4EFC-91C0-B198F1A398B4}"/>
    <cellStyle name="20% - Akzent3 5 4" xfId="2239" xr:uid="{F4FD0B8E-0F34-44D0-89C3-A8E5FC14489E}"/>
    <cellStyle name="20% - Akzent3 5 4 2" xfId="2240" xr:uid="{A585BA66-4538-4E84-8704-50B6CC74DBE8}"/>
    <cellStyle name="20% - Akzent3 5 4 2 2" xfId="21776" xr:uid="{768E9E71-4BC6-49C6-A7B8-10FD0F49A4ED}"/>
    <cellStyle name="20% - Akzent3 5 4 3" xfId="21775" xr:uid="{5F7B465E-106E-40D9-B32E-0C1652CFB925}"/>
    <cellStyle name="20% - Akzent3 5 5" xfId="2241" xr:uid="{BD9F2724-9D87-4D91-861B-6F48BEF86C2D}"/>
    <cellStyle name="20% - Akzent3 5 5 2" xfId="2242" xr:uid="{AA1FA865-5CAE-44DA-9EA0-BD757326B0D7}"/>
    <cellStyle name="20% - Akzent3 5 5 2 2" xfId="21778" xr:uid="{22884A22-25F7-4E40-9351-7AC9D08E3801}"/>
    <cellStyle name="20% - Akzent3 5 5 3" xfId="21777" xr:uid="{1E959460-C3F7-4FB5-8179-9BEBE83A0C4F}"/>
    <cellStyle name="20% - Akzent3 5 6" xfId="2243" xr:uid="{3DBB8A42-C069-4B23-A549-D56840075032}"/>
    <cellStyle name="20% - Akzent3 5 6 2" xfId="2244" xr:uid="{AC870C70-D272-40C1-BD46-6622431F8AA0}"/>
    <cellStyle name="20% - Akzent3 5 6 2 2" xfId="21780" xr:uid="{2DDA7CE0-F276-4BE8-A08F-2408F01CF8D8}"/>
    <cellStyle name="20% - Akzent3 5 6 3" xfId="21779" xr:uid="{E591CB5C-CD50-459A-A842-41E67EFEF862}"/>
    <cellStyle name="20% - Akzent3 5 7" xfId="2245" xr:uid="{F39066EA-4ACA-4ECD-BD45-224F1652D549}"/>
    <cellStyle name="20% - Akzent3 5 7 2" xfId="2246" xr:uid="{56227DE4-3976-4FFB-8B63-18C33BDF057D}"/>
    <cellStyle name="20% - Akzent3 5 7 2 2" xfId="21782" xr:uid="{C7FA954F-C87C-4661-A871-68231C165954}"/>
    <cellStyle name="20% - Akzent3 5 7 3" xfId="21781" xr:uid="{B389C594-47FD-4320-9DFA-9D4CF64261BB}"/>
    <cellStyle name="20% - Akzent3 5 8" xfId="2247" xr:uid="{53363FE6-56DA-41F7-8E52-AC6E8F61840C}"/>
    <cellStyle name="20% - Akzent3 5 8 2" xfId="2248" xr:uid="{9F0554D5-3E88-4DC8-86C7-101EFB523372}"/>
    <cellStyle name="20% - Akzent3 5 8 2 2" xfId="21784" xr:uid="{47555865-F362-43C5-8151-334C241AF589}"/>
    <cellStyle name="20% - Akzent3 5 8 3" xfId="21783" xr:uid="{AF6D93DE-3574-423E-BEB1-3FBF8716CF77}"/>
    <cellStyle name="20% - Akzent3 5 9" xfId="2249" xr:uid="{743A881E-7108-4FEE-8B06-3BE511D5051B}"/>
    <cellStyle name="20% - Akzent3 5 9 2" xfId="2250" xr:uid="{063D36C4-6771-495D-9D93-E1B25008A535}"/>
    <cellStyle name="20% - Akzent3 5 9 2 2" xfId="21786" xr:uid="{3C0A6B2A-C7F7-40E0-84FC-9658DC6B9ECA}"/>
    <cellStyle name="20% - Akzent3 5 9 3" xfId="21785" xr:uid="{E0F5965F-332E-4F97-ABAB-A5A514580B7E}"/>
    <cellStyle name="20% - Akzent3 50" xfId="2251" xr:uid="{BDB59150-06E5-447A-A213-B2C97E5D4290}"/>
    <cellStyle name="20% - Akzent3 50 2" xfId="2252" xr:uid="{4FE278EE-E2E5-49AE-8047-A325CD4AB9E6}"/>
    <cellStyle name="20% - Akzent3 50 2 2" xfId="21788" xr:uid="{FBEF17A5-9915-4CED-9032-BC4F69AAA516}"/>
    <cellStyle name="20% - Akzent3 50 3" xfId="21787" xr:uid="{9F956D73-EB8A-4B28-8EEE-1BCE5F011BF2}"/>
    <cellStyle name="20% - Akzent3 51" xfId="2253" xr:uid="{5A8398E8-9DCA-4E8A-99BC-766E56BD2EFF}"/>
    <cellStyle name="20% - Akzent3 51 2" xfId="2254" xr:uid="{A85886CF-4A2C-4287-AA39-6AC786A7E9B8}"/>
    <cellStyle name="20% - Akzent3 51 2 2" xfId="21790" xr:uid="{17C37EFB-57DD-4E19-845A-91BE64B14A37}"/>
    <cellStyle name="20% - Akzent3 51 3" xfId="21789" xr:uid="{AFCA6471-E623-4EFD-BB2B-21C58545CA16}"/>
    <cellStyle name="20% - Akzent3 52" xfId="2255" xr:uid="{16524266-71F6-4E9E-8A50-C96B6F0A2F9C}"/>
    <cellStyle name="20% - Akzent3 52 2" xfId="2256" xr:uid="{E80A3B31-85D0-43FD-A147-782E3D56350E}"/>
    <cellStyle name="20% - Akzent3 52 2 2" xfId="21792" xr:uid="{7B28C038-D602-4D96-91F2-1A0693507B1F}"/>
    <cellStyle name="20% - Akzent3 52 3" xfId="21791" xr:uid="{F927E99C-0203-4C55-B077-656A51E08C73}"/>
    <cellStyle name="20% - Akzent3 53" xfId="2257" xr:uid="{C8B7AA28-6B3C-49F6-89C8-B9D0DA692A7D}"/>
    <cellStyle name="20% - Akzent3 53 2" xfId="2258" xr:uid="{3ABD866B-BFE9-4A92-B847-247D5C3F9C9F}"/>
    <cellStyle name="20% - Akzent3 53 2 2" xfId="21794" xr:uid="{D85BB614-AA6E-4DA7-A4D9-10EFC02D1591}"/>
    <cellStyle name="20% - Akzent3 53 3" xfId="21793" xr:uid="{33DD7BF8-0F03-454E-9622-533C371E7B6F}"/>
    <cellStyle name="20% - Akzent3 54" xfId="2259" xr:uid="{38DE8506-EA41-4839-9768-F81C4920EEC5}"/>
    <cellStyle name="20% - Akzent3 54 2" xfId="2260" xr:uid="{FD43B1AC-490F-4BE4-AEFD-DBEEB938D906}"/>
    <cellStyle name="20% - Akzent3 54 2 2" xfId="21796" xr:uid="{C93C6DD7-F0BE-491F-956E-7EFC7C1D1152}"/>
    <cellStyle name="20% - Akzent3 54 3" xfId="21795" xr:uid="{3FB93C27-4FE5-4B27-86A4-DFCE21FB25B9}"/>
    <cellStyle name="20% - Akzent3 55" xfId="2261" xr:uid="{CFFBBEE4-D4C5-4CC7-B33F-D1970ABA76BB}"/>
    <cellStyle name="20% - Akzent3 55 2" xfId="2262" xr:uid="{A6E87756-CF06-4BFE-838F-30EDD7575933}"/>
    <cellStyle name="20% - Akzent3 55 2 2" xfId="21798" xr:uid="{F6199DCC-1B75-4205-9343-C5496F3CD7F6}"/>
    <cellStyle name="20% - Akzent3 55 3" xfId="21797" xr:uid="{F0EBFC3F-FBBC-482E-9D64-AF690B760EB4}"/>
    <cellStyle name="20% - Akzent3 56" xfId="2263" xr:uid="{F167C476-B256-49E7-A05F-A0A9BF5749EF}"/>
    <cellStyle name="20% - Akzent3 56 2" xfId="2264" xr:uid="{DE9772A7-A93A-4AAD-9906-4E4916DA3F3B}"/>
    <cellStyle name="20% - Akzent3 56 2 2" xfId="21800" xr:uid="{AD046B9D-646D-4A53-AB03-0AB63DFE0EB2}"/>
    <cellStyle name="20% - Akzent3 56 3" xfId="21799" xr:uid="{3CFB0AF2-FD9D-4622-AB0E-9C1196D7A48E}"/>
    <cellStyle name="20% - Akzent3 57" xfId="2265" xr:uid="{C00188E1-1663-407F-810F-8CA8DA731F0D}"/>
    <cellStyle name="20% - Akzent3 57 2" xfId="2266" xr:uid="{D142CF20-147B-4A7C-9C81-69F8328A22F7}"/>
    <cellStyle name="20% - Akzent3 57 2 2" xfId="21802" xr:uid="{A3F8F699-0CF3-4720-89C7-45D01EAB3AAA}"/>
    <cellStyle name="20% - Akzent3 57 3" xfId="21801" xr:uid="{D8DE6955-6613-4C8A-98E9-79C0C609BD42}"/>
    <cellStyle name="20% - Akzent3 58" xfId="2267" xr:uid="{EA574D6C-AB75-4DF5-AC1F-233A5EDC3F25}"/>
    <cellStyle name="20% - Akzent3 58 2" xfId="2268" xr:uid="{F7D98BD6-BBD1-48F9-B6B7-4868B933F311}"/>
    <cellStyle name="20% - Akzent3 58 2 2" xfId="21804" xr:uid="{10949449-86AD-4753-85A5-4E66A9364604}"/>
    <cellStyle name="20% - Akzent3 58 3" xfId="21803" xr:uid="{AF82A170-D5CF-426F-8444-293961D234D8}"/>
    <cellStyle name="20% - Akzent3 59" xfId="2269" xr:uid="{314BCCFF-F2E7-4268-8DF3-B28CA3C0C7C3}"/>
    <cellStyle name="20% - Akzent3 59 2" xfId="2270" xr:uid="{6222BD50-FC2E-4D3D-9720-43378C42CFF6}"/>
    <cellStyle name="20% - Akzent3 59 2 2" xfId="21806" xr:uid="{9D6D1A28-ACDC-483E-A897-04E41535DC66}"/>
    <cellStyle name="20% - Akzent3 59 3" xfId="21805" xr:uid="{38CD8CE9-0D3D-4E71-AB8C-2A65F43AFECE}"/>
    <cellStyle name="20% - Akzent3 6" xfId="2271" xr:uid="{220C48BC-6AD7-433F-80ED-FBF30CFA49AE}"/>
    <cellStyle name="20% - Akzent3 6 10" xfId="2272" xr:uid="{10C5677C-768F-47B8-B3A6-E3B8AB314EF4}"/>
    <cellStyle name="20% - Akzent3 6 10 2" xfId="2273" xr:uid="{002B8A91-0164-4A75-8983-33E8B16E0C80}"/>
    <cellStyle name="20% - Akzent3 6 10 2 2" xfId="21809" xr:uid="{B6E40D11-BA2D-4402-A866-03B62A720C9C}"/>
    <cellStyle name="20% - Akzent3 6 10 3" xfId="21808" xr:uid="{8EAA6050-9273-4491-B331-BD1FF6145B2B}"/>
    <cellStyle name="20% - Akzent3 6 11" xfId="2274" xr:uid="{A2CD57F6-7070-4DDE-880C-EBA5E8616596}"/>
    <cellStyle name="20% - Akzent3 6 11 2" xfId="2275" xr:uid="{63B632EA-C898-45E8-8EC9-6554BE054554}"/>
    <cellStyle name="20% - Akzent3 6 11 2 2" xfId="21811" xr:uid="{D759B36E-AA81-444C-9F81-BBDBFD49E70B}"/>
    <cellStyle name="20% - Akzent3 6 11 3" xfId="21810" xr:uid="{01F6775C-C543-4567-BC31-14B6C9428CCB}"/>
    <cellStyle name="20% - Akzent3 6 12" xfId="2276" xr:uid="{1EBFDDF3-28DD-420F-8E82-953E9A958738}"/>
    <cellStyle name="20% - Akzent3 6 12 2" xfId="2277" xr:uid="{447F39DF-55D6-4AF1-B53C-1FA4665FD9B3}"/>
    <cellStyle name="20% - Akzent3 6 12 2 2" xfId="21813" xr:uid="{3D71CC71-0EE3-4CE0-BFB9-6E0C4A7912D2}"/>
    <cellStyle name="20% - Akzent3 6 12 3" xfId="21812" xr:uid="{0775F5F9-839A-481C-853C-5440338D847B}"/>
    <cellStyle name="20% - Akzent3 6 13" xfId="2278" xr:uid="{0F35D1F6-76B3-422E-B42A-683E3428C5BF}"/>
    <cellStyle name="20% - Akzent3 6 13 2" xfId="2279" xr:uid="{39D8D592-3959-452E-9F36-F911D784E91A}"/>
    <cellStyle name="20% - Akzent3 6 13 2 2" xfId="21815" xr:uid="{6786125E-26DE-46F7-8A31-271858FE0220}"/>
    <cellStyle name="20% - Akzent3 6 13 3" xfId="21814" xr:uid="{EA44D8ED-6D67-47E9-BB60-BB7C3F966D95}"/>
    <cellStyle name="20% - Akzent3 6 14" xfId="2280" xr:uid="{DCFD2B19-1D98-4826-8331-139F15686F8A}"/>
    <cellStyle name="20% - Akzent3 6 14 2" xfId="2281" xr:uid="{90DD6DD0-8C39-4F8E-A2EE-12D1FBC302A4}"/>
    <cellStyle name="20% - Akzent3 6 14 2 2" xfId="21817" xr:uid="{AB3971D3-BFFF-406F-BDB4-7F96C2FF252F}"/>
    <cellStyle name="20% - Akzent3 6 14 3" xfId="21816" xr:uid="{206EC2C8-4192-40B4-8EC6-FB46E1FD1FCE}"/>
    <cellStyle name="20% - Akzent3 6 15" xfId="2282" xr:uid="{1692CB01-D248-48B7-85BD-E6DECBE11475}"/>
    <cellStyle name="20% - Akzent3 6 15 2" xfId="2283" xr:uid="{E1FB1A63-25E5-4ECA-9C53-B945AAE8B966}"/>
    <cellStyle name="20% - Akzent3 6 15 2 2" xfId="21819" xr:uid="{3C8D9387-655B-426C-A1A9-32DBF882BB3D}"/>
    <cellStyle name="20% - Akzent3 6 15 3" xfId="21818" xr:uid="{10090BED-59DF-41D6-9076-D13A2839DBEF}"/>
    <cellStyle name="20% - Akzent3 6 16" xfId="2284" xr:uid="{C86953CB-B748-42F8-92DA-72B279B7FEEB}"/>
    <cellStyle name="20% - Akzent3 6 16 2" xfId="2285" xr:uid="{331A6D29-729E-44A5-812D-FD2295EE39BC}"/>
    <cellStyle name="20% - Akzent3 6 16 2 2" xfId="21821" xr:uid="{B78FF8AC-A608-4BA9-AEB0-BF8B87AA4DA3}"/>
    <cellStyle name="20% - Akzent3 6 16 3" xfId="21820" xr:uid="{71740A3C-C07D-470C-B2F7-07B24444BE0C}"/>
    <cellStyle name="20% - Akzent3 6 17" xfId="2286" xr:uid="{55435B24-C6CD-4B89-82C6-96F3C54CCC22}"/>
    <cellStyle name="20% - Akzent3 6 17 2" xfId="2287" xr:uid="{0C45B70E-7F05-4047-A104-F7336AA2E4C3}"/>
    <cellStyle name="20% - Akzent3 6 17 2 2" xfId="21823" xr:uid="{AB82246D-92E0-4AB7-B3A3-E886EFC1BDB8}"/>
    <cellStyle name="20% - Akzent3 6 17 3" xfId="21822" xr:uid="{5099BC47-C270-4EB0-A8EB-3965CA29E0A2}"/>
    <cellStyle name="20% - Akzent3 6 18" xfId="2288" xr:uid="{F7E84957-DCBE-4B94-876C-E1C2C2920D6E}"/>
    <cellStyle name="20% - Akzent3 6 18 2" xfId="2289" xr:uid="{124947C8-7688-4A74-B72B-DF855D379433}"/>
    <cellStyle name="20% - Akzent3 6 18 2 2" xfId="21825" xr:uid="{1732543E-EB92-449F-AE9C-DC42E203C73B}"/>
    <cellStyle name="20% - Akzent3 6 18 3" xfId="21824" xr:uid="{D7137FEB-61FB-43D0-9968-A0D1A736E607}"/>
    <cellStyle name="20% - Akzent3 6 19" xfId="2290" xr:uid="{09434E58-2F10-4A26-9F69-6FEDEDB19E89}"/>
    <cellStyle name="20% - Akzent3 6 19 2" xfId="2291" xr:uid="{76786513-DBEC-4189-A211-C4E8E3217EE2}"/>
    <cellStyle name="20% - Akzent3 6 19 2 2" xfId="21827" xr:uid="{8ED2B211-1A8E-46A4-AEA3-3CBB9C3D35CE}"/>
    <cellStyle name="20% - Akzent3 6 19 3" xfId="21826" xr:uid="{1069521B-06CC-44F5-82CB-0A9D9FA3ED24}"/>
    <cellStyle name="20% - Akzent3 6 2" xfId="2292" xr:uid="{399E246D-0C50-422E-BE3F-2184E2B52C75}"/>
    <cellStyle name="20% - Akzent3 6 20" xfId="2293" xr:uid="{733080B6-7802-4342-AFED-878EA25D4670}"/>
    <cellStyle name="20% - Akzent3 6 20 2" xfId="2294" xr:uid="{37306E74-8C0B-4EC5-ACF8-189A3A8FF932}"/>
    <cellStyle name="20% - Akzent3 6 20 2 2" xfId="21829" xr:uid="{5D98FE66-C4D7-4778-9442-84C5C483B16C}"/>
    <cellStyle name="20% - Akzent3 6 20 3" xfId="21828" xr:uid="{058C8506-E024-4EB9-9BFE-E61FAE659807}"/>
    <cellStyle name="20% - Akzent3 6 21" xfId="2295" xr:uid="{A726C7D8-0F07-4CED-825D-2BC7E0462D4A}"/>
    <cellStyle name="20% - Akzent3 6 21 2" xfId="2296" xr:uid="{9F663FE9-4971-4117-87DE-1187C7AE6DF6}"/>
    <cellStyle name="20% - Akzent3 6 21 2 2" xfId="21831" xr:uid="{8801FDB4-411A-4FEE-958A-2710F19545F3}"/>
    <cellStyle name="20% - Akzent3 6 21 3" xfId="21830" xr:uid="{8CF188E2-2B11-44B5-815E-CB1834060B38}"/>
    <cellStyle name="20% - Akzent3 6 22" xfId="2297" xr:uid="{2A918D31-96BD-4DF3-8C6B-DCE4D08A8F97}"/>
    <cellStyle name="20% - Akzent3 6 22 2" xfId="21832" xr:uid="{BDF40867-8F3A-497E-A0BA-1559C21C531F}"/>
    <cellStyle name="20% - Akzent3 6 23" xfId="2298" xr:uid="{BFEB2D14-4953-4081-B9D5-728761C950EE}"/>
    <cellStyle name="20% - Akzent3 6 23 2" xfId="21833" xr:uid="{B6C1CD66-08D3-451B-86CF-A00AA4148FB0}"/>
    <cellStyle name="20% - Akzent3 6 24" xfId="21807" xr:uid="{4E006430-86E8-4217-8032-BF403B77CE22}"/>
    <cellStyle name="20% - Akzent3 6 3" xfId="2299" xr:uid="{047D17FC-6EA9-480E-A35C-BE7DD01A8317}"/>
    <cellStyle name="20% - Akzent3 6 3 2" xfId="2300" xr:uid="{66BEF50F-F73A-412A-9277-B30EEEE76CD9}"/>
    <cellStyle name="20% - Akzent3 6 3 2 2" xfId="21835" xr:uid="{E99D43BC-1E5B-4F69-8E9E-1032EBDE9A8C}"/>
    <cellStyle name="20% - Akzent3 6 3 3" xfId="21834" xr:uid="{3D655BA2-937A-415A-8B2A-2A551849BEDF}"/>
    <cellStyle name="20% - Akzent3 6 4" xfId="2301" xr:uid="{97E1F7F3-FE17-4604-B6A6-6A0D211E8B27}"/>
    <cellStyle name="20% - Akzent3 6 4 2" xfId="2302" xr:uid="{7FCF83A0-206E-40A5-AE07-458F298DBB26}"/>
    <cellStyle name="20% - Akzent3 6 4 2 2" xfId="21837" xr:uid="{1325B86B-E59D-4868-985C-C42E20907F33}"/>
    <cellStyle name="20% - Akzent3 6 4 3" xfId="21836" xr:uid="{635EAF35-76AA-49ED-8B06-4104F0F1B781}"/>
    <cellStyle name="20% - Akzent3 6 5" xfId="2303" xr:uid="{FACCDCB8-1C8C-432D-BE7B-E1A588D31763}"/>
    <cellStyle name="20% - Akzent3 6 5 2" xfId="2304" xr:uid="{33998E9A-46F6-4A7E-B705-2222F27C9ABE}"/>
    <cellStyle name="20% - Akzent3 6 5 2 2" xfId="21839" xr:uid="{0F56C9CE-9765-4DC2-AF38-8A0582B1874B}"/>
    <cellStyle name="20% - Akzent3 6 5 3" xfId="21838" xr:uid="{D8F310C8-8C9B-4D52-8A85-5056E833EB98}"/>
    <cellStyle name="20% - Akzent3 6 6" xfId="2305" xr:uid="{ABD6ADC7-3655-4CC8-A87C-2256814BBBD4}"/>
    <cellStyle name="20% - Akzent3 6 6 2" xfId="2306" xr:uid="{5F75D861-EF25-440F-820D-4FAC939ECAEF}"/>
    <cellStyle name="20% - Akzent3 6 6 2 2" xfId="21841" xr:uid="{05D6AA6C-3573-4649-B02B-C2C133AAD141}"/>
    <cellStyle name="20% - Akzent3 6 6 3" xfId="21840" xr:uid="{926B4E7C-0B11-43ED-AF84-75B647CC5564}"/>
    <cellStyle name="20% - Akzent3 6 7" xfId="2307" xr:uid="{58E07981-A837-40A0-BC77-3BDB723B76E8}"/>
    <cellStyle name="20% - Akzent3 6 7 2" xfId="2308" xr:uid="{8D8A506A-E8FF-446D-BAAE-9E1F6DC84614}"/>
    <cellStyle name="20% - Akzent3 6 7 2 2" xfId="21843" xr:uid="{9565E007-369E-41C6-B8B3-A04D9B1924D3}"/>
    <cellStyle name="20% - Akzent3 6 7 3" xfId="21842" xr:uid="{32AEC802-1727-4906-9EC0-80435C74A0ED}"/>
    <cellStyle name="20% - Akzent3 6 8" xfId="2309" xr:uid="{37F93863-E27A-422F-9271-46DB873D353A}"/>
    <cellStyle name="20% - Akzent3 6 8 2" xfId="2310" xr:uid="{6B8FFB5D-78CA-4D87-9CBB-C6E706109AC4}"/>
    <cellStyle name="20% - Akzent3 6 8 2 2" xfId="21845" xr:uid="{A7F92D34-263A-4F24-8B76-376D6DEAF83B}"/>
    <cellStyle name="20% - Akzent3 6 8 3" xfId="21844" xr:uid="{5F73A4F2-9FCD-43F8-9CDF-E1BE87DB47E7}"/>
    <cellStyle name="20% - Akzent3 6 9" xfId="2311" xr:uid="{141611C3-0FD1-4659-90E0-87EE8514D85A}"/>
    <cellStyle name="20% - Akzent3 6 9 2" xfId="2312" xr:uid="{274BE8BC-A624-4C8F-A6D1-D49219A98164}"/>
    <cellStyle name="20% - Akzent3 6 9 2 2" xfId="21847" xr:uid="{0DB53BD7-C7BD-4E62-B271-7A0858E2A5E8}"/>
    <cellStyle name="20% - Akzent3 6 9 3" xfId="21846" xr:uid="{4D36FC52-A86F-4285-A423-DCA611C9DD43}"/>
    <cellStyle name="20% - Akzent3 60" xfId="2313" xr:uid="{76A746BB-8763-4AFF-AA48-ED67966EDF02}"/>
    <cellStyle name="20% - Akzent3 60 2" xfId="2314" xr:uid="{DE05F47F-3DC4-49F2-9269-67E19F6516D8}"/>
    <cellStyle name="20% - Akzent3 60 2 2" xfId="21849" xr:uid="{E0ABC029-C15F-4FCD-846E-836545D8157E}"/>
    <cellStyle name="20% - Akzent3 60 3" xfId="21848" xr:uid="{90476335-471C-44C6-8A8C-D90353170DEA}"/>
    <cellStyle name="20% - Akzent3 61" xfId="2315" xr:uid="{0CF23697-295B-4BE4-8688-454DD2F4D7E4}"/>
    <cellStyle name="20% - Akzent3 61 2" xfId="2316" xr:uid="{413662ED-7627-4177-A843-F8111494EB6E}"/>
    <cellStyle name="20% - Akzent3 61 2 2" xfId="21851" xr:uid="{4E2FF343-9C42-48DE-978D-1007A7E0E805}"/>
    <cellStyle name="20% - Akzent3 61 3" xfId="21850" xr:uid="{C662C9E1-3AC0-4C08-A508-BA4E46497DFE}"/>
    <cellStyle name="20% - Akzent3 62" xfId="2317" xr:uid="{22C1539A-208A-4244-B1C2-6E7981DEA052}"/>
    <cellStyle name="20% - Akzent3 62 2" xfId="2318" xr:uid="{C4D3FC85-D1AA-491E-8E28-6A5C094A547F}"/>
    <cellStyle name="20% - Akzent3 62 2 2" xfId="21853" xr:uid="{31A6BBBA-72D3-49DB-B854-45079157D76E}"/>
    <cellStyle name="20% - Akzent3 62 3" xfId="21852" xr:uid="{D63F65C0-FBE1-42C0-9C54-BFDF49A09EB5}"/>
    <cellStyle name="20% - Akzent3 63" xfId="2319" xr:uid="{C49C3342-BA1C-47F5-B706-A22E94542A87}"/>
    <cellStyle name="20% - Akzent3 63 2" xfId="2320" xr:uid="{558AEB8B-1FA8-4D67-974E-AED7AD8D2932}"/>
    <cellStyle name="20% - Akzent3 63 2 2" xfId="21855" xr:uid="{6448FCDE-9386-42A5-AFB6-CD625954322B}"/>
    <cellStyle name="20% - Akzent3 63 3" xfId="21854" xr:uid="{E9F97F96-C958-4890-A640-9A00448C6464}"/>
    <cellStyle name="20% - Akzent3 64" xfId="2321" xr:uid="{6FF39C51-9B42-4CCC-A75C-EF87563B0BE0}"/>
    <cellStyle name="20% - Akzent3 64 2" xfId="2322" xr:uid="{0A5E48CC-E2E7-4709-A585-325653C1321B}"/>
    <cellStyle name="20% - Akzent3 64 2 2" xfId="21857" xr:uid="{1606889C-1B91-4DE1-AE96-FA297C56C6D3}"/>
    <cellStyle name="20% - Akzent3 64 3" xfId="21856" xr:uid="{B2B9923D-9124-479F-BB65-CD781A068B94}"/>
    <cellStyle name="20% - Akzent3 65" xfId="2323" xr:uid="{DE18C318-748D-4515-93A8-977924EFCF3D}"/>
    <cellStyle name="20% - Akzent3 65 2" xfId="2324" xr:uid="{7DC0FAB7-855A-42B1-9361-23C85F702287}"/>
    <cellStyle name="20% - Akzent3 65 2 2" xfId="21859" xr:uid="{2145B747-91CA-4AB4-9D05-4C30BA183A40}"/>
    <cellStyle name="20% - Akzent3 65 3" xfId="21858" xr:uid="{0567F0CC-7544-489E-A0B3-C0F7A46445B9}"/>
    <cellStyle name="20% - Akzent3 66" xfId="2325" xr:uid="{2AE12114-4D33-45B1-9F58-2CBC21A9353A}"/>
    <cellStyle name="20% - Akzent3 66 2" xfId="2326" xr:uid="{1D7EAA5F-46D8-4B1C-93DB-DDC19DAEFE96}"/>
    <cellStyle name="20% - Akzent3 66 2 2" xfId="21861" xr:uid="{270A4517-E5F9-4649-BC60-F4AC2BE927FC}"/>
    <cellStyle name="20% - Akzent3 66 3" xfId="21860" xr:uid="{02C194ED-D589-468A-8DC2-35D8ACC75ABB}"/>
    <cellStyle name="20% - Akzent3 67" xfId="2327" xr:uid="{32564749-E7E6-41D4-ADDA-EAF5D8BB4E34}"/>
    <cellStyle name="20% - Akzent3 67 2" xfId="2328" xr:uid="{633EAFBD-6DDD-4BDA-ABB9-829742FCC0B8}"/>
    <cellStyle name="20% - Akzent3 67 2 2" xfId="21863" xr:uid="{B249BC57-0EE2-44FD-BC28-4AF269A61B86}"/>
    <cellStyle name="20% - Akzent3 67 3" xfId="21862" xr:uid="{EC98B83F-1E51-491F-B0F7-F726B6ECF612}"/>
    <cellStyle name="20% - Akzent3 68" xfId="2329" xr:uid="{735CC113-058F-4A1F-84F7-23BC18482C53}"/>
    <cellStyle name="20% - Akzent3 68 2" xfId="2330" xr:uid="{5071BA55-40D6-487E-952D-CD078B9E06B9}"/>
    <cellStyle name="20% - Akzent3 68 2 2" xfId="21865" xr:uid="{3823A15A-8C86-4727-982F-001CB45CE74C}"/>
    <cellStyle name="20% - Akzent3 68 3" xfId="21864" xr:uid="{5EFC444E-81CA-43C8-81DC-94234F88334B}"/>
    <cellStyle name="20% - Akzent3 69" xfId="2331" xr:uid="{0906D299-9FAD-4EFC-9B7A-F70E585160AE}"/>
    <cellStyle name="20% - Akzent3 69 2" xfId="2332" xr:uid="{72D5D2E3-4325-436E-A1C4-31E0F3F376C7}"/>
    <cellStyle name="20% - Akzent3 69 2 2" xfId="21867" xr:uid="{B34140D4-DCFE-4911-93DF-B506A6756C30}"/>
    <cellStyle name="20% - Akzent3 69 3" xfId="21866" xr:uid="{69E5DD03-8574-4632-986F-38197C1E0DD5}"/>
    <cellStyle name="20% - Akzent3 7" xfId="2333" xr:uid="{6C108DFC-7A94-4F5C-9B80-6D24FF466B84}"/>
    <cellStyle name="20% - Akzent3 7 10" xfId="2334" xr:uid="{79E3A008-1C1D-4577-A198-90E9BBA1AD59}"/>
    <cellStyle name="20% - Akzent3 7 10 2" xfId="2335" xr:uid="{47F908E3-B40D-423A-9D0F-84E0E936A5D5}"/>
    <cellStyle name="20% - Akzent3 7 10 2 2" xfId="21870" xr:uid="{14B98999-095B-4634-AB49-D94C09335FE0}"/>
    <cellStyle name="20% - Akzent3 7 10 3" xfId="21869" xr:uid="{B674D92F-F5BB-4320-BE0D-811F17C0552D}"/>
    <cellStyle name="20% - Akzent3 7 11" xfId="2336" xr:uid="{31D89133-4EF2-4943-A8E4-8C1609E909F4}"/>
    <cellStyle name="20% - Akzent3 7 11 2" xfId="2337" xr:uid="{8F3B50D9-FB1E-484C-9A51-68E3385C46EA}"/>
    <cellStyle name="20% - Akzent3 7 11 2 2" xfId="21872" xr:uid="{8593F60A-001E-470D-956D-DB37D5779533}"/>
    <cellStyle name="20% - Akzent3 7 11 3" xfId="21871" xr:uid="{B113C699-93FB-4EA2-9EC6-EBC55CE5A3A6}"/>
    <cellStyle name="20% - Akzent3 7 12" xfId="2338" xr:uid="{3DFB5DED-8D88-4DC7-B16C-26B57D347DB6}"/>
    <cellStyle name="20% - Akzent3 7 12 2" xfId="2339" xr:uid="{0555454B-A47A-4E1C-A4EF-CC1BF88EC024}"/>
    <cellStyle name="20% - Akzent3 7 12 2 2" xfId="21874" xr:uid="{814E8B9B-3F8B-4581-917D-0F1C1A5E78C4}"/>
    <cellStyle name="20% - Akzent3 7 12 3" xfId="21873" xr:uid="{FBBD324E-B8F8-4BD5-944E-565150E799C3}"/>
    <cellStyle name="20% - Akzent3 7 13" xfId="2340" xr:uid="{67CACB98-1067-461E-A3BD-B19443E38235}"/>
    <cellStyle name="20% - Akzent3 7 13 2" xfId="2341" xr:uid="{7E5CAB0B-78F2-4F8E-B34D-88496480CBE6}"/>
    <cellStyle name="20% - Akzent3 7 13 2 2" xfId="21876" xr:uid="{81AE031E-C876-4A47-9766-4E067344D1BB}"/>
    <cellStyle name="20% - Akzent3 7 13 3" xfId="21875" xr:uid="{FD89B47E-D18A-4D4F-AA9D-223BED382196}"/>
    <cellStyle name="20% - Akzent3 7 14" xfId="2342" xr:uid="{AD100379-3570-460B-8856-934379790BAF}"/>
    <cellStyle name="20% - Akzent3 7 14 2" xfId="2343" xr:uid="{8ACF747F-F8D3-4015-BC62-622A303105E0}"/>
    <cellStyle name="20% - Akzent3 7 14 2 2" xfId="21878" xr:uid="{CB63CF77-1A2A-4161-A762-9D82E28A1CFC}"/>
    <cellStyle name="20% - Akzent3 7 14 3" xfId="21877" xr:uid="{20773EFD-E58B-47E9-84A6-8CFD706FC954}"/>
    <cellStyle name="20% - Akzent3 7 15" xfId="2344" xr:uid="{7660F3CC-7D27-4C28-9937-4B7DAC9ADB12}"/>
    <cellStyle name="20% - Akzent3 7 15 2" xfId="2345" xr:uid="{34C339E4-3D93-4F49-8A68-71A02A5C8CE8}"/>
    <cellStyle name="20% - Akzent3 7 15 2 2" xfId="21880" xr:uid="{41E1BD74-6679-4A56-B154-45A296C23F65}"/>
    <cellStyle name="20% - Akzent3 7 15 3" xfId="21879" xr:uid="{3168193A-5038-4215-92E9-C0C1A742D2F2}"/>
    <cellStyle name="20% - Akzent3 7 16" xfId="2346" xr:uid="{EE10036E-0CDF-4143-A73C-345A452277CD}"/>
    <cellStyle name="20% - Akzent3 7 16 2" xfId="2347" xr:uid="{701031EB-0AB0-4EED-AD4A-51E2C38A3A24}"/>
    <cellStyle name="20% - Akzent3 7 16 2 2" xfId="21882" xr:uid="{8C3BB77F-F3EC-4627-94E2-07C18E77F466}"/>
    <cellStyle name="20% - Akzent3 7 16 3" xfId="21881" xr:uid="{F32F2540-D030-4C9B-BE09-69FF8D0F4B54}"/>
    <cellStyle name="20% - Akzent3 7 17" xfId="2348" xr:uid="{21D080DC-6BA3-414B-8F97-20A08ACC3800}"/>
    <cellStyle name="20% - Akzent3 7 17 2" xfId="2349" xr:uid="{F8C577FB-3792-4C06-B7B4-94EF3BC6B270}"/>
    <cellStyle name="20% - Akzent3 7 17 2 2" xfId="21884" xr:uid="{11C759F2-1D94-404F-8DB0-3AF64325895A}"/>
    <cellStyle name="20% - Akzent3 7 17 3" xfId="21883" xr:uid="{49297B46-2473-4ADD-B17E-3CC67B88CDC4}"/>
    <cellStyle name="20% - Akzent3 7 18" xfId="2350" xr:uid="{C83846C7-C4BD-45A0-AB72-339B033AA73F}"/>
    <cellStyle name="20% - Akzent3 7 18 2" xfId="2351" xr:uid="{199C061C-8FF5-4485-BFCB-FA107577B0A1}"/>
    <cellStyle name="20% - Akzent3 7 18 2 2" xfId="21886" xr:uid="{FE0258F8-928A-422E-8D41-60EA360E38AF}"/>
    <cellStyle name="20% - Akzent3 7 18 3" xfId="21885" xr:uid="{6FAEB9ED-3BBE-49CE-ACEE-749152CA9E23}"/>
    <cellStyle name="20% - Akzent3 7 19" xfId="2352" xr:uid="{D6C3BCD8-8FFC-458A-BAE6-D8334D7BCFC1}"/>
    <cellStyle name="20% - Akzent3 7 19 2" xfId="2353" xr:uid="{3B976041-DE5E-451F-B56E-12952A569669}"/>
    <cellStyle name="20% - Akzent3 7 19 2 2" xfId="21888" xr:uid="{41069ABD-066B-419A-AB38-A719A91C1AE2}"/>
    <cellStyle name="20% - Akzent3 7 19 3" xfId="21887" xr:uid="{9017BCCD-A210-4948-856D-3FC7473404CD}"/>
    <cellStyle name="20% - Akzent3 7 2" xfId="2354" xr:uid="{21AF07DA-8215-4BE4-A998-17745D372AA2}"/>
    <cellStyle name="20% - Akzent3 7 2 2" xfId="2355" xr:uid="{80B28FB2-E874-42A8-8B19-35C9C3EE15A3}"/>
    <cellStyle name="20% - Akzent3 7 2 2 2" xfId="21890" xr:uid="{DE9ECB7B-D2F8-4C8B-B700-2E475FF659E4}"/>
    <cellStyle name="20% - Akzent3 7 2 3" xfId="21889" xr:uid="{785661EA-76A3-4C74-B401-30EA33DB5B0A}"/>
    <cellStyle name="20% - Akzent3 7 20" xfId="2356" xr:uid="{58CA4B8E-435F-4490-881E-EAB3C68B74EB}"/>
    <cellStyle name="20% - Akzent3 7 20 2" xfId="2357" xr:uid="{0062E9CC-DA04-4E17-B731-F02E0762795B}"/>
    <cellStyle name="20% - Akzent3 7 20 2 2" xfId="21892" xr:uid="{AD037A1A-E85C-4F36-A87B-A79FEEBA89AC}"/>
    <cellStyle name="20% - Akzent3 7 20 3" xfId="21891" xr:uid="{E9F11997-9314-440A-BA42-20B912C6D920}"/>
    <cellStyle name="20% - Akzent3 7 21" xfId="2358" xr:uid="{C957B7A1-6BFF-4DF9-A081-F119F45FFF93}"/>
    <cellStyle name="20% - Akzent3 7 21 2" xfId="2359" xr:uid="{35CE784C-F212-4DE2-BA7C-68AAE5FBF87A}"/>
    <cellStyle name="20% - Akzent3 7 21 2 2" xfId="21894" xr:uid="{CE024F86-43C0-44AF-9EF4-68156DF17BF3}"/>
    <cellStyle name="20% - Akzent3 7 21 3" xfId="21893" xr:uid="{35928D06-F642-43F5-A2A3-63074BC860B8}"/>
    <cellStyle name="20% - Akzent3 7 22" xfId="2360" xr:uid="{3629F08A-0655-4C64-8B70-DF2125CF39ED}"/>
    <cellStyle name="20% - Akzent3 7 23" xfId="21868" xr:uid="{0C4DD6F3-594A-49E7-BAC3-082D470C502F}"/>
    <cellStyle name="20% - Akzent3 7 3" xfId="2361" xr:uid="{C4BCEE54-92B9-459F-BBCB-40AFFE3BB6E5}"/>
    <cellStyle name="20% - Akzent3 7 3 2" xfId="2362" xr:uid="{7FAC1C14-B4A5-4FA3-BB08-26E19BA3442B}"/>
    <cellStyle name="20% - Akzent3 7 3 2 2" xfId="21896" xr:uid="{F3934AF5-D48B-46DB-9520-BD55CC077B15}"/>
    <cellStyle name="20% - Akzent3 7 3 3" xfId="21895" xr:uid="{E04904E5-8EF5-4299-AC03-70081E462C4B}"/>
    <cellStyle name="20% - Akzent3 7 4" xfId="2363" xr:uid="{0F08F9CB-1CB7-4CEF-B2AB-2E21C6F10752}"/>
    <cellStyle name="20% - Akzent3 7 4 2" xfId="2364" xr:uid="{2DC378EA-9A4F-460E-9DC6-4148EC8BF892}"/>
    <cellStyle name="20% - Akzent3 7 4 2 2" xfId="21898" xr:uid="{F94EF475-CBF9-4DAA-B9D5-223184616E49}"/>
    <cellStyle name="20% - Akzent3 7 4 3" xfId="21897" xr:uid="{680E453F-AABB-4179-88CB-32303DBECEA3}"/>
    <cellStyle name="20% - Akzent3 7 5" xfId="2365" xr:uid="{28F2E1F1-014F-475C-A07A-9EEFEC54979D}"/>
    <cellStyle name="20% - Akzent3 7 5 2" xfId="2366" xr:uid="{99D88AFC-FE05-4A0F-A000-E29A42D01620}"/>
    <cellStyle name="20% - Akzent3 7 5 2 2" xfId="21900" xr:uid="{DEF00396-57E4-448C-AEE9-E794EE569B85}"/>
    <cellStyle name="20% - Akzent3 7 5 3" xfId="21899" xr:uid="{A1EDA5CB-EE96-41E6-9648-A0209CF75CFD}"/>
    <cellStyle name="20% - Akzent3 7 6" xfId="2367" xr:uid="{D9F071F3-007A-4143-A51E-DD080DD5E0AA}"/>
    <cellStyle name="20% - Akzent3 7 6 2" xfId="2368" xr:uid="{D15D1B63-6AD8-4D20-9EF0-498DC8F2BA73}"/>
    <cellStyle name="20% - Akzent3 7 6 2 2" xfId="21902" xr:uid="{31430951-892D-48A0-9E2D-92B24C0A8F48}"/>
    <cellStyle name="20% - Akzent3 7 6 3" xfId="21901" xr:uid="{06E6EAFD-16C3-4751-9B89-6B2C52268750}"/>
    <cellStyle name="20% - Akzent3 7 7" xfId="2369" xr:uid="{7ADC6C71-A678-49B5-89B5-8E5C7574A7DB}"/>
    <cellStyle name="20% - Akzent3 7 7 2" xfId="2370" xr:uid="{0EE24010-5E69-46C5-9321-4E3F7EE53BBE}"/>
    <cellStyle name="20% - Akzent3 7 7 2 2" xfId="21904" xr:uid="{708F87EA-0360-4EFC-A60B-EB8B32359620}"/>
    <cellStyle name="20% - Akzent3 7 7 3" xfId="21903" xr:uid="{7C565D7B-4A23-4AE0-8FE8-31DDF95F396E}"/>
    <cellStyle name="20% - Akzent3 7 8" xfId="2371" xr:uid="{8D208B04-FBD3-4EC7-870F-708E7EBD3F0A}"/>
    <cellStyle name="20% - Akzent3 7 8 2" xfId="2372" xr:uid="{ECA42843-07CB-402C-B0F3-B888A44789DB}"/>
    <cellStyle name="20% - Akzent3 7 8 2 2" xfId="21906" xr:uid="{BDDA4FB2-E5C8-4061-858A-1902ADE68D50}"/>
    <cellStyle name="20% - Akzent3 7 8 3" xfId="21905" xr:uid="{A6379F48-0857-4239-B17D-87BC70B56F39}"/>
    <cellStyle name="20% - Akzent3 7 9" xfId="2373" xr:uid="{3C348D87-1BBE-4827-AE57-D7DD0D84EFE5}"/>
    <cellStyle name="20% - Akzent3 7 9 2" xfId="2374" xr:uid="{CEA94E6A-2167-430F-A01E-14BB36D4EEFB}"/>
    <cellStyle name="20% - Akzent3 7 9 2 2" xfId="21908" xr:uid="{F55D8F5B-F08D-4857-9DF8-822DB96150EA}"/>
    <cellStyle name="20% - Akzent3 7 9 3" xfId="21907" xr:uid="{605020E9-7B94-489F-8BE8-A86D2370F83A}"/>
    <cellStyle name="20% - Akzent3 70" xfId="2375" xr:uid="{17C65DA8-0340-4579-AF7D-432B0F51F077}"/>
    <cellStyle name="20% - Akzent3 70 2" xfId="21909" xr:uid="{41915EC1-4917-4A34-9DC0-B2F184963C42}"/>
    <cellStyle name="20% - Akzent3 71" xfId="1700" xr:uid="{7579C472-7E55-4E9C-9841-3E2C0AA4FF3E}"/>
    <cellStyle name="20% - Akzent3 8" xfId="2376" xr:uid="{B131E109-0320-4185-B9EE-FE809B7D6436}"/>
    <cellStyle name="20% - Akzent3 8 10" xfId="2377" xr:uid="{425D0543-454C-4DDF-9D49-FEFA24CF0643}"/>
    <cellStyle name="20% - Akzent3 8 10 2" xfId="2378" xr:uid="{C8C40AD0-D1A0-4591-BA05-773E60A2DD43}"/>
    <cellStyle name="20% - Akzent3 8 10 2 2" xfId="21912" xr:uid="{D2512778-5C88-4C15-A568-585A71152BA7}"/>
    <cellStyle name="20% - Akzent3 8 10 3" xfId="21911" xr:uid="{160EB960-DEA5-467F-8972-91A04C4C14E8}"/>
    <cellStyle name="20% - Akzent3 8 11" xfId="2379" xr:uid="{E11C06B0-C7E9-46B1-BC0E-AC7B36BDED1A}"/>
    <cellStyle name="20% - Akzent3 8 11 2" xfId="2380" xr:uid="{4B414DEC-CFAA-4E13-93EF-B6198908F977}"/>
    <cellStyle name="20% - Akzent3 8 11 2 2" xfId="21914" xr:uid="{ACCE567E-7A82-4D20-A86D-871B3DF44B29}"/>
    <cellStyle name="20% - Akzent3 8 11 3" xfId="21913" xr:uid="{9106A48C-7E95-4696-A78F-51B6858C083C}"/>
    <cellStyle name="20% - Akzent3 8 12" xfId="2381" xr:uid="{22FC2BE9-EA3A-4BF3-9ACA-753F7EA9E9C3}"/>
    <cellStyle name="20% - Akzent3 8 12 2" xfId="2382" xr:uid="{619CE1D4-023F-4508-939C-4A857D86C456}"/>
    <cellStyle name="20% - Akzent3 8 12 2 2" xfId="21916" xr:uid="{0A9DA168-C122-4EF8-A78A-9DA0D1036DC4}"/>
    <cellStyle name="20% - Akzent3 8 12 3" xfId="21915" xr:uid="{6F6BE6CD-C236-4802-8546-C2B427009FF8}"/>
    <cellStyle name="20% - Akzent3 8 13" xfId="2383" xr:uid="{8BFB7BFB-4077-4C81-8BEF-BD05F5C436B5}"/>
    <cellStyle name="20% - Akzent3 8 13 2" xfId="2384" xr:uid="{CC143A45-1846-411C-99F0-DD6250F5FD6B}"/>
    <cellStyle name="20% - Akzent3 8 13 2 2" xfId="21918" xr:uid="{0723F21B-6FF7-4781-B83C-7D524B54E2F3}"/>
    <cellStyle name="20% - Akzent3 8 13 3" xfId="21917" xr:uid="{C0407BE3-4589-416D-9337-0A7100F7E2A4}"/>
    <cellStyle name="20% - Akzent3 8 14" xfId="2385" xr:uid="{2D583AF9-DB69-4E38-AD1D-1F9982D75776}"/>
    <cellStyle name="20% - Akzent3 8 14 2" xfId="2386" xr:uid="{040915CD-2993-46C4-A640-1DD63631493F}"/>
    <cellStyle name="20% - Akzent3 8 14 2 2" xfId="21920" xr:uid="{14EFEB35-C739-40D3-B4B5-7BE279288B3D}"/>
    <cellStyle name="20% - Akzent3 8 14 3" xfId="21919" xr:uid="{69F98EE6-6BD1-49CF-85AA-C65F10A33B71}"/>
    <cellStyle name="20% - Akzent3 8 15" xfId="2387" xr:uid="{5B28953B-F515-4568-A7B9-76C3C13A3717}"/>
    <cellStyle name="20% - Akzent3 8 15 2" xfId="2388" xr:uid="{DBAA7ED1-AFBD-4069-822F-480A1C155C7F}"/>
    <cellStyle name="20% - Akzent3 8 15 2 2" xfId="21922" xr:uid="{F3CE40E7-F64E-4FD3-A6A9-9C0F4F064D51}"/>
    <cellStyle name="20% - Akzent3 8 15 3" xfId="21921" xr:uid="{B2A96495-4177-4824-B0D3-0E4D24F2F4CE}"/>
    <cellStyle name="20% - Akzent3 8 16" xfId="2389" xr:uid="{2200C7BC-B5A3-45CF-9E97-D757910CCB7F}"/>
    <cellStyle name="20% - Akzent3 8 16 2" xfId="2390" xr:uid="{E0A27FD0-C84C-4CF3-947E-C9E081F9F486}"/>
    <cellStyle name="20% - Akzent3 8 16 2 2" xfId="21924" xr:uid="{75A1CC0B-BC4F-4E20-87E7-13EEB98C0364}"/>
    <cellStyle name="20% - Akzent3 8 16 3" xfId="21923" xr:uid="{C85D4D5E-A53C-4FC7-BC89-333E9E9AFB71}"/>
    <cellStyle name="20% - Akzent3 8 17" xfId="2391" xr:uid="{88CEDC92-3FA8-4936-930B-21823C0B1B61}"/>
    <cellStyle name="20% - Akzent3 8 17 2" xfId="2392" xr:uid="{691CF1DA-6961-4767-B3EC-2869CA516C02}"/>
    <cellStyle name="20% - Akzent3 8 17 2 2" xfId="21926" xr:uid="{F755E329-7CC3-4F92-ADEB-60A502D1B8A0}"/>
    <cellStyle name="20% - Akzent3 8 17 3" xfId="21925" xr:uid="{0E659830-3450-4598-8D7F-D903202A47CD}"/>
    <cellStyle name="20% - Akzent3 8 18" xfId="2393" xr:uid="{4DD47F9F-6F6E-4355-B049-448FC5919706}"/>
    <cellStyle name="20% - Akzent3 8 18 2" xfId="2394" xr:uid="{6FED6BD1-9715-469F-A8D9-10F2B784B9D9}"/>
    <cellStyle name="20% - Akzent3 8 18 2 2" xfId="21928" xr:uid="{00AB5103-D2B3-4DAD-BC68-CA3984BE3601}"/>
    <cellStyle name="20% - Akzent3 8 18 3" xfId="21927" xr:uid="{53F76AA6-73A1-46A6-81B1-B8C4DBC1B33E}"/>
    <cellStyle name="20% - Akzent3 8 19" xfId="2395" xr:uid="{9920A21B-F2F3-4C1A-B72F-5C226154EC46}"/>
    <cellStyle name="20% - Akzent3 8 19 2" xfId="2396" xr:uid="{E84FB1F4-E188-4602-A6B2-C24ACD9FB229}"/>
    <cellStyle name="20% - Akzent3 8 19 2 2" xfId="21930" xr:uid="{BF01ADA8-90F7-4180-8A5E-D14685D059F6}"/>
    <cellStyle name="20% - Akzent3 8 19 3" xfId="21929" xr:uid="{F5E4368F-0366-4C1C-898A-44ABBEB08BF4}"/>
    <cellStyle name="20% - Akzent3 8 2" xfId="2397" xr:uid="{16025C41-68E8-4B3B-978E-51EEF2C4FAF1}"/>
    <cellStyle name="20% - Akzent3 8 2 2" xfId="2398" xr:uid="{C3678F7F-7218-4FBF-B256-9E090381C871}"/>
    <cellStyle name="20% - Akzent3 8 2 2 2" xfId="21932" xr:uid="{9B34BC0E-5667-42A1-A20D-017FDC00533F}"/>
    <cellStyle name="20% - Akzent3 8 2 3" xfId="21931" xr:uid="{9FED201A-3F79-4411-83A3-896C183B5DEA}"/>
    <cellStyle name="20% - Akzent3 8 20" xfId="2399" xr:uid="{E3CC83F0-356D-452E-8246-4C935150338A}"/>
    <cellStyle name="20% - Akzent3 8 20 2" xfId="2400" xr:uid="{9E454FB5-159F-47D8-AD9B-243A044DD5D3}"/>
    <cellStyle name="20% - Akzent3 8 20 2 2" xfId="21934" xr:uid="{7C7BE53C-7FA7-440E-A4AF-53F3E5490380}"/>
    <cellStyle name="20% - Akzent3 8 20 3" xfId="21933" xr:uid="{560C245B-9B3E-44F0-9CD8-2192373853E6}"/>
    <cellStyle name="20% - Akzent3 8 21" xfId="2401" xr:uid="{5DBA52EA-07C1-476D-A916-87532CDD3D62}"/>
    <cellStyle name="20% - Akzent3 8 21 2" xfId="2402" xr:uid="{6C5844FB-E043-40CF-96A2-941242F78D9F}"/>
    <cellStyle name="20% - Akzent3 8 21 2 2" xfId="21936" xr:uid="{EA0A4845-8DCC-4934-A61B-D37CE30803A6}"/>
    <cellStyle name="20% - Akzent3 8 21 3" xfId="21935" xr:uid="{BE7051E1-666F-4760-893C-DFBBA393AEF2}"/>
    <cellStyle name="20% - Akzent3 8 22" xfId="2403" xr:uid="{C4671C7F-893D-4D3B-A87D-9DAB611E907D}"/>
    <cellStyle name="20% - Akzent3 8 23" xfId="21910" xr:uid="{E5A685F3-BF1F-4940-91DD-772F65E70EFE}"/>
    <cellStyle name="20% - Akzent3 8 3" xfId="2404" xr:uid="{96A89DA7-C731-4D91-B974-CF6A1B030FB0}"/>
    <cellStyle name="20% - Akzent3 8 3 2" xfId="2405" xr:uid="{52CABF0E-9025-48CF-B21D-7C1E4566B7E6}"/>
    <cellStyle name="20% - Akzent3 8 3 2 2" xfId="21938" xr:uid="{FB1F8B04-6DA9-429C-868D-BE6E3EAEF22F}"/>
    <cellStyle name="20% - Akzent3 8 3 3" xfId="21937" xr:uid="{8752221A-DE47-4AC6-A9E1-477946C6CFE9}"/>
    <cellStyle name="20% - Akzent3 8 4" xfId="2406" xr:uid="{A94E2FEB-D560-4B8B-8473-8A57A3F6466E}"/>
    <cellStyle name="20% - Akzent3 8 4 2" xfId="2407" xr:uid="{A62987F4-F951-4A25-A2E4-39F7FF4C19ED}"/>
    <cellStyle name="20% - Akzent3 8 4 2 2" xfId="21940" xr:uid="{B0E8238E-F43E-4926-90C7-1E4D3BA5C60A}"/>
    <cellStyle name="20% - Akzent3 8 4 3" xfId="21939" xr:uid="{BE201C82-E198-46B0-AF39-2594342E1FBA}"/>
    <cellStyle name="20% - Akzent3 8 5" xfId="2408" xr:uid="{F73C206D-0B2A-48BB-9582-307BC1FF1A35}"/>
    <cellStyle name="20% - Akzent3 8 5 2" xfId="2409" xr:uid="{61EE0971-1DD3-4FDB-B4CA-95E4CAC375DE}"/>
    <cellStyle name="20% - Akzent3 8 5 2 2" xfId="21942" xr:uid="{D9258F04-F60A-4ABA-B424-68C81E3459DE}"/>
    <cellStyle name="20% - Akzent3 8 5 3" xfId="21941" xr:uid="{3F55F058-98CE-460C-AB34-E102E5B2D198}"/>
    <cellStyle name="20% - Akzent3 8 6" xfId="2410" xr:uid="{3A18BC55-5130-4751-9A7B-E1A6400F7148}"/>
    <cellStyle name="20% - Akzent3 8 6 2" xfId="2411" xr:uid="{8D85FA58-0C5D-4C1F-9C1E-89166201B34F}"/>
    <cellStyle name="20% - Akzent3 8 6 2 2" xfId="21944" xr:uid="{7E588794-3EF5-41D0-A5D6-ED77D369BD37}"/>
    <cellStyle name="20% - Akzent3 8 6 3" xfId="21943" xr:uid="{D554A312-AD97-44AD-A56F-9C7852C84D32}"/>
    <cellStyle name="20% - Akzent3 8 7" xfId="2412" xr:uid="{327DE23E-98B6-4109-9014-9198E106FA91}"/>
    <cellStyle name="20% - Akzent3 8 7 2" xfId="2413" xr:uid="{35F68A27-BD36-4C7F-B950-57D814C6CBEB}"/>
    <cellStyle name="20% - Akzent3 8 7 2 2" xfId="21946" xr:uid="{C704E554-5165-4E79-B9F8-0DE5D7F87E2A}"/>
    <cellStyle name="20% - Akzent3 8 7 3" xfId="21945" xr:uid="{0B79ACEF-E2BC-4854-8F47-5F23BCE167FA}"/>
    <cellStyle name="20% - Akzent3 8 8" xfId="2414" xr:uid="{CF49F840-E1ED-4607-906A-7D165792AA5B}"/>
    <cellStyle name="20% - Akzent3 8 8 2" xfId="2415" xr:uid="{F4337193-04E9-4F43-9EE5-A16F38F4F866}"/>
    <cellStyle name="20% - Akzent3 8 8 2 2" xfId="21948" xr:uid="{A3EEBF13-1369-49CC-8F96-378B06B8C773}"/>
    <cellStyle name="20% - Akzent3 8 8 3" xfId="21947" xr:uid="{8B1E74D0-42C2-46E8-8841-9CA565C122C6}"/>
    <cellStyle name="20% - Akzent3 8 9" xfId="2416" xr:uid="{6DD585FE-6E31-41BC-9B92-EFC5FC07DE7C}"/>
    <cellStyle name="20% - Akzent3 8 9 2" xfId="2417" xr:uid="{B33CBEB5-9C01-4A60-A47C-3E402D145CF2}"/>
    <cellStyle name="20% - Akzent3 8 9 2 2" xfId="21950" xr:uid="{A296958B-7D57-4276-A2EB-42A8896F4D03}"/>
    <cellStyle name="20% - Akzent3 8 9 3" xfId="21949" xr:uid="{039F44C0-CA8F-47CF-9820-43CBBD2AB585}"/>
    <cellStyle name="20% - Akzent3 9" xfId="2418" xr:uid="{62138970-197C-4CC7-B59D-EF6CBBD7BDA2}"/>
    <cellStyle name="20% - Akzent3 9 10" xfId="2419" xr:uid="{2E27314F-C50A-4A4E-8384-2FD8A5154CB0}"/>
    <cellStyle name="20% - Akzent3 9 10 2" xfId="2420" xr:uid="{62ABE169-9D28-4246-B748-EB605E83EBDE}"/>
    <cellStyle name="20% - Akzent3 9 10 2 2" xfId="21953" xr:uid="{C410C2F4-98F4-4B02-9462-EB1484FD8E97}"/>
    <cellStyle name="20% - Akzent3 9 10 3" xfId="21952" xr:uid="{CB0144C5-633C-4882-B9B4-305155BA5BA7}"/>
    <cellStyle name="20% - Akzent3 9 11" xfId="2421" xr:uid="{7F2334B8-4571-447F-B7F9-3D4DC7A269DC}"/>
    <cellStyle name="20% - Akzent3 9 11 2" xfId="2422" xr:uid="{4DEAEFA5-51F9-4392-94F5-69EF91422587}"/>
    <cellStyle name="20% - Akzent3 9 11 2 2" xfId="21955" xr:uid="{403DFC39-6D4B-4A69-92BD-373A01281154}"/>
    <cellStyle name="20% - Akzent3 9 11 3" xfId="21954" xr:uid="{EF1E0826-3BD9-4A36-9AFF-A5F8C9E6EFE3}"/>
    <cellStyle name="20% - Akzent3 9 12" xfId="2423" xr:uid="{05A365C8-EFAD-4FE8-A1F8-1979262FF99D}"/>
    <cellStyle name="20% - Akzent3 9 12 2" xfId="2424" xr:uid="{C2BC1B6D-5F5F-4EF3-AE9B-AD684C5B0214}"/>
    <cellStyle name="20% - Akzent3 9 12 2 2" xfId="21957" xr:uid="{0DE6EBC4-4DC4-4F3B-8D0D-88D451BB62B0}"/>
    <cellStyle name="20% - Akzent3 9 12 3" xfId="21956" xr:uid="{CF7A6283-C1F9-4C38-947C-B937B6D8EF56}"/>
    <cellStyle name="20% - Akzent3 9 13" xfId="2425" xr:uid="{2EA843FD-29A9-4591-A756-BDC6EB43198E}"/>
    <cellStyle name="20% - Akzent3 9 13 2" xfId="2426" xr:uid="{447F5DC6-F68E-4A4B-B7BF-9F2875E173D0}"/>
    <cellStyle name="20% - Akzent3 9 13 2 2" xfId="21959" xr:uid="{D2AD277C-1F16-4514-9FFD-017B84BF0F78}"/>
    <cellStyle name="20% - Akzent3 9 13 3" xfId="21958" xr:uid="{5FF5B705-AAB7-40D9-A94B-6FCF8D857865}"/>
    <cellStyle name="20% - Akzent3 9 14" xfId="2427" xr:uid="{04F63F75-4AFE-4530-8E33-1D78EBEF1D81}"/>
    <cellStyle name="20% - Akzent3 9 14 2" xfId="2428" xr:uid="{31F3BAA1-6C5E-4DC8-A516-9AE085508F6A}"/>
    <cellStyle name="20% - Akzent3 9 14 2 2" xfId="21961" xr:uid="{7E91D854-3C99-41A7-BF76-D861F8807541}"/>
    <cellStyle name="20% - Akzent3 9 14 3" xfId="21960" xr:uid="{CA305371-03E0-4379-83F1-CC2278054114}"/>
    <cellStyle name="20% - Akzent3 9 15" xfId="2429" xr:uid="{B219EF24-9504-473B-8C0D-6699976C80AA}"/>
    <cellStyle name="20% - Akzent3 9 15 2" xfId="2430" xr:uid="{75FE16EB-B363-414B-BDDB-56982F977332}"/>
    <cellStyle name="20% - Akzent3 9 15 2 2" xfId="21963" xr:uid="{927CD7C9-211E-4188-88A0-AB43AD6528FA}"/>
    <cellStyle name="20% - Akzent3 9 15 3" xfId="21962" xr:uid="{F4A985B2-6323-4578-94BF-2706B8D822C3}"/>
    <cellStyle name="20% - Akzent3 9 16" xfId="2431" xr:uid="{8E845CC3-B7F4-4097-8AF0-76BDF04219AA}"/>
    <cellStyle name="20% - Akzent3 9 16 2" xfId="2432" xr:uid="{3B70AD28-1ABA-459B-A4DD-3434A0EE325B}"/>
    <cellStyle name="20% - Akzent3 9 16 2 2" xfId="21965" xr:uid="{0E7D4A5E-C171-4E3B-BC78-C41885FAFFD5}"/>
    <cellStyle name="20% - Akzent3 9 16 3" xfId="21964" xr:uid="{C61E5082-B622-4F80-B3B1-596D7341FB65}"/>
    <cellStyle name="20% - Akzent3 9 17" xfId="2433" xr:uid="{AB24E938-E431-4824-A455-607A214C7C8C}"/>
    <cellStyle name="20% - Akzent3 9 17 2" xfId="2434" xr:uid="{742AA90B-3042-400E-8230-231EAF83F7B7}"/>
    <cellStyle name="20% - Akzent3 9 17 2 2" xfId="21967" xr:uid="{F8F5F550-9AB6-453F-83B4-7D9BFC3E1FC4}"/>
    <cellStyle name="20% - Akzent3 9 17 3" xfId="21966" xr:uid="{1419450A-C949-4A6F-80DD-19D53C9F3718}"/>
    <cellStyle name="20% - Akzent3 9 18" xfId="2435" xr:uid="{CB9613B2-4C40-4F2A-A2A9-0E578CAD217F}"/>
    <cellStyle name="20% - Akzent3 9 18 2" xfId="2436" xr:uid="{58A7ABF9-D664-438B-8176-936E318312A2}"/>
    <cellStyle name="20% - Akzent3 9 18 2 2" xfId="21969" xr:uid="{4075F1E1-81D0-4C7E-BFF9-DEDC03FC910F}"/>
    <cellStyle name="20% - Akzent3 9 18 3" xfId="21968" xr:uid="{12D0D37A-7998-43E7-911D-F4367EBE7D54}"/>
    <cellStyle name="20% - Akzent3 9 19" xfId="2437" xr:uid="{B9FEFAB8-D53A-4481-88CE-CED46AB19C4B}"/>
    <cellStyle name="20% - Akzent3 9 19 2" xfId="2438" xr:uid="{B59B0DE0-8AD1-4E50-82C4-477D7A174DC5}"/>
    <cellStyle name="20% - Akzent3 9 19 2 2" xfId="21971" xr:uid="{AD5356E7-1B47-4496-B7A3-0BDB3ED8FB55}"/>
    <cellStyle name="20% - Akzent3 9 19 3" xfId="21970" xr:uid="{4D949069-B063-453A-B629-240CFB546FAA}"/>
    <cellStyle name="20% - Akzent3 9 2" xfId="2439" xr:uid="{8DEF51E1-D6F6-48EB-AB76-4FF09B1A249D}"/>
    <cellStyle name="20% - Akzent3 9 2 2" xfId="2440" xr:uid="{02C7A361-0595-4D61-8F15-A0E2B9EEDE61}"/>
    <cellStyle name="20% - Akzent3 9 2 2 2" xfId="21973" xr:uid="{36105ADC-CEC3-4562-99E8-EDF533EC3EB7}"/>
    <cellStyle name="20% - Akzent3 9 2 3" xfId="21972" xr:uid="{3975F5EA-CE12-46DD-A596-41B8DA704044}"/>
    <cellStyle name="20% - Akzent3 9 20" xfId="2441" xr:uid="{D24393A0-CEF0-4777-9036-45186A3D400B}"/>
    <cellStyle name="20% - Akzent3 9 20 2" xfId="2442" xr:uid="{0C9A1FE5-989E-4166-8EFB-46080D2507DD}"/>
    <cellStyle name="20% - Akzent3 9 20 2 2" xfId="21975" xr:uid="{B87CE512-222D-442A-90CC-839801D4B9A5}"/>
    <cellStyle name="20% - Akzent3 9 20 3" xfId="21974" xr:uid="{B6F199AB-E946-4F0D-9F00-76836160C270}"/>
    <cellStyle name="20% - Akzent3 9 21" xfId="2443" xr:uid="{FD551E7C-3345-45BF-9B6B-31D22C3EB197}"/>
    <cellStyle name="20% - Akzent3 9 21 2" xfId="2444" xr:uid="{09DC4AED-B011-457A-9C1F-90A1A706AD90}"/>
    <cellStyle name="20% - Akzent3 9 21 2 2" xfId="21977" xr:uid="{59480329-921B-4161-BA3C-9E686746097B}"/>
    <cellStyle name="20% - Akzent3 9 21 3" xfId="21976" xr:uid="{0F01F020-65C1-4BC0-AD02-BFC6574D9D1B}"/>
    <cellStyle name="20% - Akzent3 9 22" xfId="2445" xr:uid="{CB1714A8-4A6E-4BE2-AA22-4082F94D8B33}"/>
    <cellStyle name="20% - Akzent3 9 23" xfId="21951" xr:uid="{AD3B88FC-232D-4A84-A4CA-3EFBFB6AC4EC}"/>
    <cellStyle name="20% - Akzent3 9 3" xfId="2446" xr:uid="{675A0359-5025-46FF-9691-5F4F5945C0A1}"/>
    <cellStyle name="20% - Akzent3 9 3 2" xfId="2447" xr:uid="{CEFFE3F7-5730-471B-A691-4A87CFBE960C}"/>
    <cellStyle name="20% - Akzent3 9 3 2 2" xfId="21979" xr:uid="{77340CB7-4597-47C0-9261-03D247D93019}"/>
    <cellStyle name="20% - Akzent3 9 3 3" xfId="21978" xr:uid="{7707A565-7348-4545-AB4B-4A5426F030FA}"/>
    <cellStyle name="20% - Akzent3 9 4" xfId="2448" xr:uid="{2E3876F3-EF7C-4F33-93DD-E78C7CF84B17}"/>
    <cellStyle name="20% - Akzent3 9 4 2" xfId="2449" xr:uid="{772BF17E-8839-47FB-8045-ADF75117FE97}"/>
    <cellStyle name="20% - Akzent3 9 4 2 2" xfId="21981" xr:uid="{D6574ADC-3D3D-4392-AD37-1687EFEDC199}"/>
    <cellStyle name="20% - Akzent3 9 4 3" xfId="21980" xr:uid="{D96EFCD3-3EE4-4FAD-A657-DDBAE0895FBA}"/>
    <cellStyle name="20% - Akzent3 9 5" xfId="2450" xr:uid="{8229DCC8-34A4-40AE-9584-B6A8E4A5CA81}"/>
    <cellStyle name="20% - Akzent3 9 5 2" xfId="2451" xr:uid="{FAFFC5D7-E0EB-4D2B-A74C-2111D8F3BC74}"/>
    <cellStyle name="20% - Akzent3 9 5 2 2" xfId="21983" xr:uid="{EDA92443-0E02-43EE-BB0B-8131CF7855ED}"/>
    <cellStyle name="20% - Akzent3 9 5 3" xfId="21982" xr:uid="{8C93FE86-59C6-4214-9477-9CAC8DD45638}"/>
    <cellStyle name="20% - Akzent3 9 6" xfId="2452" xr:uid="{220146BE-702B-4381-B029-13CE6A4361FD}"/>
    <cellStyle name="20% - Akzent3 9 6 2" xfId="2453" xr:uid="{10E10AD6-A8B8-4558-8D2B-49535FB4633C}"/>
    <cellStyle name="20% - Akzent3 9 6 2 2" xfId="21985" xr:uid="{A93D45E1-3A4D-4FAB-92FE-0B205EF3F57A}"/>
    <cellStyle name="20% - Akzent3 9 6 3" xfId="21984" xr:uid="{CF23DB7A-D8FA-4358-AD6A-8310AC7478E3}"/>
    <cellStyle name="20% - Akzent3 9 7" xfId="2454" xr:uid="{B25F6B9E-8BA1-4705-BBD8-F4095E7B8746}"/>
    <cellStyle name="20% - Akzent3 9 7 2" xfId="2455" xr:uid="{6D7688AB-2D47-4631-9C6C-390B8606BCCB}"/>
    <cellStyle name="20% - Akzent3 9 7 2 2" xfId="21987" xr:uid="{C922E719-9870-4217-86C9-70DDBC954DCC}"/>
    <cellStyle name="20% - Akzent3 9 7 3" xfId="21986" xr:uid="{3F77A928-99E6-4EA9-881D-C221E287456A}"/>
    <cellStyle name="20% - Akzent3 9 8" xfId="2456" xr:uid="{0F77B354-0212-4DC4-A78A-C4D04ADDD1AE}"/>
    <cellStyle name="20% - Akzent3 9 8 2" xfId="2457" xr:uid="{39FC3FFF-0C3D-4112-82D3-21EACD4C1D91}"/>
    <cellStyle name="20% - Akzent3 9 8 2 2" xfId="21989" xr:uid="{24341735-3C72-416C-A92F-43936A7E0612}"/>
    <cellStyle name="20% - Akzent3 9 8 3" xfId="21988" xr:uid="{4E0302ED-C6B3-4C2A-973D-78C5344F39B1}"/>
    <cellStyle name="20% - Akzent3 9 9" xfId="2458" xr:uid="{2C23FD73-846B-4025-99F4-851A10051D80}"/>
    <cellStyle name="20% - Akzent3 9 9 2" xfId="2459" xr:uid="{33069EB0-467A-47C9-92E8-DE3BE44608AD}"/>
    <cellStyle name="20% - Akzent3 9 9 2 2" xfId="21991" xr:uid="{87E5E806-A683-4242-B9CD-A69293B4D0DD}"/>
    <cellStyle name="20% - Akzent3 9 9 3" xfId="21990" xr:uid="{D32CAD74-AC90-43D5-9077-D3F2C432DC09}"/>
    <cellStyle name="20% - Akzent4 10" xfId="2461" xr:uid="{0A64E78D-1BF7-4997-9142-000D9EED4881}"/>
    <cellStyle name="20% - Akzent4 10 10" xfId="2462" xr:uid="{AE9C6F42-4A4C-444A-9ADC-737F3242970C}"/>
    <cellStyle name="20% - Akzent4 10 10 2" xfId="2463" xr:uid="{9310BA6D-238E-43DE-A679-F990D94A6454}"/>
    <cellStyle name="20% - Akzent4 10 10 2 2" xfId="21994" xr:uid="{13A5F9E3-4378-4D86-A28B-BA1DB8A6AD08}"/>
    <cellStyle name="20% - Akzent4 10 10 3" xfId="21993" xr:uid="{A6E773C5-0FC1-45FA-B635-03873CF93CEE}"/>
    <cellStyle name="20% - Akzent4 10 11" xfId="2464" xr:uid="{B97DA155-99A3-470C-91BA-7BA637EA766F}"/>
    <cellStyle name="20% - Akzent4 10 11 2" xfId="2465" xr:uid="{A547C3C2-05F7-4B57-8981-29F9D06A4BFF}"/>
    <cellStyle name="20% - Akzent4 10 11 2 2" xfId="21996" xr:uid="{52C870CD-C2D7-4164-A7B5-F4ACF51C2E21}"/>
    <cellStyle name="20% - Akzent4 10 11 3" xfId="21995" xr:uid="{7FE0797B-F266-4E5C-80CD-A16D32624B39}"/>
    <cellStyle name="20% - Akzent4 10 12" xfId="2466" xr:uid="{3184B693-BB05-4753-BCC8-528CFC9B4C6E}"/>
    <cellStyle name="20% - Akzent4 10 12 2" xfId="2467" xr:uid="{DE2AB3F5-4A16-4DD3-BE96-E16EF1BAF66E}"/>
    <cellStyle name="20% - Akzent4 10 12 2 2" xfId="21998" xr:uid="{26EC1B7B-514C-4F21-8D82-DD4F554920EC}"/>
    <cellStyle name="20% - Akzent4 10 12 3" xfId="21997" xr:uid="{ED9A0EC2-F477-40A7-B8D8-F0A109E8AB76}"/>
    <cellStyle name="20% - Akzent4 10 13" xfId="2468" xr:uid="{2838CBFF-0C2D-460A-AA40-6770121C5306}"/>
    <cellStyle name="20% - Akzent4 10 13 2" xfId="2469" xr:uid="{E66BDF85-7F56-4FBE-ACD2-AA911CF44E3B}"/>
    <cellStyle name="20% - Akzent4 10 13 2 2" xfId="22000" xr:uid="{09F87051-5BF5-4508-83FB-F2AB06432B93}"/>
    <cellStyle name="20% - Akzent4 10 13 3" xfId="21999" xr:uid="{FAE43FBC-3CF6-4469-8E27-E285EBD89156}"/>
    <cellStyle name="20% - Akzent4 10 14" xfId="2470" xr:uid="{8B1D47FD-0E7C-42D1-A88D-DDDE4F38E691}"/>
    <cellStyle name="20% - Akzent4 10 14 2" xfId="2471" xr:uid="{ED06D08C-20A7-48E9-BB82-7B5305F5C181}"/>
    <cellStyle name="20% - Akzent4 10 14 2 2" xfId="22002" xr:uid="{6D492DCD-7CA6-4A98-892B-4DBCEF9AD271}"/>
    <cellStyle name="20% - Akzent4 10 14 3" xfId="22001" xr:uid="{CC8EBC31-E1F3-4B53-96D8-5469905783A1}"/>
    <cellStyle name="20% - Akzent4 10 15" xfId="2472" xr:uid="{5D32744F-65B3-44EA-9297-A534A85DB07E}"/>
    <cellStyle name="20% - Akzent4 10 15 2" xfId="2473" xr:uid="{9DEC382A-F44C-4D81-BDDF-525EAE986769}"/>
    <cellStyle name="20% - Akzent4 10 15 2 2" xfId="22004" xr:uid="{0204EAA2-088A-4A05-BE5E-B3EBE073393C}"/>
    <cellStyle name="20% - Akzent4 10 15 3" xfId="22003" xr:uid="{0E72009D-78EF-40AB-9EA6-BB1E630BDE68}"/>
    <cellStyle name="20% - Akzent4 10 16" xfId="2474" xr:uid="{EC45F0D8-67B3-48EC-9C1B-CA2B630EA70C}"/>
    <cellStyle name="20% - Akzent4 10 16 2" xfId="2475" xr:uid="{31956691-B156-4997-9845-76383B89DF60}"/>
    <cellStyle name="20% - Akzent4 10 16 2 2" xfId="22006" xr:uid="{020166CD-5BF9-4DF7-9729-20239FAB8E93}"/>
    <cellStyle name="20% - Akzent4 10 16 3" xfId="22005" xr:uid="{908FF4AA-F4E7-45ED-A5B0-AC55FE6C119A}"/>
    <cellStyle name="20% - Akzent4 10 17" xfId="2476" xr:uid="{B9ED90E4-75DB-43F9-BE4C-7BC52A27049A}"/>
    <cellStyle name="20% - Akzent4 10 17 2" xfId="2477" xr:uid="{6CA6C3E2-8BF9-4D1D-AE19-784DF460FC8D}"/>
    <cellStyle name="20% - Akzent4 10 17 2 2" xfId="22008" xr:uid="{EFF1663D-C03A-48F6-8353-5B50CB6629A9}"/>
    <cellStyle name="20% - Akzent4 10 17 3" xfId="22007" xr:uid="{9B384A80-FED6-4CFB-A817-0AC8C32D7863}"/>
    <cellStyle name="20% - Akzent4 10 18" xfId="2478" xr:uid="{6D84A450-88A5-4770-9B6B-27A674161FDA}"/>
    <cellStyle name="20% - Akzent4 10 18 2" xfId="2479" xr:uid="{D39EDC5F-789C-4739-8769-31BBCF397B9C}"/>
    <cellStyle name="20% - Akzent4 10 18 2 2" xfId="22010" xr:uid="{84A0AA8D-EC3C-476C-87C7-56676BF3C991}"/>
    <cellStyle name="20% - Akzent4 10 18 3" xfId="22009" xr:uid="{AA376596-597D-419E-878B-B47AD88D7AEB}"/>
    <cellStyle name="20% - Akzent4 10 19" xfId="2480" xr:uid="{72DE96C2-E3DC-4E96-B2F6-9A80EE0FF279}"/>
    <cellStyle name="20% - Akzent4 10 19 2" xfId="2481" xr:uid="{6F0AFDCF-FF01-4059-B1A8-4501921F2836}"/>
    <cellStyle name="20% - Akzent4 10 19 2 2" xfId="22012" xr:uid="{270D72AA-12DF-4B2A-8113-5530F9C8CD81}"/>
    <cellStyle name="20% - Akzent4 10 19 3" xfId="22011" xr:uid="{7B71E4CD-E32C-40FE-ABFB-B2A5AFE0A94B}"/>
    <cellStyle name="20% - Akzent4 10 2" xfId="2482" xr:uid="{4CD52B27-2FB3-43AD-8BF0-5674FFCDC443}"/>
    <cellStyle name="20% - Akzent4 10 2 2" xfId="2483" xr:uid="{E8BECD21-45F2-4340-9711-EFEFFD42AC1F}"/>
    <cellStyle name="20% - Akzent4 10 2 2 2" xfId="22014" xr:uid="{903D09A5-AEA6-49E2-84BC-7B819145368F}"/>
    <cellStyle name="20% - Akzent4 10 2 3" xfId="22013" xr:uid="{334E9694-7DAE-48C2-8949-C03A1374349D}"/>
    <cellStyle name="20% - Akzent4 10 20" xfId="2484" xr:uid="{6F0EC092-344D-43D8-BE9E-0D51E188C5B9}"/>
    <cellStyle name="20% - Akzent4 10 20 2" xfId="2485" xr:uid="{5869F742-3771-43B4-97BD-B93B7E4DBF6F}"/>
    <cellStyle name="20% - Akzent4 10 20 2 2" xfId="22016" xr:uid="{DB684701-F879-44B2-88D3-C404EDF0057C}"/>
    <cellStyle name="20% - Akzent4 10 20 3" xfId="22015" xr:uid="{EF1BC35B-B4C2-4BD5-A213-4FEE053917B4}"/>
    <cellStyle name="20% - Akzent4 10 21" xfId="2486" xr:uid="{0906094E-99AD-4A7E-A8ED-AFB634D9C9B4}"/>
    <cellStyle name="20% - Akzent4 10 21 2" xfId="2487" xr:uid="{55CC981A-C192-486C-AB65-A9836AA4C4D4}"/>
    <cellStyle name="20% - Akzent4 10 21 2 2" xfId="22018" xr:uid="{D00064CC-D244-4F27-8DAA-BC56F9DA45AD}"/>
    <cellStyle name="20% - Akzent4 10 21 3" xfId="22017" xr:uid="{C5D89D04-38B6-4418-9D48-052A59872512}"/>
    <cellStyle name="20% - Akzent4 10 22" xfId="2488" xr:uid="{E36DE38F-BBC8-4A94-A81D-CB63A52B8155}"/>
    <cellStyle name="20% - Akzent4 10 23" xfId="21992" xr:uid="{B97A2E41-B774-418F-8B34-278C338FF500}"/>
    <cellStyle name="20% - Akzent4 10 3" xfId="2489" xr:uid="{DA7F9C4B-61BB-427D-9DCB-8F8629FAF94A}"/>
    <cellStyle name="20% - Akzent4 10 3 2" xfId="2490" xr:uid="{34F9005D-5771-4479-94F8-FB3FB1808F00}"/>
    <cellStyle name="20% - Akzent4 10 3 2 2" xfId="22020" xr:uid="{446590FA-F906-4C50-96E3-3242B587C148}"/>
    <cellStyle name="20% - Akzent4 10 3 3" xfId="22019" xr:uid="{27DBF880-7625-45C0-8F93-E06095433388}"/>
    <cellStyle name="20% - Akzent4 10 4" xfId="2491" xr:uid="{C6E0B146-076F-4439-91F9-D8996C4D4D27}"/>
    <cellStyle name="20% - Akzent4 10 4 2" xfId="2492" xr:uid="{550ABC3D-9C9D-4541-B298-18E13AA48E5F}"/>
    <cellStyle name="20% - Akzent4 10 4 2 2" xfId="22022" xr:uid="{9F03231F-0F47-475E-B1E5-82DC6CA45FD3}"/>
    <cellStyle name="20% - Akzent4 10 4 3" xfId="22021" xr:uid="{AB8B22F6-6E96-4B8A-86D5-834C81801779}"/>
    <cellStyle name="20% - Akzent4 10 5" xfId="2493" xr:uid="{E93A7656-0816-4B03-B2C7-3CDF77CDB432}"/>
    <cellStyle name="20% - Akzent4 10 5 2" xfId="2494" xr:uid="{9016479D-9E51-40D3-979A-E59790868FC3}"/>
    <cellStyle name="20% - Akzent4 10 5 2 2" xfId="22024" xr:uid="{2AFC71E1-7DEA-4755-A679-6A06697F889B}"/>
    <cellStyle name="20% - Akzent4 10 5 3" xfId="22023" xr:uid="{0BEDC836-9367-451A-AB1D-295FF6502122}"/>
    <cellStyle name="20% - Akzent4 10 6" xfId="2495" xr:uid="{F424D763-D8DA-4893-8ED6-096805608133}"/>
    <cellStyle name="20% - Akzent4 10 6 2" xfId="2496" xr:uid="{0B4EF215-A244-417B-A457-3B7214B6EC38}"/>
    <cellStyle name="20% - Akzent4 10 6 2 2" xfId="22026" xr:uid="{50DC53C8-A5B6-4AFC-A5C7-D595DD0D91EB}"/>
    <cellStyle name="20% - Akzent4 10 6 3" xfId="22025" xr:uid="{8E8834A7-CA24-4074-99BE-5C2513849DD3}"/>
    <cellStyle name="20% - Akzent4 10 7" xfId="2497" xr:uid="{D46538C3-60E4-42A4-A18B-5F3ACBCAFFE6}"/>
    <cellStyle name="20% - Akzent4 10 7 2" xfId="2498" xr:uid="{4872FAEB-1742-4453-B8D1-5B2A5487F49E}"/>
    <cellStyle name="20% - Akzent4 10 7 2 2" xfId="22028" xr:uid="{9C9F8D45-66C4-400B-AAF5-698CDB2E83E2}"/>
    <cellStyle name="20% - Akzent4 10 7 3" xfId="22027" xr:uid="{3F61BEBC-EE2F-4228-B99E-D6644BFEC6EA}"/>
    <cellStyle name="20% - Akzent4 10 8" xfId="2499" xr:uid="{E3897196-FFB8-4EEA-9340-40E3871C2746}"/>
    <cellStyle name="20% - Akzent4 10 8 2" xfId="2500" xr:uid="{41EEA313-297A-4746-A244-EB83F7A7D076}"/>
    <cellStyle name="20% - Akzent4 10 8 2 2" xfId="22030" xr:uid="{C0403E95-D562-4642-8600-5E13526B29A2}"/>
    <cellStyle name="20% - Akzent4 10 8 3" xfId="22029" xr:uid="{2497F793-0D60-4910-B790-48AA69582889}"/>
    <cellStyle name="20% - Akzent4 10 9" xfId="2501" xr:uid="{84E24646-4C5A-4B6D-AC82-F227BB673878}"/>
    <cellStyle name="20% - Akzent4 10 9 2" xfId="2502" xr:uid="{1B85BBE1-15C8-453A-89C3-3AAB6DAEB194}"/>
    <cellStyle name="20% - Akzent4 10 9 2 2" xfId="22032" xr:uid="{A58228E9-7F8C-496C-8B54-D62D74F96AB1}"/>
    <cellStyle name="20% - Akzent4 10 9 3" xfId="22031" xr:uid="{80DE1FAE-C495-46C3-A1A0-FBFF1C6CE1EF}"/>
    <cellStyle name="20% - Akzent4 11" xfId="2503" xr:uid="{E53D3DC9-3113-4113-B0E3-2176BC718784}"/>
    <cellStyle name="20% - Akzent4 11 10" xfId="2504" xr:uid="{183F8063-C507-423E-AB21-5D1F6B3A7802}"/>
    <cellStyle name="20% - Akzent4 11 10 2" xfId="2505" xr:uid="{359F360C-2889-4D45-8D01-6B874F801DC4}"/>
    <cellStyle name="20% - Akzent4 11 10 2 2" xfId="22035" xr:uid="{34A96771-DBDF-488B-9C3C-F3F6D9030AC5}"/>
    <cellStyle name="20% - Akzent4 11 10 3" xfId="22034" xr:uid="{357EF017-3387-4EA6-9999-0FA9E828C8E6}"/>
    <cellStyle name="20% - Akzent4 11 11" xfId="2506" xr:uid="{2E56F435-1522-46AB-9010-DDA02DCF2D97}"/>
    <cellStyle name="20% - Akzent4 11 11 2" xfId="2507" xr:uid="{A3A2C4CA-8BDF-466B-B737-DA9550418782}"/>
    <cellStyle name="20% - Akzent4 11 11 2 2" xfId="22037" xr:uid="{0397B33B-327E-4BAA-A5CD-A46EC79DC2B5}"/>
    <cellStyle name="20% - Akzent4 11 11 3" xfId="22036" xr:uid="{029A85FF-1244-4545-A66D-C77CA812137D}"/>
    <cellStyle name="20% - Akzent4 11 12" xfId="2508" xr:uid="{8ABAA456-A0EB-4885-9A61-583A7BE7EFC6}"/>
    <cellStyle name="20% - Akzent4 11 12 2" xfId="2509" xr:uid="{4F89E12A-90E5-4A79-92B5-4BAA5D90CC05}"/>
    <cellStyle name="20% - Akzent4 11 12 2 2" xfId="22039" xr:uid="{F5CE271A-8B9A-4663-B903-8AC6ED6FAF45}"/>
    <cellStyle name="20% - Akzent4 11 12 3" xfId="22038" xr:uid="{F6B39C07-0954-4064-A383-5D85BB6F4AD0}"/>
    <cellStyle name="20% - Akzent4 11 13" xfId="2510" xr:uid="{1B1F4698-F8D2-43C2-B607-23EED6786A9F}"/>
    <cellStyle name="20% - Akzent4 11 13 2" xfId="2511" xr:uid="{2543D483-493C-45E3-9F6D-FC3056415A23}"/>
    <cellStyle name="20% - Akzent4 11 13 2 2" xfId="22041" xr:uid="{9DE7A1E4-A0B0-4DD3-86DC-6F09B370814B}"/>
    <cellStyle name="20% - Akzent4 11 13 3" xfId="22040" xr:uid="{39329867-2F29-4E42-978A-B24BBC8F6552}"/>
    <cellStyle name="20% - Akzent4 11 14" xfId="2512" xr:uid="{83E8B3AD-3AC3-443A-89B8-1194DA31984F}"/>
    <cellStyle name="20% - Akzent4 11 14 2" xfId="2513" xr:uid="{38C849DD-ADAD-417D-819C-BC0FA8AEA0AB}"/>
    <cellStyle name="20% - Akzent4 11 14 2 2" xfId="22043" xr:uid="{7E7FC209-781D-446D-BF08-102FD3A27625}"/>
    <cellStyle name="20% - Akzent4 11 14 3" xfId="22042" xr:uid="{5214D670-8C1F-43A6-AAA8-19412E5C41D3}"/>
    <cellStyle name="20% - Akzent4 11 15" xfId="2514" xr:uid="{77783F7E-3AD1-462F-A923-D0FF746BC533}"/>
    <cellStyle name="20% - Akzent4 11 15 2" xfId="2515" xr:uid="{170E4609-3BD9-4306-B5F5-E67A7C1A75E6}"/>
    <cellStyle name="20% - Akzent4 11 15 2 2" xfId="22045" xr:uid="{395A5E41-4C1E-406C-B93E-2F1E7F3D9092}"/>
    <cellStyle name="20% - Akzent4 11 15 3" xfId="22044" xr:uid="{D03FEAB6-7F2A-43D9-AE61-DBF89302BFBF}"/>
    <cellStyle name="20% - Akzent4 11 16" xfId="2516" xr:uid="{AC7F1A36-7AB1-4C34-9A69-EE21983FD0DF}"/>
    <cellStyle name="20% - Akzent4 11 16 2" xfId="2517" xr:uid="{E63FB745-1FCA-48B7-AF05-36FAE73C78C8}"/>
    <cellStyle name="20% - Akzent4 11 16 2 2" xfId="22047" xr:uid="{726B16B4-5463-4884-96D0-21D1E19214ED}"/>
    <cellStyle name="20% - Akzent4 11 16 3" xfId="22046" xr:uid="{FCA69EE7-FD14-43DD-8C8F-F7290E14A4FA}"/>
    <cellStyle name="20% - Akzent4 11 17" xfId="2518" xr:uid="{EFD47D03-85E7-49A2-980D-95FA02C6F31E}"/>
    <cellStyle name="20% - Akzent4 11 17 2" xfId="2519" xr:uid="{DAE51075-D537-45FA-9C5D-02BF669FED9E}"/>
    <cellStyle name="20% - Akzent4 11 17 2 2" xfId="22049" xr:uid="{C21464DF-CE3D-49DB-84B9-E10B4C0910AA}"/>
    <cellStyle name="20% - Akzent4 11 17 3" xfId="22048" xr:uid="{8729CB22-3B88-48B4-B035-0268705E9B6C}"/>
    <cellStyle name="20% - Akzent4 11 18" xfId="2520" xr:uid="{3869E5DD-51C2-4E89-A266-AF89F041FD93}"/>
    <cellStyle name="20% - Akzent4 11 18 2" xfId="2521" xr:uid="{A6DCD52C-B21E-4AE6-8ABC-65A883B84ADD}"/>
    <cellStyle name="20% - Akzent4 11 18 2 2" xfId="22051" xr:uid="{29D90A41-CB99-496C-96D3-D235E4F8A523}"/>
    <cellStyle name="20% - Akzent4 11 18 3" xfId="22050" xr:uid="{3C9CBC02-AE21-4D77-BDBC-6DD900FAFC7A}"/>
    <cellStyle name="20% - Akzent4 11 19" xfId="2522" xr:uid="{839616DC-EC22-4690-A250-02DDB9236C3C}"/>
    <cellStyle name="20% - Akzent4 11 19 2" xfId="2523" xr:uid="{A0C3C697-84FC-455E-A47A-22A31BB11CF2}"/>
    <cellStyle name="20% - Akzent4 11 19 2 2" xfId="22053" xr:uid="{763D9D89-4514-4080-9491-1BC464D47925}"/>
    <cellStyle name="20% - Akzent4 11 19 3" xfId="22052" xr:uid="{DF88A4BB-BA0C-4FF3-A958-1D844D70021A}"/>
    <cellStyle name="20% - Akzent4 11 2" xfId="2524" xr:uid="{056BBA01-2A34-4B72-BD6F-54714D316233}"/>
    <cellStyle name="20% - Akzent4 11 2 2" xfId="2525" xr:uid="{14CA13C4-B1E1-4736-BA2F-58772D3457DE}"/>
    <cellStyle name="20% - Akzent4 11 2 2 2" xfId="22055" xr:uid="{6DA77FC3-EE7C-4FEE-9805-840A3D085395}"/>
    <cellStyle name="20% - Akzent4 11 2 3" xfId="22054" xr:uid="{B9A9FECB-802F-4AB2-83A6-FA1C9595910A}"/>
    <cellStyle name="20% - Akzent4 11 20" xfId="2526" xr:uid="{1BDF00F7-246C-4549-864F-99BEC31F83FD}"/>
    <cellStyle name="20% - Akzent4 11 20 2" xfId="2527" xr:uid="{900C44B9-CDE5-4AED-A7E5-1FC02675460E}"/>
    <cellStyle name="20% - Akzent4 11 20 2 2" xfId="22057" xr:uid="{2F471478-3AA4-41C0-9065-3BC8817461A5}"/>
    <cellStyle name="20% - Akzent4 11 20 3" xfId="22056" xr:uid="{4755560F-8254-4993-A503-71F1521A2764}"/>
    <cellStyle name="20% - Akzent4 11 21" xfId="2528" xr:uid="{878C76B4-8E45-4890-9D45-5AFC234CA265}"/>
    <cellStyle name="20% - Akzent4 11 21 2" xfId="2529" xr:uid="{E70D96D6-E17D-427C-A728-5C290F3B8809}"/>
    <cellStyle name="20% - Akzent4 11 21 2 2" xfId="22059" xr:uid="{53B2DD6E-2EFC-4714-AD07-8F4B26467B77}"/>
    <cellStyle name="20% - Akzent4 11 21 3" xfId="22058" xr:uid="{76C84584-226B-4679-B9A9-E04FA2F8BE8A}"/>
    <cellStyle name="20% - Akzent4 11 22" xfId="2530" xr:uid="{2E630297-339A-4976-9AE6-81910CAFC8D8}"/>
    <cellStyle name="20% - Akzent4 11 23" xfId="22033" xr:uid="{EE07FE12-256C-49E7-B831-680132191949}"/>
    <cellStyle name="20% - Akzent4 11 3" xfId="2531" xr:uid="{E71AA239-D81F-4BC6-AE5B-5332534DB510}"/>
    <cellStyle name="20% - Akzent4 11 3 2" xfId="2532" xr:uid="{253BE56A-6380-442B-81AF-806D487FE9C0}"/>
    <cellStyle name="20% - Akzent4 11 3 2 2" xfId="22061" xr:uid="{682B8B8A-AA58-486F-BC06-A64D0266EDA2}"/>
    <cellStyle name="20% - Akzent4 11 3 3" xfId="22060" xr:uid="{EBE58640-E98B-49B8-8FC9-DBEE0A4E18CA}"/>
    <cellStyle name="20% - Akzent4 11 4" xfId="2533" xr:uid="{ED937ED7-ABB6-427B-8A90-2EDD033282F2}"/>
    <cellStyle name="20% - Akzent4 11 4 2" xfId="2534" xr:uid="{96C69BFD-3E2C-4AAB-AC3A-F302232D587C}"/>
    <cellStyle name="20% - Akzent4 11 4 2 2" xfId="22063" xr:uid="{FE841A72-8959-425C-B191-0C7835D11E3F}"/>
    <cellStyle name="20% - Akzent4 11 4 3" xfId="22062" xr:uid="{8F330D95-1339-4617-BEA9-1919BACE2DA6}"/>
    <cellStyle name="20% - Akzent4 11 5" xfId="2535" xr:uid="{4F77C7B8-8ABE-4E30-8229-7E35B35261CA}"/>
    <cellStyle name="20% - Akzent4 11 5 2" xfId="2536" xr:uid="{4DE3EB97-1C2B-4F7E-A661-0343C7D7542F}"/>
    <cellStyle name="20% - Akzent4 11 5 2 2" xfId="22065" xr:uid="{F697C5CD-BF58-496D-9031-801BB096E901}"/>
    <cellStyle name="20% - Akzent4 11 5 3" xfId="22064" xr:uid="{BE819757-BA59-4CFA-B953-5B1171B7A0C5}"/>
    <cellStyle name="20% - Akzent4 11 6" xfId="2537" xr:uid="{9CA601C8-ED73-446D-8208-76CE469ECB07}"/>
    <cellStyle name="20% - Akzent4 11 6 2" xfId="2538" xr:uid="{4EAE6A93-0A60-4B4B-A206-41555F084E53}"/>
    <cellStyle name="20% - Akzent4 11 6 2 2" xfId="22067" xr:uid="{C975A535-BB67-444A-94CB-B758E5DE7CDC}"/>
    <cellStyle name="20% - Akzent4 11 6 3" xfId="22066" xr:uid="{5E6E0A05-9175-433F-9F2E-DECD5608E19D}"/>
    <cellStyle name="20% - Akzent4 11 7" xfId="2539" xr:uid="{5FF8DA4B-CEB3-4E6C-B582-5D3D02B72D4F}"/>
    <cellStyle name="20% - Akzent4 11 7 2" xfId="2540" xr:uid="{014C061F-987D-4903-B83A-20FB6B6FCEC9}"/>
    <cellStyle name="20% - Akzent4 11 7 2 2" xfId="22069" xr:uid="{6F89241A-E077-4667-B087-F2A780C5ACAC}"/>
    <cellStyle name="20% - Akzent4 11 7 3" xfId="22068" xr:uid="{1851D45D-0C51-4E31-9EDF-A68C3ADE5F66}"/>
    <cellStyle name="20% - Akzent4 11 8" xfId="2541" xr:uid="{54648F64-161C-43E4-8849-F9C4376B75FE}"/>
    <cellStyle name="20% - Akzent4 11 8 2" xfId="2542" xr:uid="{49A68AFE-0775-4ACA-A002-A16714EFBDBA}"/>
    <cellStyle name="20% - Akzent4 11 8 2 2" xfId="22071" xr:uid="{FF4DA9BD-1235-40C2-B221-A03A8995EC49}"/>
    <cellStyle name="20% - Akzent4 11 8 3" xfId="22070" xr:uid="{5D871693-44AD-47D8-B062-A1EFAE56D429}"/>
    <cellStyle name="20% - Akzent4 11 9" xfId="2543" xr:uid="{52D135FB-57F9-4B97-91C3-1E59E25B503E}"/>
    <cellStyle name="20% - Akzent4 11 9 2" xfId="2544" xr:uid="{F3FE3629-98BB-4777-B4AB-B580DE3B2E3D}"/>
    <cellStyle name="20% - Akzent4 11 9 2 2" xfId="22073" xr:uid="{0F2A6882-F202-4DBD-A010-F47079595E6A}"/>
    <cellStyle name="20% - Akzent4 11 9 3" xfId="22072" xr:uid="{9C5977F1-E146-4F6A-9387-EB9D6726995A}"/>
    <cellStyle name="20% - Akzent4 12" xfId="2545" xr:uid="{D95C9ED8-8716-4DF9-A711-D5356E3EC434}"/>
    <cellStyle name="20% - Akzent4 12 10" xfId="2546" xr:uid="{DC4EA200-40F4-4B45-B0AB-DF493908EFEE}"/>
    <cellStyle name="20% - Akzent4 12 10 2" xfId="2547" xr:uid="{B505D93C-8865-4079-8B3F-018A9140E0CC}"/>
    <cellStyle name="20% - Akzent4 12 10 2 2" xfId="22076" xr:uid="{E74516FB-E983-491A-928A-AF2ACF8EE379}"/>
    <cellStyle name="20% - Akzent4 12 10 3" xfId="22075" xr:uid="{9B2F21FA-E490-4799-93CF-00CF7E6376DA}"/>
    <cellStyle name="20% - Akzent4 12 11" xfId="2548" xr:uid="{A4687681-CA74-4DA5-8232-DFE70F94B3DC}"/>
    <cellStyle name="20% - Akzent4 12 11 2" xfId="2549" xr:uid="{C0442BAC-A375-4F6C-A101-D2FBC6F89194}"/>
    <cellStyle name="20% - Akzent4 12 11 2 2" xfId="22078" xr:uid="{8F05E830-5E8F-4A18-BB86-CBA4D37B0CE0}"/>
    <cellStyle name="20% - Akzent4 12 11 3" xfId="22077" xr:uid="{D517F542-925F-44AA-89CA-BFECC9D59349}"/>
    <cellStyle name="20% - Akzent4 12 12" xfId="2550" xr:uid="{E3AB5F7B-E188-46DA-8711-223B1DDE9C62}"/>
    <cellStyle name="20% - Akzent4 12 12 2" xfId="2551" xr:uid="{246BD4B6-D5C7-4C04-AC8F-3B495CD86E2E}"/>
    <cellStyle name="20% - Akzent4 12 12 2 2" xfId="22080" xr:uid="{849315B7-E2CB-4A20-BBB0-24A62BB7E142}"/>
    <cellStyle name="20% - Akzent4 12 12 3" xfId="22079" xr:uid="{D3A542BE-31EC-4218-B0EB-C5B39C536D0D}"/>
    <cellStyle name="20% - Akzent4 12 13" xfId="2552" xr:uid="{14EF2545-E3C9-4974-B9CB-9DADA85591D8}"/>
    <cellStyle name="20% - Akzent4 12 13 2" xfId="2553" xr:uid="{8C754568-C2B4-466D-8BE2-6C20D3E3FC92}"/>
    <cellStyle name="20% - Akzent4 12 13 2 2" xfId="22082" xr:uid="{39E5C286-D24E-4876-A84D-19F52EB88362}"/>
    <cellStyle name="20% - Akzent4 12 13 3" xfId="22081" xr:uid="{0112FD9C-6A03-499B-9544-9830F41CA496}"/>
    <cellStyle name="20% - Akzent4 12 14" xfId="2554" xr:uid="{9E21FE35-36AD-4251-BA19-410C9A6FE27D}"/>
    <cellStyle name="20% - Akzent4 12 14 2" xfId="2555" xr:uid="{67263055-D172-40FE-8CF5-CCB8247D1025}"/>
    <cellStyle name="20% - Akzent4 12 14 2 2" xfId="22084" xr:uid="{44B64FB7-BA6F-4B66-ACF4-1842A66D0A4A}"/>
    <cellStyle name="20% - Akzent4 12 14 3" xfId="22083" xr:uid="{E7F6B97C-10F0-41D3-BC8F-B8EB352856DC}"/>
    <cellStyle name="20% - Akzent4 12 15" xfId="2556" xr:uid="{D5FEA9EE-E6BD-48B6-80C2-8A7174080B94}"/>
    <cellStyle name="20% - Akzent4 12 15 2" xfId="2557" xr:uid="{479E5347-B4DE-45E5-ABC5-2A2F8033E384}"/>
    <cellStyle name="20% - Akzent4 12 15 2 2" xfId="22086" xr:uid="{B65A0936-20C5-4648-9F7D-A2B632181586}"/>
    <cellStyle name="20% - Akzent4 12 15 3" xfId="22085" xr:uid="{6247550F-04FF-4348-A207-0D2624C51E32}"/>
    <cellStyle name="20% - Akzent4 12 16" xfId="2558" xr:uid="{8FD7E6AE-61EE-4D94-AD36-B3F293F964AD}"/>
    <cellStyle name="20% - Akzent4 12 16 2" xfId="2559" xr:uid="{E1375834-7F3B-4E50-A987-5E89620D5114}"/>
    <cellStyle name="20% - Akzent4 12 16 2 2" xfId="22088" xr:uid="{FB74C018-D157-47C1-8652-F3CD0BCAAE4A}"/>
    <cellStyle name="20% - Akzent4 12 16 3" xfId="22087" xr:uid="{F51C008E-0F5F-4642-8095-285328E8C227}"/>
    <cellStyle name="20% - Akzent4 12 17" xfId="2560" xr:uid="{153B4A1D-993C-4165-AA6E-2789B98474D8}"/>
    <cellStyle name="20% - Akzent4 12 17 2" xfId="2561" xr:uid="{CA6B316C-55D3-4504-8B7E-12DD61748E17}"/>
    <cellStyle name="20% - Akzent4 12 17 2 2" xfId="22090" xr:uid="{05627DC1-B71A-42FD-813E-4460735C5EB3}"/>
    <cellStyle name="20% - Akzent4 12 17 3" xfId="22089" xr:uid="{9E8FEAED-BCD1-4DC0-8B99-434F6DEB9A83}"/>
    <cellStyle name="20% - Akzent4 12 18" xfId="2562" xr:uid="{9B2A3FB5-16F5-4197-9336-F0636EF8DCA1}"/>
    <cellStyle name="20% - Akzent4 12 18 2" xfId="2563" xr:uid="{1C4196A6-FCB3-476B-A439-01ADCB5A4E12}"/>
    <cellStyle name="20% - Akzent4 12 18 2 2" xfId="22092" xr:uid="{FA0D695B-1E6E-4D3A-8169-E2462C734533}"/>
    <cellStyle name="20% - Akzent4 12 18 3" xfId="22091" xr:uid="{6C18E368-0C96-4143-89F5-1CB8558335C2}"/>
    <cellStyle name="20% - Akzent4 12 19" xfId="2564" xr:uid="{02882BA7-CA4E-414D-905D-2EA1F9057E86}"/>
    <cellStyle name="20% - Akzent4 12 19 2" xfId="2565" xr:uid="{D5D1F91B-5944-46A4-B1B9-5EF82556EFBA}"/>
    <cellStyle name="20% - Akzent4 12 19 2 2" xfId="22094" xr:uid="{96BAE221-5E7D-41C0-A9FC-6F4C8D32FF07}"/>
    <cellStyle name="20% - Akzent4 12 19 3" xfId="22093" xr:uid="{A2469CBF-C2B3-4E90-8E37-9A43B08E2855}"/>
    <cellStyle name="20% - Akzent4 12 2" xfId="2566" xr:uid="{42F190D3-4A5D-40F1-81F5-DCFBA2E9F3E9}"/>
    <cellStyle name="20% - Akzent4 12 2 2" xfId="2567" xr:uid="{46E73C33-575A-470B-8324-858327BB651D}"/>
    <cellStyle name="20% - Akzent4 12 2 2 2" xfId="22096" xr:uid="{5CD7D6DA-7179-4027-8BBB-9CB6222D0976}"/>
    <cellStyle name="20% - Akzent4 12 2 3" xfId="22095" xr:uid="{E7C0DD17-7CA7-4603-BD4F-DB4673959A8C}"/>
    <cellStyle name="20% - Akzent4 12 20" xfId="2568" xr:uid="{678C7B3F-DFEC-4E89-996E-99BF6B02F5D8}"/>
    <cellStyle name="20% - Akzent4 12 20 2" xfId="2569" xr:uid="{EF68605C-FFC3-4668-B687-7BB869FA3E3F}"/>
    <cellStyle name="20% - Akzent4 12 20 2 2" xfId="22098" xr:uid="{EA12D2F6-1FD1-4C88-833F-E19F186B74D6}"/>
    <cellStyle name="20% - Akzent4 12 20 3" xfId="22097" xr:uid="{FE2DD5F2-55E0-40D7-A24D-DF83F048F777}"/>
    <cellStyle name="20% - Akzent4 12 21" xfId="2570" xr:uid="{8BCCCC38-B835-461E-BF3D-FE997D5FE125}"/>
    <cellStyle name="20% - Akzent4 12 21 2" xfId="2571" xr:uid="{8AFA7AFE-E6E2-4D0D-B369-F80A9DAB9C5B}"/>
    <cellStyle name="20% - Akzent4 12 21 2 2" xfId="22100" xr:uid="{D4D4E73E-DF97-40FC-B987-CA9E7EDFC690}"/>
    <cellStyle name="20% - Akzent4 12 21 3" xfId="22099" xr:uid="{BBEB7838-777B-4357-9F9C-70E97B8BC215}"/>
    <cellStyle name="20% - Akzent4 12 22" xfId="2572" xr:uid="{2905C786-7437-4B75-BE8F-49AF1E87FABC}"/>
    <cellStyle name="20% - Akzent4 12 23" xfId="22074" xr:uid="{FB821BC4-D44B-4A3D-B59A-4A3379C980BD}"/>
    <cellStyle name="20% - Akzent4 12 3" xfId="2573" xr:uid="{47D7C777-FB0B-40CE-8C6D-DD2883F93B83}"/>
    <cellStyle name="20% - Akzent4 12 3 2" xfId="2574" xr:uid="{B6B8182E-9515-4420-B8F6-7147606B526D}"/>
    <cellStyle name="20% - Akzent4 12 3 2 2" xfId="22102" xr:uid="{91D8737D-8329-42CD-AA39-76B0B1634065}"/>
    <cellStyle name="20% - Akzent4 12 3 3" xfId="22101" xr:uid="{5CC6A0AE-B245-4709-8C1A-BF144DD3E79F}"/>
    <cellStyle name="20% - Akzent4 12 4" xfId="2575" xr:uid="{CAEF88ED-07D2-4259-95C1-8C25B81D3F83}"/>
    <cellStyle name="20% - Akzent4 12 4 2" xfId="2576" xr:uid="{F105837E-022B-48C6-92A7-199ED25A2FF7}"/>
    <cellStyle name="20% - Akzent4 12 4 2 2" xfId="22104" xr:uid="{A65EAC73-6E7D-47B3-AD6F-5E9F8393B5A4}"/>
    <cellStyle name="20% - Akzent4 12 4 3" xfId="22103" xr:uid="{CF67ECF3-B345-4CD6-88C5-30433E3BDF51}"/>
    <cellStyle name="20% - Akzent4 12 5" xfId="2577" xr:uid="{EEBBE7FC-4E19-4E0E-92DA-E3A38BB501EC}"/>
    <cellStyle name="20% - Akzent4 12 5 2" xfId="2578" xr:uid="{AD775196-BD59-401F-A76F-0DD74D93ECD7}"/>
    <cellStyle name="20% - Akzent4 12 5 2 2" xfId="22106" xr:uid="{2B0A1850-322B-46B5-8D5C-E1B13EBB1CC6}"/>
    <cellStyle name="20% - Akzent4 12 5 3" xfId="22105" xr:uid="{6EFC8813-039F-40A5-B22A-DCC23EC158E6}"/>
    <cellStyle name="20% - Akzent4 12 6" xfId="2579" xr:uid="{0A95AA63-5C77-433D-B8A0-8B06881C8423}"/>
    <cellStyle name="20% - Akzent4 12 6 2" xfId="2580" xr:uid="{09C357FC-D7B3-4CBC-9A4F-93A0ECC279A6}"/>
    <cellStyle name="20% - Akzent4 12 6 2 2" xfId="22108" xr:uid="{45D5AAC2-A60D-423F-9622-D96A9739AF36}"/>
    <cellStyle name="20% - Akzent4 12 6 3" xfId="22107" xr:uid="{2CD4D5E1-3026-47BF-97F1-FEBFF3BDEDAA}"/>
    <cellStyle name="20% - Akzent4 12 7" xfId="2581" xr:uid="{6D559399-6145-4787-A3E9-8B01D24C4528}"/>
    <cellStyle name="20% - Akzent4 12 7 2" xfId="2582" xr:uid="{3ED1379F-BA73-42E3-A3FE-9B185C6B6B73}"/>
    <cellStyle name="20% - Akzent4 12 7 2 2" xfId="22110" xr:uid="{0B7EE5D6-2CFD-430B-A2FC-4D30322AC4C9}"/>
    <cellStyle name="20% - Akzent4 12 7 3" xfId="22109" xr:uid="{88B826F7-69EB-46D7-BE7A-AB6BDE625955}"/>
    <cellStyle name="20% - Akzent4 12 8" xfId="2583" xr:uid="{C52B2809-FE1F-42FC-9C20-59D1C8917B8F}"/>
    <cellStyle name="20% - Akzent4 12 8 2" xfId="2584" xr:uid="{F8BC1A5D-805D-4165-AB83-C1C9C8A960A2}"/>
    <cellStyle name="20% - Akzent4 12 8 2 2" xfId="22112" xr:uid="{D0379A7B-8A89-494A-A80E-AE3F052BA1B5}"/>
    <cellStyle name="20% - Akzent4 12 8 3" xfId="22111" xr:uid="{56AF6A71-DFDF-47F4-8D9C-8C5DBD044658}"/>
    <cellStyle name="20% - Akzent4 12 9" xfId="2585" xr:uid="{33DF88A0-9859-4EFE-8A3F-D6B9B8786595}"/>
    <cellStyle name="20% - Akzent4 12 9 2" xfId="2586" xr:uid="{2E99F5BC-9CC7-4543-85FA-93265BD3F125}"/>
    <cellStyle name="20% - Akzent4 12 9 2 2" xfId="22114" xr:uid="{910DF19D-B4BB-4FC2-B5AF-E7B28162E154}"/>
    <cellStyle name="20% - Akzent4 12 9 3" xfId="22113" xr:uid="{BF728E91-6A2A-4D2D-BB3E-2C12FBF848C5}"/>
    <cellStyle name="20% - Akzent4 13" xfId="2587" xr:uid="{B7E57CFD-D954-4BEC-8F9A-43F20E909EBD}"/>
    <cellStyle name="20% - Akzent4 13 10" xfId="2588" xr:uid="{D9D61E80-06DA-4F7B-9930-384B20580D8F}"/>
    <cellStyle name="20% - Akzent4 13 10 2" xfId="2589" xr:uid="{8F2D7464-B01E-4FD6-B466-783FA3499084}"/>
    <cellStyle name="20% - Akzent4 13 10 2 2" xfId="22117" xr:uid="{9B58DF68-2F28-46F1-822E-33F16E4F9124}"/>
    <cellStyle name="20% - Akzent4 13 10 3" xfId="22116" xr:uid="{400D062C-7C64-4DF2-AB3E-A02C5DB79675}"/>
    <cellStyle name="20% - Akzent4 13 11" xfId="2590" xr:uid="{A18688E3-DC7A-4506-A489-08E0FE9E6FDF}"/>
    <cellStyle name="20% - Akzent4 13 11 2" xfId="2591" xr:uid="{8834B3C8-61BF-496C-91F8-B14FE1A02DD8}"/>
    <cellStyle name="20% - Akzent4 13 11 2 2" xfId="22119" xr:uid="{187581E2-D9E6-40C8-B781-34530D13EB93}"/>
    <cellStyle name="20% - Akzent4 13 11 3" xfId="22118" xr:uid="{EA2C22F0-2782-4D10-BC56-AF16FD7DDE91}"/>
    <cellStyle name="20% - Akzent4 13 12" xfId="2592" xr:uid="{7F5C8CFC-909B-4F48-9033-3DBD589D9F50}"/>
    <cellStyle name="20% - Akzent4 13 12 2" xfId="2593" xr:uid="{D6C97D3D-C9AC-4A1B-9F7A-2D8A75016F60}"/>
    <cellStyle name="20% - Akzent4 13 12 2 2" xfId="22121" xr:uid="{C6C93473-4E50-483D-85E9-AF9003FAF517}"/>
    <cellStyle name="20% - Akzent4 13 12 3" xfId="22120" xr:uid="{BE9EE014-065F-40C7-9354-86524724D526}"/>
    <cellStyle name="20% - Akzent4 13 13" xfId="2594" xr:uid="{CB6F18DD-FD1B-456F-A4D5-1B21A0316D08}"/>
    <cellStyle name="20% - Akzent4 13 13 2" xfId="2595" xr:uid="{88C3032F-5E08-485B-B0C8-A647D095DBB7}"/>
    <cellStyle name="20% - Akzent4 13 13 2 2" xfId="22123" xr:uid="{E6523426-76E7-4641-B59D-6BFCB449AAA0}"/>
    <cellStyle name="20% - Akzent4 13 13 3" xfId="22122" xr:uid="{026E184F-8F7F-45E7-A7CE-58D1DBBA2C09}"/>
    <cellStyle name="20% - Akzent4 13 14" xfId="2596" xr:uid="{7F1ED9BB-D241-47B7-8D14-F8DBFB823989}"/>
    <cellStyle name="20% - Akzent4 13 15" xfId="22115" xr:uid="{FFA4E134-0E4D-489C-A201-A3A72297E6A8}"/>
    <cellStyle name="20% - Akzent4 13 2" xfId="2597" xr:uid="{EC265F61-BF15-4198-88C8-881DA74ED2D3}"/>
    <cellStyle name="20% - Akzent4 13 2 2" xfId="2598" xr:uid="{B9412FAC-9616-4C3A-984A-B8A817C214A9}"/>
    <cellStyle name="20% - Akzent4 13 2 2 2" xfId="22125" xr:uid="{E036922C-B72E-4A5F-8CD1-F71E4E3ABFA6}"/>
    <cellStyle name="20% - Akzent4 13 2 3" xfId="22124" xr:uid="{77588917-5E77-460B-848C-AD6FD76476AB}"/>
    <cellStyle name="20% - Akzent4 13 3" xfId="2599" xr:uid="{8DEF346E-D106-4ECF-92B6-159176A5974A}"/>
    <cellStyle name="20% - Akzent4 13 3 2" xfId="2600" xr:uid="{2EAA040B-64B7-4413-84B9-8470D480A290}"/>
    <cellStyle name="20% - Akzent4 13 3 2 2" xfId="22127" xr:uid="{F84807E2-642B-429D-9FDB-46A4B188F664}"/>
    <cellStyle name="20% - Akzent4 13 3 3" xfId="22126" xr:uid="{290EBAB1-1B73-40A2-989A-6106C940E7D3}"/>
    <cellStyle name="20% - Akzent4 13 4" xfId="2601" xr:uid="{259C5D86-950D-40FE-8730-596FF3C824C2}"/>
    <cellStyle name="20% - Akzent4 13 4 2" xfId="2602" xr:uid="{0963D316-40B8-4D8C-9A6C-87551B373007}"/>
    <cellStyle name="20% - Akzent4 13 4 2 2" xfId="22129" xr:uid="{FC00004D-27ED-4CE4-9145-8E717AEB89B8}"/>
    <cellStyle name="20% - Akzent4 13 4 3" xfId="22128" xr:uid="{62906C29-2540-41EB-987C-585BEE546242}"/>
    <cellStyle name="20% - Akzent4 13 5" xfId="2603" xr:uid="{5AAF1291-D4BA-4C1D-ABB0-9B472410DB79}"/>
    <cellStyle name="20% - Akzent4 13 5 2" xfId="2604" xr:uid="{73C51BF7-71C2-476A-B15C-7643F625CF13}"/>
    <cellStyle name="20% - Akzent4 13 5 2 2" xfId="22131" xr:uid="{62CDC1E8-B344-4150-87E4-B0ED7FA0BE80}"/>
    <cellStyle name="20% - Akzent4 13 5 3" xfId="22130" xr:uid="{6A8873DF-F507-41C3-986C-9B8E0F8926A7}"/>
    <cellStyle name="20% - Akzent4 13 6" xfId="2605" xr:uid="{AAD38D68-13E7-4A9E-8E49-6827AAC9DA8D}"/>
    <cellStyle name="20% - Akzent4 13 6 2" xfId="2606" xr:uid="{57434DE2-8457-4745-BBB0-CB061681C98D}"/>
    <cellStyle name="20% - Akzent4 13 6 2 2" xfId="22133" xr:uid="{0038CEBE-B83C-4A1F-8DDB-94DF6260BA44}"/>
    <cellStyle name="20% - Akzent4 13 6 3" xfId="22132" xr:uid="{F549FDA8-60A2-4536-80AF-AB1D5939BF2E}"/>
    <cellStyle name="20% - Akzent4 13 7" xfId="2607" xr:uid="{2EFDDBB5-06C5-43A4-A498-556839EF7498}"/>
    <cellStyle name="20% - Akzent4 13 7 2" xfId="2608" xr:uid="{09E99E86-E07E-4DA9-BD9B-2367E1D77586}"/>
    <cellStyle name="20% - Akzent4 13 7 2 2" xfId="22135" xr:uid="{1E4AF5FF-4F74-454E-ACE5-6B36C8BAB1B4}"/>
    <cellStyle name="20% - Akzent4 13 7 3" xfId="22134" xr:uid="{51CFD976-976F-41CE-B912-DDF06E3D1088}"/>
    <cellStyle name="20% - Akzent4 13 8" xfId="2609" xr:uid="{79ECE009-4EC7-49B8-92CB-7A7A14B3094F}"/>
    <cellStyle name="20% - Akzent4 13 8 2" xfId="2610" xr:uid="{71319944-581B-4931-8A6B-62D090400BEE}"/>
    <cellStyle name="20% - Akzent4 13 8 2 2" xfId="22137" xr:uid="{18C15C7A-FADA-492F-BBCB-3F4F1E66A4AA}"/>
    <cellStyle name="20% - Akzent4 13 8 3" xfId="22136" xr:uid="{F2D8189A-4DFA-4874-A674-9DD160C31B57}"/>
    <cellStyle name="20% - Akzent4 13 9" xfId="2611" xr:uid="{94C9516F-140D-4AA3-9549-60A284718538}"/>
    <cellStyle name="20% - Akzent4 13 9 2" xfId="2612" xr:uid="{89514CC5-FD47-4A5E-9805-B4BF6550EF47}"/>
    <cellStyle name="20% - Akzent4 13 9 2 2" xfId="22139" xr:uid="{8338D5EF-5A61-4E1E-AD3E-5369DF94E0A4}"/>
    <cellStyle name="20% - Akzent4 13 9 3" xfId="22138" xr:uid="{454BDB7E-F989-441D-B296-71E27D27DB2C}"/>
    <cellStyle name="20% - Akzent4 14" xfId="2613" xr:uid="{E7EB7817-B474-4B88-9451-5A090080D030}"/>
    <cellStyle name="20% - Akzent4 14 2" xfId="2614" xr:uid="{94DE5D0C-545E-4B26-A466-B906E62257B0}"/>
    <cellStyle name="20% - Akzent4 14 2 2" xfId="22141" xr:uid="{B95CFB5A-A6A1-43B5-B77F-C529AFA50621}"/>
    <cellStyle name="20% - Akzent4 14 3" xfId="2615" xr:uid="{7A793FEC-1DE0-4763-8B07-846EE6E1A357}"/>
    <cellStyle name="20% - Akzent4 14 3 2" xfId="22142" xr:uid="{7274067B-6A5B-422C-86FC-D0F1B070F166}"/>
    <cellStyle name="20% - Akzent4 14 4" xfId="22140" xr:uid="{884AFE12-FBE2-45C6-8D14-B10F48405D53}"/>
    <cellStyle name="20% - Akzent4 15" xfId="2616" xr:uid="{527B5F78-4564-46F1-B28F-999EE1F3B0A4}"/>
    <cellStyle name="20% - Akzent4 15 2" xfId="2617" xr:uid="{529FF957-2F16-4A16-A9FC-1D243A1EAB6E}"/>
    <cellStyle name="20% - Akzent4 15 2 2" xfId="22144" xr:uid="{C278CFAA-A29F-4509-BA6F-361C66AB2EDD}"/>
    <cellStyle name="20% - Akzent4 15 3" xfId="2618" xr:uid="{732150F3-4C78-4A3B-9927-EFE0A10F4459}"/>
    <cellStyle name="20% - Akzent4 15 3 2" xfId="22145" xr:uid="{47DF5A30-FA29-491D-BF95-AE2D48647A3B}"/>
    <cellStyle name="20% - Akzent4 15 4" xfId="22143" xr:uid="{E409EE7F-2ADE-4C33-8478-6BA741344418}"/>
    <cellStyle name="20% - Akzent4 16" xfId="2619" xr:uid="{2E0AC478-C5DC-416D-AEFA-11E4A388DCB9}"/>
    <cellStyle name="20% - Akzent4 16 2" xfId="2620" xr:uid="{295DCF4A-EBBF-4FF4-A2CD-03FA09E0298D}"/>
    <cellStyle name="20% - Akzent4 16 2 2" xfId="22147" xr:uid="{91A768CA-E7BE-4A93-AE04-C84B5E9D3471}"/>
    <cellStyle name="20% - Akzent4 16 3" xfId="2621" xr:uid="{8594177A-26F2-4EDE-A92D-489AC226AA11}"/>
    <cellStyle name="20% - Akzent4 16 3 2" xfId="22148" xr:uid="{073DDE70-1E41-4BC7-B5FD-3F4E6B6EB315}"/>
    <cellStyle name="20% - Akzent4 16 4" xfId="22146" xr:uid="{362AC42A-55E9-4E5D-8E1B-69B4E6ED37FD}"/>
    <cellStyle name="20% - Akzent4 17" xfId="2622" xr:uid="{0D49E30E-59BD-48B5-8973-13B40C77AFB8}"/>
    <cellStyle name="20% - Akzent4 17 2" xfId="2623" xr:uid="{4CFA08B3-3B8F-45E7-9816-2DBB0BD2F0B7}"/>
    <cellStyle name="20% - Akzent4 17 2 2" xfId="22150" xr:uid="{B6B99FBF-6B86-4B00-A9C2-3FA4E9B9E0A1}"/>
    <cellStyle name="20% - Akzent4 17 3" xfId="2624" xr:uid="{76AB6B0F-28B3-4364-B1ED-D3D3B7D25000}"/>
    <cellStyle name="20% - Akzent4 17 3 2" xfId="22151" xr:uid="{006A54FF-6A5E-4666-954C-EFA42DAD5DF9}"/>
    <cellStyle name="20% - Akzent4 17 4" xfId="22149" xr:uid="{DD43FEF3-DA5E-4AB2-9245-8348C86F796E}"/>
    <cellStyle name="20% - Akzent4 18" xfId="2625" xr:uid="{9E3F5005-2ACB-4184-BBFA-FCACA02E9520}"/>
    <cellStyle name="20% - Akzent4 18 2" xfId="2626" xr:uid="{DB0B1ED2-9B58-4789-8EFB-495825A5A7B2}"/>
    <cellStyle name="20% - Akzent4 18 2 2" xfId="22153" xr:uid="{C6F096D5-4C56-4844-B7EA-3DA68C475464}"/>
    <cellStyle name="20% - Akzent4 18 3" xfId="2627" xr:uid="{5EC88D78-605A-4FF6-A550-5701275700E4}"/>
    <cellStyle name="20% - Akzent4 18 3 2" xfId="22154" xr:uid="{4787FDBD-42B3-446B-A394-FF103372D0AC}"/>
    <cellStyle name="20% - Akzent4 18 4" xfId="22152" xr:uid="{7DB012F8-DE40-4D21-BAED-CEC60E479134}"/>
    <cellStyle name="20% - Akzent4 19" xfId="2628" xr:uid="{D60F624B-B12A-4AE2-BA51-01D2820F90AD}"/>
    <cellStyle name="20% - Akzent4 19 2" xfId="2629" xr:uid="{E6578158-0F82-469F-8B42-1D6BCE8F5EAB}"/>
    <cellStyle name="20% - Akzent4 19 2 2" xfId="22156" xr:uid="{B996BA3B-A4CB-4F36-A6EF-75618102B4AD}"/>
    <cellStyle name="20% - Akzent4 19 3" xfId="2630" xr:uid="{21B6D89B-F112-405B-85AE-BD712E66F61E}"/>
    <cellStyle name="20% - Akzent4 19 3 2" xfId="22157" xr:uid="{686C8E50-2A5C-40C8-A7E7-6EDBB54C1FAF}"/>
    <cellStyle name="20% - Akzent4 19 4" xfId="22155" xr:uid="{0568C3A5-4F4F-4F0A-8505-A84E79D37890}"/>
    <cellStyle name="20% - Akzent4 2" xfId="103" xr:uid="{E39ACC5C-CB0B-4E0B-9F63-E1CA1ECF0B73}"/>
    <cellStyle name="20% - Akzent4 2 10" xfId="2632" xr:uid="{D0BF7081-C78A-4593-9BC5-57EB27F85BE7}"/>
    <cellStyle name="20% - Akzent4 2 10 2" xfId="2633" xr:uid="{B96E13DE-6E38-4E08-B57E-32D863D90AC2}"/>
    <cellStyle name="20% - Akzent4 2 10 2 2" xfId="22160" xr:uid="{07526748-9CBA-4136-AAAA-C7F7C5101D88}"/>
    <cellStyle name="20% - Akzent4 2 10 3" xfId="22159" xr:uid="{C2BFE154-E6CF-4E42-A9D5-F2305729FBBC}"/>
    <cellStyle name="20% - Akzent4 2 11" xfId="2634" xr:uid="{6EEE9A16-4909-4502-A765-15BEE8F6AD8C}"/>
    <cellStyle name="20% - Akzent4 2 11 2" xfId="2635" xr:uid="{74AAC45E-533F-43AA-B57C-E5052751CAA0}"/>
    <cellStyle name="20% - Akzent4 2 11 2 2" xfId="22162" xr:uid="{4BB70BA7-3E58-4AE9-8A3E-C1F32AB3A44A}"/>
    <cellStyle name="20% - Akzent4 2 11 3" xfId="22161" xr:uid="{EDB37500-61D6-4EFD-A50A-85E6C5E685AD}"/>
    <cellStyle name="20% - Akzent4 2 12" xfId="2636" xr:uid="{009DA963-8F2E-404D-9399-EB134288956A}"/>
    <cellStyle name="20% - Akzent4 2 12 2" xfId="2637" xr:uid="{EB126021-CC8A-4BA1-8A48-2E71774103EE}"/>
    <cellStyle name="20% - Akzent4 2 12 2 2" xfId="22164" xr:uid="{064ABCB1-488C-49F9-8508-A7D4F9C2F50D}"/>
    <cellStyle name="20% - Akzent4 2 12 3" xfId="22163" xr:uid="{D6A0ABFE-F61F-4673-8539-FF6AD39634FD}"/>
    <cellStyle name="20% - Akzent4 2 13" xfId="2638" xr:uid="{BD57B417-FCC1-4911-9647-0AD8B071EEED}"/>
    <cellStyle name="20% - Akzent4 2 13 2" xfId="2639" xr:uid="{0622F330-225D-41E1-9828-20C62548B94E}"/>
    <cellStyle name="20% - Akzent4 2 13 2 2" xfId="22166" xr:uid="{9205EF5E-78D1-40FD-917A-306C9D07826F}"/>
    <cellStyle name="20% - Akzent4 2 13 3" xfId="22165" xr:uid="{5E36D4C7-8E1B-4D61-85F0-485B054D35BB}"/>
    <cellStyle name="20% - Akzent4 2 14" xfId="2640" xr:uid="{F6E1891E-89C3-403B-95B6-72103AEB9167}"/>
    <cellStyle name="20% - Akzent4 2 14 2" xfId="2641" xr:uid="{02A19A35-1E46-4834-B142-8E1857A1BC68}"/>
    <cellStyle name="20% - Akzent4 2 14 2 2" xfId="22168" xr:uid="{F7E7796C-606E-48FA-A4A2-545D957FDC0E}"/>
    <cellStyle name="20% - Akzent4 2 14 3" xfId="22167" xr:uid="{EAA5D667-6548-4D6C-B1B8-1C6A920E39F4}"/>
    <cellStyle name="20% - Akzent4 2 15" xfId="2642" xr:uid="{04B0DE37-23D3-4A13-8CAE-FB72A161A546}"/>
    <cellStyle name="20% - Akzent4 2 15 2" xfId="2643" xr:uid="{3A13CB74-B26D-4642-BC7F-C192C805BB93}"/>
    <cellStyle name="20% - Akzent4 2 15 2 2" xfId="22170" xr:uid="{DA7AE4AF-5475-4B94-9784-457C72726680}"/>
    <cellStyle name="20% - Akzent4 2 15 3" xfId="22169" xr:uid="{17EFD226-CA07-4A8F-86B7-CEC384F10EA2}"/>
    <cellStyle name="20% - Akzent4 2 16" xfId="2644" xr:uid="{354BAED0-7522-4F92-B624-C5E353777B83}"/>
    <cellStyle name="20% - Akzent4 2 16 2" xfId="2645" xr:uid="{592302FC-6E7E-497F-A41D-D5230A46F5D2}"/>
    <cellStyle name="20% - Akzent4 2 16 2 2" xfId="22172" xr:uid="{5A4A7148-DBA6-4AC9-B642-695E07FE6D1E}"/>
    <cellStyle name="20% - Akzent4 2 16 3" xfId="22171" xr:uid="{CC07C217-5687-4B53-89B2-6689D7E5132C}"/>
    <cellStyle name="20% - Akzent4 2 17" xfId="2646" xr:uid="{4E43BC0B-6E6E-450B-83DE-E726E63F6B46}"/>
    <cellStyle name="20% - Akzent4 2 17 2" xfId="2647" xr:uid="{641B9899-EB18-4B64-8FE9-F20262099308}"/>
    <cellStyle name="20% - Akzent4 2 17 2 2" xfId="22174" xr:uid="{7CA078CC-EAD0-4938-82C9-FF9E0EF17864}"/>
    <cellStyle name="20% - Akzent4 2 17 3" xfId="22173" xr:uid="{DA16D8E8-4E95-4268-8800-42C976A190AA}"/>
    <cellStyle name="20% - Akzent4 2 18" xfId="2648" xr:uid="{73CED385-DE00-4563-9474-19C832AF5330}"/>
    <cellStyle name="20% - Akzent4 2 18 2" xfId="2649" xr:uid="{72DF6825-BEF3-4C86-B531-B6561CE00064}"/>
    <cellStyle name="20% - Akzent4 2 18 2 2" xfId="22176" xr:uid="{B17D5750-E553-44BC-A78B-26CA5DDFB961}"/>
    <cellStyle name="20% - Akzent4 2 18 3" xfId="22175" xr:uid="{A4F5460E-865E-4993-8167-8897EC5D3776}"/>
    <cellStyle name="20% - Akzent4 2 19" xfId="2650" xr:uid="{D6F79A2E-4936-4C48-949D-CA038C32BC5D}"/>
    <cellStyle name="20% - Akzent4 2 19 2" xfId="2651" xr:uid="{BC0C1502-047D-4362-A8D5-01C1FA753256}"/>
    <cellStyle name="20% - Akzent4 2 19 2 2" xfId="22178" xr:uid="{3DFC7E81-59DE-41D0-8809-C3F04CC5A4B4}"/>
    <cellStyle name="20% - Akzent4 2 19 3" xfId="22177" xr:uid="{1DA222CB-6D68-4A36-A0CB-6995D0CC9166}"/>
    <cellStyle name="20% - Akzent4 2 2" xfId="2652" xr:uid="{1E514BC5-F19E-4C16-813D-128DD02C2767}"/>
    <cellStyle name="20% - Akzent4 2 2 10" xfId="2653" xr:uid="{84A92355-630B-42E3-9C15-063EA81E05F4}"/>
    <cellStyle name="20% - Akzent4 2 2 11" xfId="2654" xr:uid="{B23826C7-11DD-4C28-A01A-6B110EA83E4B}"/>
    <cellStyle name="20% - Akzent4 2 2 12" xfId="2655" xr:uid="{43223549-82CD-454C-92C3-4380CC204E09}"/>
    <cellStyle name="20% - Akzent4 2 2 13" xfId="2656" xr:uid="{378C8C38-5B04-4145-B05D-93783D98C746}"/>
    <cellStyle name="20% - Akzent4 2 2 13 2" xfId="2657" xr:uid="{517FCD9B-F152-458A-9BBB-F2237546AF1B}"/>
    <cellStyle name="20% - Akzent4 2 2 13 2 2" xfId="22181" xr:uid="{51E238C2-EF0B-4486-8CE9-4EF900CA092A}"/>
    <cellStyle name="20% - Akzent4 2 2 13 3" xfId="22180" xr:uid="{C56E3A66-4038-4BEB-8E66-76B4D9AC7B32}"/>
    <cellStyle name="20% - Akzent4 2 2 14" xfId="2658" xr:uid="{8D18CA79-525E-4E80-880E-CA1B38BD2AE7}"/>
    <cellStyle name="20% - Akzent4 2 2 14 2" xfId="2659" xr:uid="{A76EDC76-3C4C-4CE7-99EB-729C07663317}"/>
    <cellStyle name="20% - Akzent4 2 2 14 2 2" xfId="22183" xr:uid="{EFA1C0EE-D2DC-4797-A43E-FCD4C1BC6456}"/>
    <cellStyle name="20% - Akzent4 2 2 14 3" xfId="22182" xr:uid="{8389A4B6-0BA4-4717-8D49-91B252A93F42}"/>
    <cellStyle name="20% - Akzent4 2 2 15" xfId="2660" xr:uid="{BC6151B3-3667-4141-83BB-A114745CCA97}"/>
    <cellStyle name="20% - Akzent4 2 2 15 2" xfId="2661" xr:uid="{0449A062-980F-456C-B305-01EA0CF89495}"/>
    <cellStyle name="20% - Akzent4 2 2 15 2 2" xfId="22185" xr:uid="{53F09D53-C875-4777-A5F1-5399740204B7}"/>
    <cellStyle name="20% - Akzent4 2 2 15 3" xfId="22184" xr:uid="{054A4B1B-A300-49D3-875B-0DB84FB4233B}"/>
    <cellStyle name="20% - Akzent4 2 2 16" xfId="2662" xr:uid="{D9718E64-E01D-4CDF-9E9E-493497FB7D87}"/>
    <cellStyle name="20% - Akzent4 2 2 16 2" xfId="2663" xr:uid="{EF1ED1BA-1229-4422-9B0D-5F20E1160708}"/>
    <cellStyle name="20% - Akzent4 2 2 16 2 2" xfId="22187" xr:uid="{2A23FA41-4510-46FB-9287-8900EACFE7F2}"/>
    <cellStyle name="20% - Akzent4 2 2 16 3" xfId="22186" xr:uid="{9F4CFB43-8DCC-48AE-BBA4-A0BED200886C}"/>
    <cellStyle name="20% - Akzent4 2 2 17" xfId="2664" xr:uid="{A0E93C25-6191-479A-ACCC-6FBD34E4FA7D}"/>
    <cellStyle name="20% - Akzent4 2 2 17 2" xfId="2665" xr:uid="{42A90D55-BBB6-45FF-840D-4983E89710B9}"/>
    <cellStyle name="20% - Akzent4 2 2 17 2 2" xfId="22189" xr:uid="{205EF233-17DB-45D3-8703-83E1C32AC19F}"/>
    <cellStyle name="20% - Akzent4 2 2 17 3" xfId="22188" xr:uid="{81CAC6E0-E468-4651-BCDE-AACFBEF59AFE}"/>
    <cellStyle name="20% - Akzent4 2 2 18" xfId="2666" xr:uid="{4B54DD1A-74E3-4079-AFE3-998F82C07108}"/>
    <cellStyle name="20% - Akzent4 2 2 18 2" xfId="2667" xr:uid="{F0A0C3AC-DD50-433B-96A8-165A76320064}"/>
    <cellStyle name="20% - Akzent4 2 2 18 2 2" xfId="22191" xr:uid="{93E1A66E-B3E6-4353-9009-C65C1428A46D}"/>
    <cellStyle name="20% - Akzent4 2 2 18 3" xfId="22190" xr:uid="{4D8A8E19-FEC0-45B6-B0A4-978B9BF2369A}"/>
    <cellStyle name="20% - Akzent4 2 2 19" xfId="2668" xr:uid="{99F48800-5B05-40D0-92EC-5B7DBF68ED3F}"/>
    <cellStyle name="20% - Akzent4 2 2 19 2" xfId="2669" xr:uid="{9716BCDC-7D8F-4F36-96E0-DEC5FBA8DDF0}"/>
    <cellStyle name="20% - Akzent4 2 2 19 2 2" xfId="22193" xr:uid="{205416C9-C70E-4C9E-B07C-1B5665E28D2C}"/>
    <cellStyle name="20% - Akzent4 2 2 19 3" xfId="22192" xr:uid="{98354E06-9A4C-4F50-BF4E-2EBD6CD0D0DE}"/>
    <cellStyle name="20% - Akzent4 2 2 2" xfId="2670" xr:uid="{283A41B8-B203-4403-A841-CC46F98AD113}"/>
    <cellStyle name="20% - Akzent4 2 2 2 10" xfId="2671" xr:uid="{7EFBE241-B8F9-414C-8D4A-599A489F84EF}"/>
    <cellStyle name="20% - Akzent4 2 2 2 10 2" xfId="2672" xr:uid="{BFAE0965-9659-4A9D-A639-B79535CC5AFB}"/>
    <cellStyle name="20% - Akzent4 2 2 2 10 2 2" xfId="22196" xr:uid="{958898C6-D1D9-44CD-951A-D29C125637B8}"/>
    <cellStyle name="20% - Akzent4 2 2 2 10 3" xfId="22195" xr:uid="{C2A3948A-9F79-4F61-A1C4-5D6D268BDBA8}"/>
    <cellStyle name="20% - Akzent4 2 2 2 11" xfId="2673" xr:uid="{6C081945-523C-4FD9-B73B-C8B6CF4739B4}"/>
    <cellStyle name="20% - Akzent4 2 2 2 11 2" xfId="22197" xr:uid="{191A835D-2C11-41E6-90B8-4D92E8E78B79}"/>
    <cellStyle name="20% - Akzent4 2 2 2 12" xfId="22194" xr:uid="{570919DA-28E5-41AA-9B2D-6F79DEF04BC3}"/>
    <cellStyle name="20% - Akzent4 2 2 2 13" xfId="39919" xr:uid="{68E062B7-93F2-4440-BBA3-BC8DB005794D}"/>
    <cellStyle name="20% - Akzent4 2 2 2 2" xfId="2674" xr:uid="{728184CE-E458-4FB7-A56B-1D11F978EB93}"/>
    <cellStyle name="20% - Akzent4 2 2 2 2 2" xfId="2675" xr:uid="{43BE128E-A410-41AE-8E08-41D89433C641}"/>
    <cellStyle name="20% - Akzent4 2 2 2 2 2 10" xfId="22198" xr:uid="{92404468-3C38-4E8C-862F-44824FBA2076}"/>
    <cellStyle name="20% - Akzent4 2 2 2 2 2 2" xfId="2676" xr:uid="{937AE58E-E78E-4899-A1C4-F88111515312}"/>
    <cellStyle name="20% - Akzent4 2 2 2 2 2 2 2" xfId="2677" xr:uid="{5AC9EA71-7D80-4745-9E7E-B1C9635898C8}"/>
    <cellStyle name="20% - Akzent4 2 2 2 2 2 2 2 2" xfId="2678" xr:uid="{57614418-A340-4488-BD2A-D5C21171CE0C}"/>
    <cellStyle name="20% - Akzent4 2 2 2 2 2 2 2 2 2" xfId="22200" xr:uid="{C95E088F-232B-4D32-B6DD-0E71AF691A2D}"/>
    <cellStyle name="20% - Akzent4 2 2 2 2 2 2 2 3" xfId="22199" xr:uid="{2DF24A85-F43A-4C2D-A887-E674776B4E66}"/>
    <cellStyle name="20% - Akzent4 2 2 2 2 2 3" xfId="2679" xr:uid="{FC8ABAB1-334A-4121-8D39-EE1FE1A6D81E}"/>
    <cellStyle name="20% - Akzent4 2 2 2 2 2 3 2" xfId="2680" xr:uid="{F53ABC79-6D6F-4BF9-AE03-EE36E99D750C}"/>
    <cellStyle name="20% - Akzent4 2 2 2 2 2 3 2 2" xfId="22202" xr:uid="{90FBBE25-5563-4DC7-B1AB-481EA66A7EA4}"/>
    <cellStyle name="20% - Akzent4 2 2 2 2 2 3 3" xfId="22201" xr:uid="{F13C3E30-997A-4B04-9351-2F04CF74BCCF}"/>
    <cellStyle name="20% - Akzent4 2 2 2 2 2 4" xfId="2681" xr:uid="{3C013C8C-D4FA-4BB0-99F9-2138BC9FB8A4}"/>
    <cellStyle name="20% - Akzent4 2 2 2 2 2 4 2" xfId="2682" xr:uid="{471ACD35-2467-4F74-8214-1ECEB6B7ECB2}"/>
    <cellStyle name="20% - Akzent4 2 2 2 2 2 4 2 2" xfId="22204" xr:uid="{435D6034-2B2D-4342-91C7-860996480707}"/>
    <cellStyle name="20% - Akzent4 2 2 2 2 2 4 3" xfId="22203" xr:uid="{D0056823-91FE-4B95-8715-54AC2BFAE43A}"/>
    <cellStyle name="20% - Akzent4 2 2 2 2 2 5" xfId="2683" xr:uid="{55D42327-F114-4239-8F1E-F24E0099CF81}"/>
    <cellStyle name="20% - Akzent4 2 2 2 2 2 5 2" xfId="2684" xr:uid="{41C39472-CCDD-4B77-8028-F298FF9C3496}"/>
    <cellStyle name="20% - Akzent4 2 2 2 2 2 5 2 2" xfId="22206" xr:uid="{184CCA1E-9499-4F6D-A902-120AAE0DBFC7}"/>
    <cellStyle name="20% - Akzent4 2 2 2 2 2 5 3" xfId="22205" xr:uid="{E633C433-AE62-4A7C-8F57-0F25994096E4}"/>
    <cellStyle name="20% - Akzent4 2 2 2 2 2 6" xfId="2685" xr:uid="{CFE3528E-BFFE-47CD-9EE8-5293FD4512C7}"/>
    <cellStyle name="20% - Akzent4 2 2 2 2 2 6 2" xfId="2686" xr:uid="{71D8F336-C5C4-4B75-84C8-547574ED6081}"/>
    <cellStyle name="20% - Akzent4 2 2 2 2 2 6 2 2" xfId="22208" xr:uid="{93B25728-CADD-4AE1-9FBA-27853B85CE7B}"/>
    <cellStyle name="20% - Akzent4 2 2 2 2 2 6 3" xfId="22207" xr:uid="{A6C3FFFE-A509-4DD4-BFFE-B58EA2DEE055}"/>
    <cellStyle name="20% - Akzent4 2 2 2 2 2 7" xfId="2687" xr:uid="{CDEF2A6E-B796-4234-AAA3-02700CA4D500}"/>
    <cellStyle name="20% - Akzent4 2 2 2 2 2 7 2" xfId="2688" xr:uid="{7356EC3C-2F67-46D6-A507-923EAE7BBCF5}"/>
    <cellStyle name="20% - Akzent4 2 2 2 2 2 7 2 2" xfId="22210" xr:uid="{17C84BE6-C41D-41BD-BADC-DD59682E1C7E}"/>
    <cellStyle name="20% - Akzent4 2 2 2 2 2 7 3" xfId="22209" xr:uid="{BAC2F270-CD6E-4EE1-A24E-7D571528D867}"/>
    <cellStyle name="20% - Akzent4 2 2 2 2 2 8" xfId="2689" xr:uid="{EAA779C8-C7C7-4C8E-8AFA-EEB1F481B0C3}"/>
    <cellStyle name="20% - Akzent4 2 2 2 2 2 8 2" xfId="2690" xr:uid="{5BD77E85-CB96-4EED-AB32-A9DBD46948AA}"/>
    <cellStyle name="20% - Akzent4 2 2 2 2 2 8 2 2" xfId="22212" xr:uid="{70C66C7C-009C-444F-A39B-935C7994ECAA}"/>
    <cellStyle name="20% - Akzent4 2 2 2 2 2 8 3" xfId="22211" xr:uid="{8E502467-3791-4D77-BF82-C6E459C61F25}"/>
    <cellStyle name="20% - Akzent4 2 2 2 2 2 9" xfId="2691" xr:uid="{57BCF383-3AEA-4AB5-8561-75509F0CBD52}"/>
    <cellStyle name="20% - Akzent4 2 2 2 2 2 9 2" xfId="22213" xr:uid="{F9FC0209-8185-4BC4-A308-2BAF44E7ABEF}"/>
    <cellStyle name="20% - Akzent4 2 2 2 2 3" xfId="2692" xr:uid="{F8B4352F-6E04-4FA1-A3C7-B1E81929B786}"/>
    <cellStyle name="20% - Akzent4 2 2 2 2 3 2" xfId="2693" xr:uid="{5F93CF0A-8703-4F9F-BBEE-D9E776859089}"/>
    <cellStyle name="20% - Akzent4 2 2 2 2 3 3" xfId="2694" xr:uid="{C3E55AC7-58A6-4462-8589-BB9D31360825}"/>
    <cellStyle name="20% - Akzent4 2 2 2 2 3 3 2" xfId="22215" xr:uid="{BF30ED54-16CC-47C9-AF71-163299D2DF14}"/>
    <cellStyle name="20% - Akzent4 2 2 2 2 3 4" xfId="22214" xr:uid="{02EFBC38-6440-4F18-9342-C8EDC80B0C65}"/>
    <cellStyle name="20% - Akzent4 2 2 2 2 4" xfId="2695" xr:uid="{DD7300AC-A719-4542-8A05-FD2B2D801AC2}"/>
    <cellStyle name="20% - Akzent4 2 2 2 2 5" xfId="2696" xr:uid="{081DA2DE-44B7-491A-B382-CBBDB1796F55}"/>
    <cellStyle name="20% - Akzent4 2 2 2 2 6" xfId="2697" xr:uid="{E6B6D5FD-6F7C-401C-BF23-229039670F70}"/>
    <cellStyle name="20% - Akzent4 2 2 2 2 7" xfId="2698" xr:uid="{8290CE36-4706-4290-AAC8-77E00663D996}"/>
    <cellStyle name="20% - Akzent4 2 2 2 2 8" xfId="2699" xr:uid="{DC9695AA-FE80-49D0-A2C1-48C03135B2AA}"/>
    <cellStyle name="20% - Akzent4 2 2 2 2 9" xfId="40865" xr:uid="{4A5E4E9E-111A-4607-8E0F-750CA426EFF8}"/>
    <cellStyle name="20% - Akzent4 2 2 2 3" xfId="2700" xr:uid="{7BA55EBB-E2D3-4E1D-847C-0DAE74551D67}"/>
    <cellStyle name="20% - Akzent4 2 2 2 3 2" xfId="2701" xr:uid="{7013DC87-177D-4D1A-81B1-8477C203BFE1}"/>
    <cellStyle name="20% - Akzent4 2 2 2 3 2 2" xfId="22217" xr:uid="{104BBAD8-AFF8-465D-B4A8-511CFF963ED6}"/>
    <cellStyle name="20% - Akzent4 2 2 2 3 3" xfId="22216" xr:uid="{EFE124AD-7898-4AFB-9757-E246783CAFCB}"/>
    <cellStyle name="20% - Akzent4 2 2 2 3 4" xfId="41725" xr:uid="{916CA694-F023-4F60-A6A6-CA94FB63734D}"/>
    <cellStyle name="20% - Akzent4 2 2 2 4" xfId="2702" xr:uid="{0524FF66-6DCF-496A-8183-C5B0DC908DA0}"/>
    <cellStyle name="20% - Akzent4 2 2 2 4 2" xfId="2703" xr:uid="{4D671A72-F640-4AF7-BE6E-C4789E388A02}"/>
    <cellStyle name="20% - Akzent4 2 2 2 4 2 2" xfId="22219" xr:uid="{02D983BE-9419-4AEA-91BD-84D93C21C4DD}"/>
    <cellStyle name="20% - Akzent4 2 2 2 4 3" xfId="22218" xr:uid="{1C26C435-B5B8-47FC-B85E-F0A6F9F10FD2}"/>
    <cellStyle name="20% - Akzent4 2 2 2 5" xfId="2704" xr:uid="{A2B364A7-67E6-44FC-8AA1-6B5E63400A68}"/>
    <cellStyle name="20% - Akzent4 2 2 2 5 2" xfId="2705" xr:uid="{22BC3CB8-C24C-4FC0-8CDF-2D13DCCD3430}"/>
    <cellStyle name="20% - Akzent4 2 2 2 5 2 2" xfId="2706" xr:uid="{3C0DF799-D5B8-4672-BE63-3EABD7FCB85C}"/>
    <cellStyle name="20% - Akzent4 2 2 2 5 2 2 2" xfId="22221" xr:uid="{CB480168-6DDD-4261-B3B0-EA4AA4D39A96}"/>
    <cellStyle name="20% - Akzent4 2 2 2 5 2 3" xfId="22220" xr:uid="{0FC4A8BA-8CEF-4DF7-96F5-4A0C0AEDA3A6}"/>
    <cellStyle name="20% - Akzent4 2 2 2 6" xfId="2707" xr:uid="{7A4642FF-662D-40B5-9275-F5739DFF19A2}"/>
    <cellStyle name="20% - Akzent4 2 2 2 6 2" xfId="2708" xr:uid="{1FD95121-DB54-45E0-AD4F-EBC5600FCC02}"/>
    <cellStyle name="20% - Akzent4 2 2 2 6 2 2" xfId="22223" xr:uid="{EB39B027-779F-4F55-B321-B23F9B3F5BE3}"/>
    <cellStyle name="20% - Akzent4 2 2 2 6 3" xfId="22222" xr:uid="{8B580771-9BEB-4A5B-B2B3-B7B8AC96C709}"/>
    <cellStyle name="20% - Akzent4 2 2 2 7" xfId="2709" xr:uid="{0CA26371-863B-40DB-A934-A677E4EB6A68}"/>
    <cellStyle name="20% - Akzent4 2 2 2 7 2" xfId="2710" xr:uid="{5F6CF4DA-273C-4918-9A03-F169B50D6327}"/>
    <cellStyle name="20% - Akzent4 2 2 2 7 2 2" xfId="22225" xr:uid="{949447DA-1B40-40BD-BD00-D2D3D2AFF6D8}"/>
    <cellStyle name="20% - Akzent4 2 2 2 7 3" xfId="22224" xr:uid="{99656213-F0A7-4F18-978B-18A29E51F4F6}"/>
    <cellStyle name="20% - Akzent4 2 2 2 8" xfId="2711" xr:uid="{2484AB6C-2E9A-48D2-B198-850A4CFA5193}"/>
    <cellStyle name="20% - Akzent4 2 2 2 8 2" xfId="2712" xr:uid="{F80127BA-5E75-43E7-B258-B877D2605A58}"/>
    <cellStyle name="20% - Akzent4 2 2 2 8 2 2" xfId="22227" xr:uid="{DA6B7213-C443-4230-8278-94C0059BBB0F}"/>
    <cellStyle name="20% - Akzent4 2 2 2 8 3" xfId="22226" xr:uid="{4FDC368C-FC75-4A73-9A46-3EF958DFFEBF}"/>
    <cellStyle name="20% - Akzent4 2 2 2 9" xfId="2713" xr:uid="{B6568A11-1377-46F7-B5FF-37787D6D71D3}"/>
    <cellStyle name="20% - Akzent4 2 2 2 9 2" xfId="2714" xr:uid="{5F49C368-7AD5-4CD9-8DD5-E22A7FF6A899}"/>
    <cellStyle name="20% - Akzent4 2 2 2 9 2 2" xfId="22229" xr:uid="{B8A57D7C-4C92-47CE-ADDD-286ECA804032}"/>
    <cellStyle name="20% - Akzent4 2 2 2 9 3" xfId="22228" xr:uid="{31284233-FB80-4E29-9AC8-57B353FCCA66}"/>
    <cellStyle name="20% - Akzent4 2 2 20" xfId="2715" xr:uid="{C07EFAA0-FD8B-48C8-AF8F-5A38478F8953}"/>
    <cellStyle name="20% - Akzent4 2 2 20 2" xfId="2716" xr:uid="{23D1525E-CAAA-4B17-A555-C4B0736F4FC0}"/>
    <cellStyle name="20% - Akzent4 2 2 20 2 2" xfId="22231" xr:uid="{D81A734D-FA45-42D9-89DE-79E4A979B896}"/>
    <cellStyle name="20% - Akzent4 2 2 20 3" xfId="22230" xr:uid="{DD045FC6-CDFF-457F-8749-2F1BD18A3E0D}"/>
    <cellStyle name="20% - Akzent4 2 2 21" xfId="2717" xr:uid="{47A5C111-C416-4481-B7F2-77D16CD01314}"/>
    <cellStyle name="20% - Akzent4 2 2 21 2" xfId="2718" xr:uid="{581CE5A5-A761-40F3-BE88-8C7207BD5FA4}"/>
    <cellStyle name="20% - Akzent4 2 2 21 2 2" xfId="22233" xr:uid="{C088FCED-942A-418E-93D7-E208AF6AF790}"/>
    <cellStyle name="20% - Akzent4 2 2 21 3" xfId="22232" xr:uid="{37E1784D-9B41-4BC4-854B-E3B676ACA5FD}"/>
    <cellStyle name="20% - Akzent4 2 2 22" xfId="2719" xr:uid="{1AA6471C-36A9-4CF1-BE1A-6BEC85F7382F}"/>
    <cellStyle name="20% - Akzent4 2 2 22 2" xfId="22234" xr:uid="{35C56962-8914-475A-BE86-B68BFEA41643}"/>
    <cellStyle name="20% - Akzent4 2 2 23" xfId="22179" xr:uid="{3BF90D42-700E-4D9B-808E-FAC56FB21321}"/>
    <cellStyle name="20% - Akzent4 2 2 24" xfId="39289" xr:uid="{B45E71B3-666F-4653-ADCE-2987A811AC45}"/>
    <cellStyle name="20% - Akzent4 2 2 3" xfId="2720" xr:uid="{B5ADC314-6F91-447C-A66D-E10B10C795A1}"/>
    <cellStyle name="20% - Akzent4 2 2 3 2" xfId="2721" xr:uid="{4C2CD6A2-7C2D-44D2-B616-D8783928A88D}"/>
    <cellStyle name="20% - Akzent4 2 2 3 2 2" xfId="22236" xr:uid="{1DE1A489-B84C-485E-BCA0-E955D540904A}"/>
    <cellStyle name="20% - Akzent4 2 2 3 3" xfId="22235" xr:uid="{CA1DF8CA-7077-4180-8BC6-0826CCF1D7D7}"/>
    <cellStyle name="20% - Akzent4 2 2 3 4" xfId="40443" xr:uid="{F5CC7A01-36DB-4460-8016-249C7023F938}"/>
    <cellStyle name="20% - Akzent4 2 2 4" xfId="2722" xr:uid="{5E64FFB0-B2C8-4C11-B2FD-AEB0E3CAC43F}"/>
    <cellStyle name="20% - Akzent4 2 2 4 2" xfId="2723" xr:uid="{E4A79394-B0D7-4748-BE4E-7F1E6E8CA76B}"/>
    <cellStyle name="20% - Akzent4 2 2 4 2 2" xfId="22238" xr:uid="{AC27AFC7-BE13-4D80-A6CB-46E3DADF9137}"/>
    <cellStyle name="20% - Akzent4 2 2 4 3" xfId="22237" xr:uid="{1C578AC1-5CA6-4FBF-984D-4F43D07AA798}"/>
    <cellStyle name="20% - Akzent4 2 2 4 4" xfId="41303" xr:uid="{A6E0D052-8483-42A2-9663-5879CF426679}"/>
    <cellStyle name="20% - Akzent4 2 2 5" xfId="2724" xr:uid="{E637A20E-05E0-4387-814B-16D3F4245CA6}"/>
    <cellStyle name="20% - Akzent4 2 2 5 2" xfId="2725" xr:uid="{B59B01A1-D51E-4C27-AA27-3D23941880E1}"/>
    <cellStyle name="20% - Akzent4 2 2 5 3" xfId="2726" xr:uid="{51E2E646-AE33-46CF-B661-D20EA4B0C159}"/>
    <cellStyle name="20% - Akzent4 2 2 5 3 2" xfId="22240" xr:uid="{8BAB1DAA-02A7-43E4-9B2F-8456CAB2B759}"/>
    <cellStyle name="20% - Akzent4 2 2 5 4" xfId="22239" xr:uid="{910DC377-50E8-436C-99E4-7C19F3D67E47}"/>
    <cellStyle name="20% - Akzent4 2 2 6" xfId="2727" xr:uid="{B41919E4-B98B-465B-B911-BD32D2E6F2EF}"/>
    <cellStyle name="20% - Akzent4 2 2 7" xfId="2728" xr:uid="{CCBA0B78-B2D8-4426-9F3E-AD63482341F0}"/>
    <cellStyle name="20% - Akzent4 2 2 7 2" xfId="2729" xr:uid="{77CE74F9-1179-439D-A9E7-0A7E4129514E}"/>
    <cellStyle name="20% - Akzent4 2 2 7 3" xfId="2730" xr:uid="{14141721-831B-405B-88CE-7D345206005F}"/>
    <cellStyle name="20% - Akzent4 2 2 7 3 2" xfId="22242" xr:uid="{5C3966EF-F79E-41B4-B749-821A8639B922}"/>
    <cellStyle name="20% - Akzent4 2 2 7 4" xfId="22241" xr:uid="{7FF920AA-11B7-4DF2-BFEC-1EA8C950BB47}"/>
    <cellStyle name="20% - Akzent4 2 2 8" xfId="2731" xr:uid="{21F9E606-E9B9-452B-ADE1-4834B389333C}"/>
    <cellStyle name="20% - Akzent4 2 2 9" xfId="2732" xr:uid="{99C3ADF6-B2E2-47D6-93E4-C988AB81EAED}"/>
    <cellStyle name="20% - Akzent4 2 20" xfId="2733" xr:uid="{102D0292-2402-4467-A50A-455587A5D713}"/>
    <cellStyle name="20% - Akzent4 2 20 2" xfId="2734" xr:uid="{9B2F81FB-6798-4C50-9840-2C246BDDE6D5}"/>
    <cellStyle name="20% - Akzent4 2 20 2 2" xfId="22244" xr:uid="{7BE36358-4616-4D6D-AD41-1996638CC14C}"/>
    <cellStyle name="20% - Akzent4 2 20 3" xfId="22243" xr:uid="{61AE0B70-3BC7-4E86-8AD7-866F42B7E16A}"/>
    <cellStyle name="20% - Akzent4 2 21" xfId="2735" xr:uid="{E27290F6-4DF3-4B18-B96B-26A690E67E1A}"/>
    <cellStyle name="20% - Akzent4 2 21 2" xfId="2736" xr:uid="{5F44BFB4-EA45-4B01-A693-9B766343C51C}"/>
    <cellStyle name="20% - Akzent4 2 21 2 2" xfId="22246" xr:uid="{15FFF6C2-972F-4E6C-80B1-B5E10FF16F6C}"/>
    <cellStyle name="20% - Akzent4 2 21 3" xfId="22245" xr:uid="{8C8E456F-1655-469B-8568-730C19AB4DD9}"/>
    <cellStyle name="20% - Akzent4 2 22" xfId="2737" xr:uid="{3BAEB353-9C8E-44B3-A3D9-19BB9902B9F3}"/>
    <cellStyle name="20% - Akzent4 2 22 2" xfId="2738" xr:uid="{18CB7ECD-3FF9-4A74-8BF8-E08048A9C918}"/>
    <cellStyle name="20% - Akzent4 2 22 2 2" xfId="22248" xr:uid="{0E2F6C10-0C60-49F0-BEC1-DA455D5DA82F}"/>
    <cellStyle name="20% - Akzent4 2 22 3" xfId="22247" xr:uid="{0373DF6C-06E4-4843-BA15-8136524402DC}"/>
    <cellStyle name="20% - Akzent4 2 23" xfId="2739" xr:uid="{D9F32B67-DF2C-4B00-94E6-7A29D91D53CE}"/>
    <cellStyle name="20% - Akzent4 2 23 2" xfId="2740" xr:uid="{E6453EBC-82CC-412F-91FC-FBAA6CF85062}"/>
    <cellStyle name="20% - Akzent4 2 23 2 2" xfId="22250" xr:uid="{17A861D4-9DCA-40FA-87B2-15ABBF64A778}"/>
    <cellStyle name="20% - Akzent4 2 23 3" xfId="22249" xr:uid="{6CBFDEE5-F1B6-4FA4-A8C2-49F01B3E254A}"/>
    <cellStyle name="20% - Akzent4 2 24" xfId="2741" xr:uid="{DBF324D9-3FF1-4E73-8445-589A898F73B3}"/>
    <cellStyle name="20% - Akzent4 2 25" xfId="22158" xr:uid="{D0882D36-B4AE-40AA-B985-5FBDAD855FB8}"/>
    <cellStyle name="20% - Akzent4 2 26" xfId="39288" xr:uid="{07C3D804-0509-4770-BBBE-B31A8F2DFD02}"/>
    <cellStyle name="20% - Akzent4 2 27" xfId="2631" xr:uid="{15B8AE52-A285-4961-B34E-7AA78463E4A4}"/>
    <cellStyle name="20% - Akzent4 2 3" xfId="2742" xr:uid="{599EE343-3930-40C9-9F10-A925585F6EB0}"/>
    <cellStyle name="20% - Akzent4 2 3 10" xfId="2743" xr:uid="{250F4CD8-1A50-46CF-8056-C5E2A7E74EAD}"/>
    <cellStyle name="20% - Akzent4 2 3 10 2" xfId="2744" xr:uid="{80307C35-D1CA-4387-A053-7F1743E06ED8}"/>
    <cellStyle name="20% - Akzent4 2 3 10 2 2" xfId="22253" xr:uid="{48589E3A-470D-4DC1-9E1F-EDC36FBB7D59}"/>
    <cellStyle name="20% - Akzent4 2 3 10 3" xfId="22252" xr:uid="{D8C4BA3B-C413-438B-AE3B-83CB5B75B359}"/>
    <cellStyle name="20% - Akzent4 2 3 11" xfId="2745" xr:uid="{21CC3847-B9D6-4392-9044-EEABC89CBB78}"/>
    <cellStyle name="20% - Akzent4 2 3 11 2" xfId="2746" xr:uid="{9B945937-2B2D-40D9-9D32-E1CD6A331697}"/>
    <cellStyle name="20% - Akzent4 2 3 11 2 2" xfId="22255" xr:uid="{8170222F-2378-408E-9CAB-A7350E21CDA9}"/>
    <cellStyle name="20% - Akzent4 2 3 11 3" xfId="22254" xr:uid="{417E745C-5578-4162-B6F8-27C5DF57610F}"/>
    <cellStyle name="20% - Akzent4 2 3 12" xfId="2747" xr:uid="{B20B8352-0B19-4DC4-A8B6-FE18A216521D}"/>
    <cellStyle name="20% - Akzent4 2 3 12 2" xfId="2748" xr:uid="{32865798-31C5-4FBE-8F56-1601F2F0B73D}"/>
    <cellStyle name="20% - Akzent4 2 3 12 2 2" xfId="22257" xr:uid="{12595322-9E57-422D-B7EA-0F046192F89D}"/>
    <cellStyle name="20% - Akzent4 2 3 12 3" xfId="22256" xr:uid="{C8DE66B7-7204-4A72-96B0-A439130FC8D1}"/>
    <cellStyle name="20% - Akzent4 2 3 13" xfId="2749" xr:uid="{C74932FE-F7B7-45AF-B606-A43079E1EA30}"/>
    <cellStyle name="20% - Akzent4 2 3 13 2" xfId="2750" xr:uid="{DC057E35-84CE-4571-9539-D37F020BE7DB}"/>
    <cellStyle name="20% - Akzent4 2 3 13 2 2" xfId="22259" xr:uid="{78FDE0ED-A147-4F90-8B89-2A5FF54787F7}"/>
    <cellStyle name="20% - Akzent4 2 3 13 3" xfId="22258" xr:uid="{52C6164D-5D6C-41B4-9B25-191F70E4DB02}"/>
    <cellStyle name="20% - Akzent4 2 3 14" xfId="2751" xr:uid="{F5795759-9219-43E5-A58F-C3837B78B336}"/>
    <cellStyle name="20% - Akzent4 2 3 14 2" xfId="2752" xr:uid="{60021DAB-B424-41C5-B49C-22C02960759C}"/>
    <cellStyle name="20% - Akzent4 2 3 14 2 2" xfId="22261" xr:uid="{7C1E1DB1-4482-4056-9067-4B0B1743DBA5}"/>
    <cellStyle name="20% - Akzent4 2 3 14 3" xfId="22260" xr:uid="{13C67788-3E68-4861-B7D8-85EA3C3702E7}"/>
    <cellStyle name="20% - Akzent4 2 3 15" xfId="2753" xr:uid="{1C20D83C-BCF2-4AE5-9CE0-2D797C27D6B7}"/>
    <cellStyle name="20% - Akzent4 2 3 15 2" xfId="2754" xr:uid="{8DF42C8E-FECF-4C58-A4A5-00F583F78198}"/>
    <cellStyle name="20% - Akzent4 2 3 15 2 2" xfId="22263" xr:uid="{0D707D5C-107D-4FFA-8DF6-55C5BFE6C12B}"/>
    <cellStyle name="20% - Akzent4 2 3 15 3" xfId="22262" xr:uid="{92991B3C-68F0-4F95-95A3-65C933416471}"/>
    <cellStyle name="20% - Akzent4 2 3 16" xfId="2755" xr:uid="{7C293AC0-0D96-4B0A-92B7-476ABF58AE13}"/>
    <cellStyle name="20% - Akzent4 2 3 16 2" xfId="2756" xr:uid="{E2C1963F-0471-4409-91E7-DAA5B32487F5}"/>
    <cellStyle name="20% - Akzent4 2 3 16 2 2" xfId="22265" xr:uid="{8F660177-9390-472C-9168-060B02F8E12C}"/>
    <cellStyle name="20% - Akzent4 2 3 16 3" xfId="22264" xr:uid="{EAF0E456-AAEF-4B82-AF4A-E54019E65AFA}"/>
    <cellStyle name="20% - Akzent4 2 3 17" xfId="2757" xr:uid="{A5834C9E-44B2-44BD-9B5D-6E5B8965519A}"/>
    <cellStyle name="20% - Akzent4 2 3 17 2" xfId="2758" xr:uid="{3D1D4C05-A9B2-490D-9D68-1E160B265549}"/>
    <cellStyle name="20% - Akzent4 2 3 17 2 2" xfId="22267" xr:uid="{6A4B2CB2-3461-4441-85AE-6927AF7288DE}"/>
    <cellStyle name="20% - Akzent4 2 3 17 3" xfId="22266" xr:uid="{A11AE38F-10AE-4EC1-B152-D6CCBA30A7FD}"/>
    <cellStyle name="20% - Akzent4 2 3 18" xfId="2759" xr:uid="{B9773C94-326A-427F-BD7A-6B623AF1F28E}"/>
    <cellStyle name="20% - Akzent4 2 3 18 2" xfId="2760" xr:uid="{E18F6C55-5049-4ACA-A81D-7C2973FDBDC3}"/>
    <cellStyle name="20% - Akzent4 2 3 18 2 2" xfId="22269" xr:uid="{3DFBDDF5-1910-4431-AD7C-DF126F1ABAC3}"/>
    <cellStyle name="20% - Akzent4 2 3 18 3" xfId="22268" xr:uid="{89B753DA-361D-4417-A729-0F44497DA060}"/>
    <cellStyle name="20% - Akzent4 2 3 19" xfId="2761" xr:uid="{38062F92-B415-44E3-A7E5-82E482086084}"/>
    <cellStyle name="20% - Akzent4 2 3 19 2" xfId="2762" xr:uid="{40120A0C-FEEC-4FBA-8DE0-9B979070565D}"/>
    <cellStyle name="20% - Akzent4 2 3 19 2 2" xfId="22271" xr:uid="{9B0C5ED7-C4DF-4D28-8A43-70CDCCEAA6C4}"/>
    <cellStyle name="20% - Akzent4 2 3 19 3" xfId="22270" xr:uid="{D4A9F815-5FC8-4CA7-AAD2-45C6B8222557}"/>
    <cellStyle name="20% - Akzent4 2 3 2" xfId="2763" xr:uid="{211AE0DD-710A-4E95-9E80-48ECD3243215}"/>
    <cellStyle name="20% - Akzent4 2 3 2 2" xfId="2764" xr:uid="{EAEA7FD2-9614-4341-A1AD-C4521CFBD17B}"/>
    <cellStyle name="20% - Akzent4 2 3 2 2 2" xfId="22273" xr:uid="{81B16337-B9B4-41C7-B2BE-ECDBBF40AD6A}"/>
    <cellStyle name="20% - Akzent4 2 3 2 3" xfId="22272" xr:uid="{34CAA703-6D42-4D7F-8665-13462C4C8E60}"/>
    <cellStyle name="20% - Akzent4 2 3 2 4" xfId="40864" xr:uid="{4E682EC1-742C-43C4-8F57-E64D7A2F7776}"/>
    <cellStyle name="20% - Akzent4 2 3 20" xfId="2765" xr:uid="{752B0742-1476-4CEA-A515-6CA73D37FC87}"/>
    <cellStyle name="20% - Akzent4 2 3 20 2" xfId="2766" xr:uid="{F7F8200D-3520-4CCA-AE5E-AFF2E75C78A5}"/>
    <cellStyle name="20% - Akzent4 2 3 20 2 2" xfId="22275" xr:uid="{BE7D95B6-E9F9-4209-A4EF-4B1A6170148B}"/>
    <cellStyle name="20% - Akzent4 2 3 20 3" xfId="22274" xr:uid="{EEF6BC47-BF3E-4921-B4B3-4D89F24C5F81}"/>
    <cellStyle name="20% - Akzent4 2 3 21" xfId="2767" xr:uid="{D4A57D66-275D-44B0-B5B7-BA4C0DE7A6BD}"/>
    <cellStyle name="20% - Akzent4 2 3 21 2" xfId="2768" xr:uid="{050219E8-E06D-45D5-9FBE-7CB5616ACE70}"/>
    <cellStyle name="20% - Akzent4 2 3 21 2 2" xfId="22277" xr:uid="{252A0456-CAF2-402F-9C76-F30E177E4334}"/>
    <cellStyle name="20% - Akzent4 2 3 21 3" xfId="22276" xr:uid="{8E59C385-76D2-4D89-AD4D-F3599F56F133}"/>
    <cellStyle name="20% - Akzent4 2 3 22" xfId="2769" xr:uid="{CC9C716A-589D-443D-AD23-40A8506D44D2}"/>
    <cellStyle name="20% - Akzent4 2 3 22 2" xfId="22278" xr:uid="{528D5C06-B886-4699-A254-F1BF52DB85A6}"/>
    <cellStyle name="20% - Akzent4 2 3 23" xfId="22251" xr:uid="{E263F415-303C-4740-A9C8-EED66AFFB17D}"/>
    <cellStyle name="20% - Akzent4 2 3 24" xfId="39918" xr:uid="{F85B3A84-C123-43FF-A00A-37F082BF39A3}"/>
    <cellStyle name="20% - Akzent4 2 3 3" xfId="2770" xr:uid="{01408C1E-863E-4744-9EDE-7B4BBA6628AE}"/>
    <cellStyle name="20% - Akzent4 2 3 3 2" xfId="2771" xr:uid="{EBF74DD0-036B-450C-A7A3-EE69138E6FBD}"/>
    <cellStyle name="20% - Akzent4 2 3 3 2 2" xfId="22280" xr:uid="{BA004D62-78EC-4296-B908-6C8839867FE5}"/>
    <cellStyle name="20% - Akzent4 2 3 3 3" xfId="22279" xr:uid="{C79ADFAA-AE8E-4258-8C9D-C420C82584E8}"/>
    <cellStyle name="20% - Akzent4 2 3 3 4" xfId="41724" xr:uid="{3D34749C-4CE1-4DED-B018-CFE1E62F1EED}"/>
    <cellStyle name="20% - Akzent4 2 3 4" xfId="2772" xr:uid="{7B560BB7-73FB-4B97-A1EE-0CF7A50B66D3}"/>
    <cellStyle name="20% - Akzent4 2 3 4 2" xfId="2773" xr:uid="{8322EA01-01CA-4766-A0CB-5ED66C0D94B6}"/>
    <cellStyle name="20% - Akzent4 2 3 4 2 2" xfId="22282" xr:uid="{094D7FF3-148E-43E4-A05F-9D60F9ECEDD3}"/>
    <cellStyle name="20% - Akzent4 2 3 4 3" xfId="22281" xr:uid="{C1155B75-7134-4827-8AED-B5EBC6BFC558}"/>
    <cellStyle name="20% - Akzent4 2 3 5" xfId="2774" xr:uid="{253514BA-AB6D-4465-8D61-0730E6A1BDA3}"/>
    <cellStyle name="20% - Akzent4 2 3 5 2" xfId="2775" xr:uid="{5166B3FF-7563-4570-BEFF-CE40CEC6231C}"/>
    <cellStyle name="20% - Akzent4 2 3 5 2 2" xfId="22284" xr:uid="{96FEE3E2-B243-41E2-A9A8-19831477B1B9}"/>
    <cellStyle name="20% - Akzent4 2 3 5 3" xfId="22283" xr:uid="{CB6EFF9B-3E03-42AD-AA8C-B50A7E9DAC88}"/>
    <cellStyle name="20% - Akzent4 2 3 6" xfId="2776" xr:uid="{127CBCCB-CC4F-4543-8495-B752178848B0}"/>
    <cellStyle name="20% - Akzent4 2 3 6 2" xfId="2777" xr:uid="{9799F287-4F47-4BB7-8555-F440E2F68D9F}"/>
    <cellStyle name="20% - Akzent4 2 3 6 2 2" xfId="22286" xr:uid="{F1C108C0-D611-46EA-B026-934CD30DAF1F}"/>
    <cellStyle name="20% - Akzent4 2 3 6 3" xfId="22285" xr:uid="{5E0FB0D3-EF81-4AE4-BC1C-280CB958FC4B}"/>
    <cellStyle name="20% - Akzent4 2 3 7" xfId="2778" xr:uid="{DDCFAB77-83F6-4E98-AEA4-BD6B0F0033BF}"/>
    <cellStyle name="20% - Akzent4 2 3 7 2" xfId="2779" xr:uid="{768957D8-C500-49A8-A73A-097D2756ED44}"/>
    <cellStyle name="20% - Akzent4 2 3 7 2 2" xfId="22288" xr:uid="{24E816FC-102E-4A9E-B26F-9FBD660FA9C9}"/>
    <cellStyle name="20% - Akzent4 2 3 7 3" xfId="22287" xr:uid="{F8DFB3F5-95DA-489E-BAE4-1B79F204AB10}"/>
    <cellStyle name="20% - Akzent4 2 3 8" xfId="2780" xr:uid="{AD1A56BE-7194-426D-9152-BB16C4E2E929}"/>
    <cellStyle name="20% - Akzent4 2 3 8 2" xfId="2781" xr:uid="{32C1A562-DA41-493C-A38E-903074C98A02}"/>
    <cellStyle name="20% - Akzent4 2 3 8 2 2" xfId="22290" xr:uid="{8DB072ED-5FD6-420B-B444-066B72A55944}"/>
    <cellStyle name="20% - Akzent4 2 3 8 3" xfId="22289" xr:uid="{ABF69D81-CAAD-4817-82AE-1A41884A7686}"/>
    <cellStyle name="20% - Akzent4 2 3 9" xfId="2782" xr:uid="{068AF375-451D-4B3F-9930-8393D0ECE594}"/>
    <cellStyle name="20% - Akzent4 2 3 9 2" xfId="2783" xr:uid="{C3449F8D-1A56-4F4C-BA9F-4E2A5B66BC14}"/>
    <cellStyle name="20% - Akzent4 2 3 9 2 2" xfId="22292" xr:uid="{DADA6B21-3B0C-46DB-8CE0-CDA489AB966E}"/>
    <cellStyle name="20% - Akzent4 2 3 9 3" xfId="22291" xr:uid="{BEF28EF9-8313-44E9-AEDB-5A551EDCB8D1}"/>
    <cellStyle name="20% - Akzent4 2 4" xfId="2784" xr:uid="{312BC1B1-1FE3-489A-BD16-BD63B74F004A}"/>
    <cellStyle name="20% - Akzent4 2 4 2" xfId="2785" xr:uid="{29D6453D-FEF7-472B-8A39-B9E62F955F69}"/>
    <cellStyle name="20% - Akzent4 2 4 2 2" xfId="2786" xr:uid="{AA45D96E-276C-4AF6-A59F-D9D15CF60728}"/>
    <cellStyle name="20% - Akzent4 2 4 2 3" xfId="2787" xr:uid="{5F28F33B-2431-4FD6-9392-D810AD1FF61B}"/>
    <cellStyle name="20% - Akzent4 2 4 2 3 2" xfId="22294" xr:uid="{67445820-CB2C-40DE-AF8F-31C290AFE965}"/>
    <cellStyle name="20% - Akzent4 2 4 2 4" xfId="22293" xr:uid="{301AB467-3BFA-4B4A-8956-A992BFB85337}"/>
    <cellStyle name="20% - Akzent4 2 4 3" xfId="2788" xr:uid="{37828106-3294-4B8D-90E3-81FEB92599E0}"/>
    <cellStyle name="20% - Akzent4 2 4 4" xfId="2789" xr:uid="{38DF6A25-8859-47B8-A4FF-F6025321F458}"/>
    <cellStyle name="20% - Akzent4 2 4 5" xfId="40442" xr:uid="{70040B48-D8C4-4E42-8777-0AB114ABA029}"/>
    <cellStyle name="20% - Akzent4 2 5" xfId="2790" xr:uid="{D1E6AEC4-158C-4D6F-BFA6-12D5DC4DF393}"/>
    <cellStyle name="20% - Akzent4 2 5 2" xfId="41302" xr:uid="{5C4E4398-F927-4A09-A1D9-4754B168EC4B}"/>
    <cellStyle name="20% - Akzent4 2 6" xfId="2791" xr:uid="{8818E4A0-79F4-46C1-B85D-AB33263A7A9C}"/>
    <cellStyle name="20% - Akzent4 2 6 2" xfId="2792" xr:uid="{737A5EFB-5570-4FDA-BB92-615AD7063FEF}"/>
    <cellStyle name="20% - Akzent4 2 6 2 2" xfId="2793" xr:uid="{A0D198B1-A0F7-4AA0-A63C-80A941138D1F}"/>
    <cellStyle name="20% - Akzent4 2 6 2 2 2" xfId="22296" xr:uid="{8AAB7970-3F28-49E8-946F-58972CB57A7E}"/>
    <cellStyle name="20% - Akzent4 2 6 2 3" xfId="22295" xr:uid="{EF441215-F74A-4BF6-8522-53A74AAA00F0}"/>
    <cellStyle name="20% - Akzent4 2 7" xfId="2794" xr:uid="{9FF5AD8A-A4F0-48F8-BCE2-B4323A1E7620}"/>
    <cellStyle name="20% - Akzent4 2 7 2" xfId="2795" xr:uid="{D420B3E8-0182-4005-BA1A-1EF7BE5AB18E}"/>
    <cellStyle name="20% - Akzent4 2 7 2 2" xfId="22298" xr:uid="{55748714-FC4F-4752-BE4F-24F9DC501238}"/>
    <cellStyle name="20% - Akzent4 2 7 3" xfId="22297" xr:uid="{126F4F95-BDC2-46AC-82C4-9F9419B5F9B5}"/>
    <cellStyle name="20% - Akzent4 2 8" xfId="2796" xr:uid="{82B1E688-AFED-4C7F-9212-A43EE42A46A0}"/>
    <cellStyle name="20% - Akzent4 2 8 2" xfId="2797" xr:uid="{19C9638F-AF7B-44FD-B7A9-F005FD1CEFA5}"/>
    <cellStyle name="20% - Akzent4 2 8 2 2" xfId="2798" xr:uid="{A815B540-E78B-4D2C-AE18-EA878E2A270D}"/>
    <cellStyle name="20% - Akzent4 2 8 2 2 2" xfId="22300" xr:uid="{EEFB4906-60DD-45AC-9C1F-E2AF91E93211}"/>
    <cellStyle name="20% - Akzent4 2 8 2 3" xfId="22299" xr:uid="{2C5CEC6A-0E78-48B4-ACE5-30C3116DA479}"/>
    <cellStyle name="20% - Akzent4 2 9" xfId="2799" xr:uid="{BF0AB3AF-8917-4ACD-82CC-167F742C422F}"/>
    <cellStyle name="20% - Akzent4 2 9 2" xfId="2800" xr:uid="{2561C1A2-194A-4F99-AA69-B742E51E615C}"/>
    <cellStyle name="20% - Akzent4 2 9 2 2" xfId="22302" xr:uid="{A127C087-0357-41F3-8399-51E8377A3544}"/>
    <cellStyle name="20% - Akzent4 2 9 3" xfId="22301" xr:uid="{5C7CB2DF-490C-4400-B0D1-F315452DB297}"/>
    <cellStyle name="20% - Akzent4 20" xfId="2801" xr:uid="{20E5A918-84C4-44C2-8BED-37AF22221B8D}"/>
    <cellStyle name="20% - Akzent4 20 2" xfId="2802" xr:uid="{FD0F2B2C-EB69-402A-8DD1-899C97073FF4}"/>
    <cellStyle name="20% - Akzent4 20 2 2" xfId="22304" xr:uid="{952363F8-D3D1-4650-94C8-9DAB5C69B308}"/>
    <cellStyle name="20% - Akzent4 20 3" xfId="2803" xr:uid="{5590F730-934D-45EE-80B5-A66C90395C83}"/>
    <cellStyle name="20% - Akzent4 20 3 2" xfId="22305" xr:uid="{E070B30D-A74E-425C-B9BF-C2ACEB9B3B02}"/>
    <cellStyle name="20% - Akzent4 20 4" xfId="22303" xr:uid="{185A0974-1978-44E8-8773-B7B79E42AA7D}"/>
    <cellStyle name="20% - Akzent4 21" xfId="2804" xr:uid="{DE6B28AF-F5F5-4E5C-A57D-8F65FB745D41}"/>
    <cellStyle name="20% - Akzent4 21 2" xfId="2805" xr:uid="{8E0E8027-5F40-4056-B10D-E98141128615}"/>
    <cellStyle name="20% - Akzent4 21 2 2" xfId="22307" xr:uid="{26204028-1678-49F2-A834-2C5EA791516D}"/>
    <cellStyle name="20% - Akzent4 21 3" xfId="2806" xr:uid="{43BE18E0-1F97-43B2-A13A-04111539838A}"/>
    <cellStyle name="20% - Akzent4 21 3 2" xfId="22308" xr:uid="{BD668E49-52DA-49C4-988C-EE0ACCFA2751}"/>
    <cellStyle name="20% - Akzent4 21 4" xfId="22306" xr:uid="{E09E2F44-0408-40FE-9D0F-06263449B651}"/>
    <cellStyle name="20% - Akzent4 22" xfId="2807" xr:uid="{C8713241-07ED-42BC-9AD3-74D3F6943AD7}"/>
    <cellStyle name="20% - Akzent4 22 2" xfId="2808" xr:uid="{F4C2BECE-0923-459F-B6C1-07816693A2AD}"/>
    <cellStyle name="20% - Akzent4 22 2 2" xfId="22310" xr:uid="{C5EB69D5-836F-4F7C-AAF1-26BB6CE0A169}"/>
    <cellStyle name="20% - Akzent4 22 3" xfId="2809" xr:uid="{99F74555-C5D1-4B39-8227-B2A732A613D8}"/>
    <cellStyle name="20% - Akzent4 22 3 2" xfId="22311" xr:uid="{7A0B71E5-3BEF-466A-B9A4-C424D468F08E}"/>
    <cellStyle name="20% - Akzent4 22 4" xfId="22309" xr:uid="{AAFF4D29-5EDA-40A3-B177-1632CBAB8C1B}"/>
    <cellStyle name="20% - Akzent4 23" xfId="2810" xr:uid="{B97E6160-1199-46A4-A8D8-CEF8800550D8}"/>
    <cellStyle name="20% - Akzent4 23 2" xfId="2811" xr:uid="{B59B5BE4-6D6A-4B41-8570-5D57692A078F}"/>
    <cellStyle name="20% - Akzent4 23 2 2" xfId="22313" xr:uid="{9ACAA0AA-8280-4FAC-AC5A-1574E2C5A186}"/>
    <cellStyle name="20% - Akzent4 23 3" xfId="2812" xr:uid="{166CB13A-B51F-4C74-B426-2FD20757D08D}"/>
    <cellStyle name="20% - Akzent4 23 3 2" xfId="22314" xr:uid="{CB6F15EB-F64B-43E4-8772-59ABC1720B7C}"/>
    <cellStyle name="20% - Akzent4 23 4" xfId="22312" xr:uid="{74F96B55-8D5B-4D57-821A-1A15E81744EF}"/>
    <cellStyle name="20% - Akzent4 24" xfId="2813" xr:uid="{075A0DE1-BE6B-4773-AB2D-116D88476E34}"/>
    <cellStyle name="20% - Akzent4 24 2" xfId="2814" xr:uid="{B0F6C90F-7CC7-4DA1-98B1-49ACD79F7F07}"/>
    <cellStyle name="20% - Akzent4 24 2 2" xfId="22316" xr:uid="{7EAC6BAA-9F67-4D75-9BCB-33567B9A53A0}"/>
    <cellStyle name="20% - Akzent4 24 3" xfId="2815" xr:uid="{DAA5F5BA-C34F-4B43-85F1-C35DD2406D1D}"/>
    <cellStyle name="20% - Akzent4 24 3 2" xfId="22317" xr:uid="{40C652D3-A03A-4580-8225-1A286C38D9C2}"/>
    <cellStyle name="20% - Akzent4 24 4" xfId="22315" xr:uid="{78DDA15C-30F4-41E8-8810-104A2E7768D6}"/>
    <cellStyle name="20% - Akzent4 25" xfId="2816" xr:uid="{44551837-DAC2-4DC2-867F-79A7BEB9EC68}"/>
    <cellStyle name="20% - Akzent4 25 2" xfId="2817" xr:uid="{90D4AA6B-3F3E-4286-8854-D59C682C7C70}"/>
    <cellStyle name="20% - Akzent4 25 2 2" xfId="22319" xr:uid="{A4956F22-33A1-4EE5-8007-499F45862E9C}"/>
    <cellStyle name="20% - Akzent4 25 3" xfId="2818" xr:uid="{BCC71845-4DAF-45A1-A0AD-18B60F11C5D2}"/>
    <cellStyle name="20% - Akzent4 25 3 2" xfId="22320" xr:uid="{345994A0-BF81-486A-AFFD-F3374E4EA812}"/>
    <cellStyle name="20% - Akzent4 25 4" xfId="22318" xr:uid="{CBE6303A-BA39-4FF0-9FC1-7457D6D2E440}"/>
    <cellStyle name="20% - Akzent4 26" xfId="2819" xr:uid="{C06069E9-C843-4CA4-B72A-FFD92A1BB7B6}"/>
    <cellStyle name="20% - Akzent4 26 2" xfId="2820" xr:uid="{D11766A5-C16A-4B1F-BBE4-0300AB08A3B0}"/>
    <cellStyle name="20% - Akzent4 26 2 2" xfId="22322" xr:uid="{4BD9DEE3-C005-497A-968F-7D7FE1B91176}"/>
    <cellStyle name="20% - Akzent4 26 3" xfId="2821" xr:uid="{93C111A1-6B4E-40A1-BC77-50FE5A41A2C0}"/>
    <cellStyle name="20% - Akzent4 26 3 2" xfId="22323" xr:uid="{F3B436FE-E76C-4BC0-BA04-1FE91A01D0EE}"/>
    <cellStyle name="20% - Akzent4 26 4" xfId="22321" xr:uid="{2D957342-89A9-4B35-9DE2-0EF8D43E15A3}"/>
    <cellStyle name="20% - Akzent4 27" xfId="2822" xr:uid="{81901921-A06A-4443-B7E5-24F37189D022}"/>
    <cellStyle name="20% - Akzent4 27 2" xfId="2823" xr:uid="{46F371A4-5E70-466C-B2F4-D4DDA574E2E0}"/>
    <cellStyle name="20% - Akzent4 27 2 2" xfId="22325" xr:uid="{C2810078-7096-44C8-8036-BE2FAC6433A3}"/>
    <cellStyle name="20% - Akzent4 27 3" xfId="2824" xr:uid="{F01E33DB-3B92-4C4C-ACC2-46E069B999FE}"/>
    <cellStyle name="20% - Akzent4 27 3 2" xfId="22326" xr:uid="{7AF4FF1A-43AA-473F-9C6A-5F30789A4477}"/>
    <cellStyle name="20% - Akzent4 27 4" xfId="22324" xr:uid="{B1EA2930-B036-44DA-A99C-380B9067223D}"/>
    <cellStyle name="20% - Akzent4 28" xfId="2825" xr:uid="{311CECE7-099B-48F1-84EC-55D22A336699}"/>
    <cellStyle name="20% - Akzent4 28 2" xfId="2826" xr:uid="{A046FABC-BC19-4CCD-B19F-9006143CF71A}"/>
    <cellStyle name="20% - Akzent4 28 2 2" xfId="22328" xr:uid="{23D767BF-26F7-4866-9937-69279A856201}"/>
    <cellStyle name="20% - Akzent4 28 3" xfId="2827" xr:uid="{7037C0C3-5FCD-4670-B0C1-9B842BF65714}"/>
    <cellStyle name="20% - Akzent4 28 3 2" xfId="22329" xr:uid="{1C687C37-DB4E-414F-952D-F89718DA8D87}"/>
    <cellStyle name="20% - Akzent4 28 4" xfId="22327" xr:uid="{6D243892-75CC-4381-9284-021F47D34293}"/>
    <cellStyle name="20% - Akzent4 29" xfId="2828" xr:uid="{25C48BC9-92B0-463C-ACFD-63AF78D2FB27}"/>
    <cellStyle name="20% - Akzent4 29 2" xfId="2829" xr:uid="{7B403563-F750-4E3A-A9ED-3DF3A7110316}"/>
    <cellStyle name="20% - Akzent4 29 2 2" xfId="22331" xr:uid="{9B0AAE3B-C89A-4E5B-81AD-FBA8A31BCDFA}"/>
    <cellStyle name="20% - Akzent4 29 3" xfId="2830" xr:uid="{0CE7EE05-891C-465A-90E6-43428B1C31F6}"/>
    <cellStyle name="20% - Akzent4 29 3 2" xfId="22332" xr:uid="{CDA05C29-1711-4C3F-BD35-8040D8C677B8}"/>
    <cellStyle name="20% - Akzent4 29 4" xfId="22330" xr:uid="{F07819B9-65E0-42E3-8A7A-2E0D16736A28}"/>
    <cellStyle name="20% - Akzent4 3" xfId="119" xr:uid="{55D747F4-9AAE-4241-8EE9-2795DE35FD34}"/>
    <cellStyle name="20% - Akzent4 3 10" xfId="2832" xr:uid="{D5346DEC-17F3-4AE6-836C-B4A7B50E31EC}"/>
    <cellStyle name="20% - Akzent4 3 10 2" xfId="2833" xr:uid="{6A9D46BC-BCDA-422B-A5A0-00A3DB068397}"/>
    <cellStyle name="20% - Akzent4 3 10 2 2" xfId="22335" xr:uid="{4FA136E3-C01E-44BD-B5C8-CE0D176DD585}"/>
    <cellStyle name="20% - Akzent4 3 10 3" xfId="22334" xr:uid="{47537423-7BC5-4370-863F-DEE675A139FC}"/>
    <cellStyle name="20% - Akzent4 3 11" xfId="2834" xr:uid="{DD3A6681-6E88-47B7-966B-65853299AEB1}"/>
    <cellStyle name="20% - Akzent4 3 11 2" xfId="2835" xr:uid="{6A8E2012-2058-4118-88A2-4B8F60DF46B7}"/>
    <cellStyle name="20% - Akzent4 3 11 2 2" xfId="22337" xr:uid="{974D8864-FE53-4795-A95F-60722CD35E9C}"/>
    <cellStyle name="20% - Akzent4 3 11 3" xfId="22336" xr:uid="{63C4E39A-865D-46F4-9436-3B8DED562195}"/>
    <cellStyle name="20% - Akzent4 3 12" xfId="2836" xr:uid="{A8DAAE5F-96AD-452B-832E-72A2D5FB21D1}"/>
    <cellStyle name="20% - Akzent4 3 12 2" xfId="2837" xr:uid="{BED39120-7C8E-4F73-8786-A18F419DD4B4}"/>
    <cellStyle name="20% - Akzent4 3 12 2 2" xfId="22339" xr:uid="{09D7725B-957A-492E-AE94-72E7FDB9899C}"/>
    <cellStyle name="20% - Akzent4 3 12 3" xfId="22338" xr:uid="{026EE055-C9B2-40E9-AFF7-F6709697E9D6}"/>
    <cellStyle name="20% - Akzent4 3 13" xfId="2838" xr:uid="{0128CD2E-0DC1-4E20-8F5C-61F85D89ABA2}"/>
    <cellStyle name="20% - Akzent4 3 13 2" xfId="2839" xr:uid="{CBA1EBA5-88C5-44BE-A022-4A02F695191F}"/>
    <cellStyle name="20% - Akzent4 3 13 2 2" xfId="22341" xr:uid="{1BDDD8B1-0074-4510-A3D0-DFBCBBA76516}"/>
    <cellStyle name="20% - Akzent4 3 13 3" xfId="22340" xr:uid="{D9950B0E-9669-4C06-B031-1F0D98F7A5A6}"/>
    <cellStyle name="20% - Akzent4 3 14" xfId="2840" xr:uid="{1A011209-4155-4EDD-9F30-7A0693997465}"/>
    <cellStyle name="20% - Akzent4 3 14 2" xfId="2841" xr:uid="{0259620A-4757-4CFD-897B-1D1FF1C2A79C}"/>
    <cellStyle name="20% - Akzent4 3 14 2 2" xfId="22343" xr:uid="{EE1CC6DD-EDE7-4C7B-8F2C-84FA52894335}"/>
    <cellStyle name="20% - Akzent4 3 14 3" xfId="22342" xr:uid="{768A2939-2E39-4EAC-A3C6-EE74B0BF5761}"/>
    <cellStyle name="20% - Akzent4 3 15" xfId="2842" xr:uid="{9D6213FF-9746-42A5-99C8-FC42AE07BB0D}"/>
    <cellStyle name="20% - Akzent4 3 15 2" xfId="2843" xr:uid="{76BA47B1-EA42-44AE-9012-5BB2C9EF7FCB}"/>
    <cellStyle name="20% - Akzent4 3 15 2 2" xfId="22345" xr:uid="{7C904D5B-7E58-4203-BBE7-DB0CF0B32F1E}"/>
    <cellStyle name="20% - Akzent4 3 15 3" xfId="22344" xr:uid="{850A7E65-9623-41A7-84F6-F5609124E7C9}"/>
    <cellStyle name="20% - Akzent4 3 16" xfId="2844" xr:uid="{41A3A3AC-206A-4953-9927-7A1E30BE0EAB}"/>
    <cellStyle name="20% - Akzent4 3 16 2" xfId="2845" xr:uid="{14AAF1D6-A54C-412F-AD06-5EC25A0075B2}"/>
    <cellStyle name="20% - Akzent4 3 16 2 2" xfId="22347" xr:uid="{C32AC362-13FA-4840-8738-7D6945CAD381}"/>
    <cellStyle name="20% - Akzent4 3 16 3" xfId="22346" xr:uid="{C1037B34-7F56-485A-A9B3-12FD22FE9A18}"/>
    <cellStyle name="20% - Akzent4 3 17" xfId="2846" xr:uid="{2EF56EF8-A228-4337-86CA-1171C7130102}"/>
    <cellStyle name="20% - Akzent4 3 17 2" xfId="2847" xr:uid="{9D873532-D1A5-4A20-AD27-C91F1B6756C8}"/>
    <cellStyle name="20% - Akzent4 3 17 2 2" xfId="22349" xr:uid="{6E2968C0-3E5C-4148-A9E5-3343972E57B2}"/>
    <cellStyle name="20% - Akzent4 3 17 3" xfId="22348" xr:uid="{859BCB4E-1FED-4FB6-A457-1849E1621B3C}"/>
    <cellStyle name="20% - Akzent4 3 18" xfId="2848" xr:uid="{AF23F780-BF0B-4CE7-954C-FE0E0733F209}"/>
    <cellStyle name="20% - Akzent4 3 18 2" xfId="2849" xr:uid="{ED3CBFEE-34A8-4F6A-9343-FDFD0AD5C772}"/>
    <cellStyle name="20% - Akzent4 3 18 2 2" xfId="22351" xr:uid="{118CBEAB-1C3A-44F3-9BA6-0BD9EF52A99B}"/>
    <cellStyle name="20% - Akzent4 3 18 3" xfId="22350" xr:uid="{0C77BE03-0FDA-44ED-A2AE-C208D1581F3C}"/>
    <cellStyle name="20% - Akzent4 3 19" xfId="2850" xr:uid="{E3F42B54-BC84-4584-A866-D67A140C36F1}"/>
    <cellStyle name="20% - Akzent4 3 19 2" xfId="2851" xr:uid="{FEA3BBFD-A80A-49F1-BE27-E24D857809D4}"/>
    <cellStyle name="20% - Akzent4 3 19 2 2" xfId="22353" xr:uid="{2DEAE949-5D9E-4D59-88F3-5136A6FBA57B}"/>
    <cellStyle name="20% - Akzent4 3 19 3" xfId="22352" xr:uid="{1B600C4C-6B58-4218-B54F-1D727C0F8E13}"/>
    <cellStyle name="20% - Akzent4 3 2" xfId="2852" xr:uid="{FE8DB0F1-BCE2-4587-A158-16C7914A246C}"/>
    <cellStyle name="20% - Akzent4 3 2 2" xfId="2853" xr:uid="{C51889C5-3D62-428A-A3E2-17B3BFB97045}"/>
    <cellStyle name="20% - Akzent4 3 2 2 2" xfId="2854" xr:uid="{CE20A6B2-29E6-4153-9FBB-2258B5477457}"/>
    <cellStyle name="20% - Akzent4 3 2 2 3" xfId="2855" xr:uid="{6F08E9E2-BF5A-49CE-99F0-A7315814B5E4}"/>
    <cellStyle name="20% - Akzent4 3 2 2 3 2" xfId="22355" xr:uid="{8F592636-A344-4C06-B5BD-8E49C2701AF0}"/>
    <cellStyle name="20% - Akzent4 3 2 2 4" xfId="22354" xr:uid="{81495F29-0096-4C6F-9404-322511E1108D}"/>
    <cellStyle name="20% - Akzent4 3 2 2 5" xfId="40867" xr:uid="{D578E077-74EC-4274-8A48-C432DEBD91A3}"/>
    <cellStyle name="20% - Akzent4 3 2 3" xfId="2856" xr:uid="{99AB0313-641D-4DBB-9844-39FAB5B3AD02}"/>
    <cellStyle name="20% - Akzent4 3 2 3 2" xfId="41727" xr:uid="{656CBC37-892F-46DE-BC8B-D30341A5F71E}"/>
    <cellStyle name="20% - Akzent4 3 2 4" xfId="2857" xr:uid="{81B307B0-C071-4D59-889B-BFF5987F2050}"/>
    <cellStyle name="20% - Akzent4 3 2 5" xfId="39921" xr:uid="{C250AE90-82F1-4B42-860A-E2B9DF49181F}"/>
    <cellStyle name="20% - Akzent4 3 20" xfId="2858" xr:uid="{580ECA24-22EB-4657-9267-BE999BFD31AB}"/>
    <cellStyle name="20% - Akzent4 3 20 2" xfId="2859" xr:uid="{BDB8FA2F-CF3C-4967-A435-0A356A8A7410}"/>
    <cellStyle name="20% - Akzent4 3 20 2 2" xfId="22357" xr:uid="{3D9F0014-0AE5-4AE2-9CC6-F6D504709950}"/>
    <cellStyle name="20% - Akzent4 3 20 3" xfId="22356" xr:uid="{B969754B-7841-4B89-A68D-C0BFAF5974E5}"/>
    <cellStyle name="20% - Akzent4 3 21" xfId="2860" xr:uid="{E9705343-86B7-49AC-BA85-6D353FC19E87}"/>
    <cellStyle name="20% - Akzent4 3 21 2" xfId="2861" xr:uid="{229351D1-C2E0-4FA1-BD17-FE7BADAE5A74}"/>
    <cellStyle name="20% - Akzent4 3 21 2 2" xfId="22359" xr:uid="{C8C5CB4B-0837-4FDB-B258-46F447988C31}"/>
    <cellStyle name="20% - Akzent4 3 21 3" xfId="22358" xr:uid="{0CB09345-B6B1-4781-A7D8-E5530D8133D3}"/>
    <cellStyle name="20% - Akzent4 3 22" xfId="2862" xr:uid="{D1D1B60E-A979-4F98-A0D3-55AA70EF55ED}"/>
    <cellStyle name="20% - Akzent4 3 22 2" xfId="22360" xr:uid="{DDD4EED3-3283-410D-A9A7-B2B57076F3BB}"/>
    <cellStyle name="20% - Akzent4 3 23" xfId="2863" xr:uid="{7D6C4FCE-8784-4836-A96C-41B0E093CA13}"/>
    <cellStyle name="20% - Akzent4 3 23 2" xfId="22361" xr:uid="{CCA37D93-AD5F-4D8A-B8C9-8C80A25E884D}"/>
    <cellStyle name="20% - Akzent4 3 24" xfId="22333" xr:uid="{3C8CA1DB-76BE-4546-93A6-E7E3EBC028DF}"/>
    <cellStyle name="20% - Akzent4 3 25" xfId="39290" xr:uid="{BFF49841-D1D4-4CBA-ADA7-DAC8033DF1BE}"/>
    <cellStyle name="20% - Akzent4 3 26" xfId="2831" xr:uid="{E3FE7353-599A-45B4-AFBD-ACD9DD004584}"/>
    <cellStyle name="20% - Akzent4 3 3" xfId="2864" xr:uid="{832426D8-D69F-41E0-A020-DEF7C1C8D07A}"/>
    <cellStyle name="20% - Akzent4 3 3 2" xfId="40866" xr:uid="{D000EDAD-E59A-4CBC-B7A7-0E9DD5BA0ACA}"/>
    <cellStyle name="20% - Akzent4 3 3 3" xfId="41726" xr:uid="{D2B02DEE-71DB-4B55-8138-B3D94F07AAE5}"/>
    <cellStyle name="20% - Akzent4 3 3 4" xfId="39920" xr:uid="{BA124106-F77B-4339-ADE3-C910BB4CC916}"/>
    <cellStyle name="20% - Akzent4 3 4" xfId="2865" xr:uid="{69FC79CA-71B2-4235-B4AD-17CCD24D4422}"/>
    <cellStyle name="20% - Akzent4 3 4 2" xfId="40444" xr:uid="{6AED5D01-DAAE-498B-9B57-6020EFFB0F04}"/>
    <cellStyle name="20% - Akzent4 3 5" xfId="2866" xr:uid="{0B6C721C-7344-4826-9B97-3F12D4807E4A}"/>
    <cellStyle name="20% - Akzent4 3 5 2" xfId="2867" xr:uid="{8F3108F2-3B2E-4378-B481-9FCBB7BB2FCA}"/>
    <cellStyle name="20% - Akzent4 3 5 2 2" xfId="2868" xr:uid="{6A083171-59BB-46BD-896B-0F35D3522CD7}"/>
    <cellStyle name="20% - Akzent4 3 5 2 2 2" xfId="22363" xr:uid="{4437FB1A-2281-4D35-8970-9881717383DB}"/>
    <cellStyle name="20% - Akzent4 3 5 2 3" xfId="22362" xr:uid="{CDB135D2-C546-4055-9401-9C6CFB8526B3}"/>
    <cellStyle name="20% - Akzent4 3 5 3" xfId="41304" xr:uid="{D5A87D39-D835-4F98-BA40-6DBF9D481DAE}"/>
    <cellStyle name="20% - Akzent4 3 6" xfId="2869" xr:uid="{CFCAB559-2DBB-49BE-9E66-CC18386C8FC5}"/>
    <cellStyle name="20% - Akzent4 3 6 2" xfId="2870" xr:uid="{F8272744-4696-426B-BBB9-7A2D1954ADBB}"/>
    <cellStyle name="20% - Akzent4 3 6 2 2" xfId="22365" xr:uid="{76C83A44-AF5A-438D-B227-A2C60062A642}"/>
    <cellStyle name="20% - Akzent4 3 6 3" xfId="22364" xr:uid="{98AE4910-2D1B-4FC3-B0CC-4CDAA6037C4B}"/>
    <cellStyle name="20% - Akzent4 3 7" xfId="2871" xr:uid="{852BA50F-1F55-4E6E-A566-E09166D1B3C8}"/>
    <cellStyle name="20% - Akzent4 3 7 2" xfId="2872" xr:uid="{CE7031D4-A786-46B4-9116-2655C152F584}"/>
    <cellStyle name="20% - Akzent4 3 7 2 2" xfId="22367" xr:uid="{A3831CA1-693A-4DF7-B36F-51363FBFC937}"/>
    <cellStyle name="20% - Akzent4 3 7 3" xfId="22366" xr:uid="{6D2D485C-79C7-47C4-8F70-5C01A766ABF2}"/>
    <cellStyle name="20% - Akzent4 3 8" xfId="2873" xr:uid="{3AE911DB-2427-4A0D-BFDA-826340FC6033}"/>
    <cellStyle name="20% - Akzent4 3 8 2" xfId="2874" xr:uid="{8FD26F40-D633-4875-AE87-66F4C0BD381C}"/>
    <cellStyle name="20% - Akzent4 3 8 2 2" xfId="22369" xr:uid="{D73E263E-1E98-4B11-A2C6-AF348EAFBB35}"/>
    <cellStyle name="20% - Akzent4 3 8 3" xfId="22368" xr:uid="{BE3AC709-AC02-4FF8-AF5C-478F418C5D7A}"/>
    <cellStyle name="20% - Akzent4 3 9" xfId="2875" xr:uid="{FF20A240-EA3D-4F38-8EF1-1FD51F75037A}"/>
    <cellStyle name="20% - Akzent4 3 9 2" xfId="2876" xr:uid="{4A8CE4D5-B240-45F3-B539-A2960431FCFA}"/>
    <cellStyle name="20% - Akzent4 3 9 2 2" xfId="22371" xr:uid="{7AC03C4E-9722-414F-87C9-D6A4D9E1D54B}"/>
    <cellStyle name="20% - Akzent4 3 9 3" xfId="22370" xr:uid="{9F18EDCA-2A35-45AB-B863-DAAFD41E7762}"/>
    <cellStyle name="20% - Akzent4 30" xfId="2877" xr:uid="{29A617A4-6792-4E13-A077-3DB21F71E99B}"/>
    <cellStyle name="20% - Akzent4 30 2" xfId="2878" xr:uid="{C397D948-AD2D-4603-BE99-5A1B21D9A206}"/>
    <cellStyle name="20% - Akzent4 30 2 2" xfId="22373" xr:uid="{58203429-2315-41D7-82F7-5697FA4C327A}"/>
    <cellStyle name="20% - Akzent4 30 3" xfId="2879" xr:uid="{69C06B3A-642B-4ABD-A460-C6F1530E7BE3}"/>
    <cellStyle name="20% - Akzent4 30 3 2" xfId="22374" xr:uid="{7C3E02C1-F1C9-47D5-AFC0-EB7562ED30DA}"/>
    <cellStyle name="20% - Akzent4 30 4" xfId="22372" xr:uid="{22EFE022-E29C-43A3-95E5-CA5CB4033A06}"/>
    <cellStyle name="20% - Akzent4 31" xfId="2880" xr:uid="{C216E53E-B413-4602-B38C-631C5BA721B1}"/>
    <cellStyle name="20% - Akzent4 31 2" xfId="2881" xr:uid="{1C420AEF-D4BE-4D9E-9048-349089B15D4C}"/>
    <cellStyle name="20% - Akzent4 31 2 2" xfId="22376" xr:uid="{F210C0B3-7CD6-46D1-8B1D-29FAE8DB3E5C}"/>
    <cellStyle name="20% - Akzent4 31 3" xfId="2882" xr:uid="{8A299F77-6926-4182-A3DB-556011177F39}"/>
    <cellStyle name="20% - Akzent4 31 3 2" xfId="22377" xr:uid="{7A00E3C2-BA1C-44F5-BA74-769C72703F77}"/>
    <cellStyle name="20% - Akzent4 31 4" xfId="22375" xr:uid="{21E20CD0-18A0-4641-A8DF-438F4DE1C78E}"/>
    <cellStyle name="20% - Akzent4 32" xfId="2883" xr:uid="{40E0C35B-725A-41AA-9185-F6062250D228}"/>
    <cellStyle name="20% - Akzent4 32 2" xfId="2884" xr:uid="{879BA887-10F3-4488-9467-9C9BAC904492}"/>
    <cellStyle name="20% - Akzent4 32 2 2" xfId="22379" xr:uid="{DE31EA35-2D89-4DAF-AFD6-E6860E1FCC23}"/>
    <cellStyle name="20% - Akzent4 32 3" xfId="2885" xr:uid="{BE95CC6F-BD17-4527-8B6B-1617855CBA35}"/>
    <cellStyle name="20% - Akzent4 32 3 2" xfId="22380" xr:uid="{8C996948-6184-4E2E-A0A7-4E9B5B7F6DD7}"/>
    <cellStyle name="20% - Akzent4 32 4" xfId="22378" xr:uid="{73D1DA29-D99E-4C0C-946E-E9C2230082AA}"/>
    <cellStyle name="20% - Akzent4 33" xfId="2886" xr:uid="{217AB531-4261-4AC5-BA9A-ADCD850015FC}"/>
    <cellStyle name="20% - Akzent4 33 2" xfId="2887" xr:uid="{B1BDFD29-DD4A-4159-AEB8-C236AB5B0C28}"/>
    <cellStyle name="20% - Akzent4 33 2 2" xfId="22382" xr:uid="{6949FD4E-5F5F-4428-A8CA-553EB88217E6}"/>
    <cellStyle name="20% - Akzent4 33 3" xfId="2888" xr:uid="{1FF62D3E-BE2A-431C-9D2C-FA8171498864}"/>
    <cellStyle name="20% - Akzent4 33 3 2" xfId="22383" xr:uid="{69192B4F-AB4B-4609-90D4-99BDACE08B93}"/>
    <cellStyle name="20% - Akzent4 33 4" xfId="22381" xr:uid="{EA2512D3-EC13-4281-8B4E-A66BC2617CDD}"/>
    <cellStyle name="20% - Akzent4 34" xfId="2889" xr:uid="{5450A320-A2C8-4797-BA83-AB4EF4C186E7}"/>
    <cellStyle name="20% - Akzent4 34 2" xfId="2890" xr:uid="{72194724-C07E-4330-A6FF-891409A6DE4C}"/>
    <cellStyle name="20% - Akzent4 34 2 2" xfId="22385" xr:uid="{06BF7954-0E16-461C-B3F3-DE5450C6AE48}"/>
    <cellStyle name="20% - Akzent4 34 3" xfId="2891" xr:uid="{9ACD2974-2787-4D32-A514-CC08FF1AE464}"/>
    <cellStyle name="20% - Akzent4 34 3 2" xfId="22386" xr:uid="{1F08281C-B079-4F63-B31C-B9C8F17D9481}"/>
    <cellStyle name="20% - Akzent4 34 4" xfId="22384" xr:uid="{5321848C-B1DC-4C2C-8004-A3FCF957471E}"/>
    <cellStyle name="20% - Akzent4 35" xfId="2892" xr:uid="{13FF3A22-E527-41FE-99BF-23B504FF2701}"/>
    <cellStyle name="20% - Akzent4 35 2" xfId="2893" xr:uid="{1E91CBAE-D9F4-4405-9227-69AFCC3D0AFE}"/>
    <cellStyle name="20% - Akzent4 35 2 2" xfId="22388" xr:uid="{A59FFE4E-C094-4DE2-9466-30FC863BC348}"/>
    <cellStyle name="20% - Akzent4 35 3" xfId="2894" xr:uid="{79878BE0-CA23-4C6A-9A69-7C77CA92E174}"/>
    <cellStyle name="20% - Akzent4 35 3 2" xfId="22389" xr:uid="{4C1734E5-0CD7-452D-8E65-CB3DF7333F65}"/>
    <cellStyle name="20% - Akzent4 35 4" xfId="22387" xr:uid="{7816D30A-1E0B-4290-A869-F227B61C8D9C}"/>
    <cellStyle name="20% - Akzent4 36" xfId="2895" xr:uid="{44709C3B-618B-4C17-8DFE-78A116F5C303}"/>
    <cellStyle name="20% - Akzent4 36 2" xfId="2896" xr:uid="{DBB52896-598F-4F27-A193-C05E84F8A1AA}"/>
    <cellStyle name="20% - Akzent4 36 2 2" xfId="22391" xr:uid="{612A1549-66C0-4A56-9F96-C38D779A6555}"/>
    <cellStyle name="20% - Akzent4 36 3" xfId="2897" xr:uid="{0E074D21-01B0-4E92-B3EA-5D5CFF29992A}"/>
    <cellStyle name="20% - Akzent4 36 3 2" xfId="22392" xr:uid="{D905DAE1-2CE3-426A-8809-BB0FA4241DF3}"/>
    <cellStyle name="20% - Akzent4 36 4" xfId="22390" xr:uid="{B946C997-5AAD-4B97-AD84-C3BDB70BDEF7}"/>
    <cellStyle name="20% - Akzent4 37" xfId="2898" xr:uid="{BD7170EB-829A-4BAB-A3CD-2773742FA23A}"/>
    <cellStyle name="20% - Akzent4 37 2" xfId="2899" xr:uid="{75A91CFB-6D56-427C-9483-52EB5AFD635F}"/>
    <cellStyle name="20% - Akzent4 37 2 2" xfId="22394" xr:uid="{8328CACF-9D96-44AC-BBFB-C11A515D008F}"/>
    <cellStyle name="20% - Akzent4 37 3" xfId="22393" xr:uid="{416C48C7-1F62-4E0B-B033-18A34D03E8A5}"/>
    <cellStyle name="20% - Akzent4 38" xfId="2900" xr:uid="{993157E4-5DD2-4097-968B-FE172ACE4422}"/>
    <cellStyle name="20% - Akzent4 38 2" xfId="2901" xr:uid="{B95F668D-ED84-4803-950F-8B7F1D2310DA}"/>
    <cellStyle name="20% - Akzent4 38 2 2" xfId="22396" xr:uid="{29A3059B-8AA0-4157-831D-FC2C9C593782}"/>
    <cellStyle name="20% - Akzent4 38 3" xfId="22395" xr:uid="{73B62366-C0B7-40F0-8EFD-98BB38636A71}"/>
    <cellStyle name="20% - Akzent4 39" xfId="2902" xr:uid="{04A7A242-88BD-4F13-A3EA-A355EF9F5308}"/>
    <cellStyle name="20% - Akzent4 39 2" xfId="2903" xr:uid="{A5BF1FC0-0CCD-4925-9A7C-2C0BDF3C277E}"/>
    <cellStyle name="20% - Akzent4 39 2 2" xfId="22398" xr:uid="{03B22854-D4ED-43A4-AFAE-325EFC6068C3}"/>
    <cellStyle name="20% - Akzent4 39 3" xfId="22397" xr:uid="{D145D35D-D170-4BDF-AA2E-3E772D35D9A9}"/>
    <cellStyle name="20% - Akzent4 4" xfId="133" xr:uid="{33C6ACA3-433C-4246-91EA-5C81DC958A5D}"/>
    <cellStyle name="20% - Akzent4 4 10" xfId="2905" xr:uid="{7F9087F4-1453-465C-BEE8-2D76383CDFEF}"/>
    <cellStyle name="20% - Akzent4 4 10 2" xfId="2906" xr:uid="{2F6A2D8F-1313-48F7-9640-2BCDF9EE2271}"/>
    <cellStyle name="20% - Akzent4 4 10 2 2" xfId="22401" xr:uid="{CEF92573-1B51-4671-962F-2292E6EEB3B9}"/>
    <cellStyle name="20% - Akzent4 4 10 3" xfId="22400" xr:uid="{149FE109-DDEC-4518-BB5B-831E04B12929}"/>
    <cellStyle name="20% - Akzent4 4 11" xfId="2907" xr:uid="{69AC0FB7-ACD1-4EBF-B171-FF7410BFBBE3}"/>
    <cellStyle name="20% - Akzent4 4 11 2" xfId="2908" xr:uid="{62B66F5A-C781-4055-810B-99E7CA5CCF13}"/>
    <cellStyle name="20% - Akzent4 4 11 2 2" xfId="22403" xr:uid="{08D7BAAD-1172-45F4-A819-8E82AB878B34}"/>
    <cellStyle name="20% - Akzent4 4 11 3" xfId="22402" xr:uid="{A225EC77-5EE7-4573-A6F9-6F5CB4FD90B1}"/>
    <cellStyle name="20% - Akzent4 4 12" xfId="2909" xr:uid="{0D396031-01E3-4CD0-82DF-53BE9D4AA7A5}"/>
    <cellStyle name="20% - Akzent4 4 12 2" xfId="2910" xr:uid="{5A9FA770-DFC6-4A58-BBE7-70828304D0F4}"/>
    <cellStyle name="20% - Akzent4 4 12 2 2" xfId="22405" xr:uid="{F8957416-CA69-473E-A4E1-079575779BF1}"/>
    <cellStyle name="20% - Akzent4 4 12 3" xfId="22404" xr:uid="{75D92529-E2F2-47FD-8E9E-6B5385EA5709}"/>
    <cellStyle name="20% - Akzent4 4 13" xfId="2911" xr:uid="{B12B3524-2791-4BFA-B627-320C0ED0E3E0}"/>
    <cellStyle name="20% - Akzent4 4 13 2" xfId="2912" xr:uid="{6D0C8040-C560-4402-9780-440E6555C841}"/>
    <cellStyle name="20% - Akzent4 4 13 2 2" xfId="22407" xr:uid="{8C36374E-92AB-4C93-9D4B-686052FDB4DA}"/>
    <cellStyle name="20% - Akzent4 4 13 3" xfId="22406" xr:uid="{20126D60-3D3D-4FB8-A962-A2E9D038F024}"/>
    <cellStyle name="20% - Akzent4 4 14" xfId="2913" xr:uid="{46B2AC6C-4EC1-44D6-8F06-726CA21A5E57}"/>
    <cellStyle name="20% - Akzent4 4 14 2" xfId="2914" xr:uid="{12E6FD46-814A-442B-926D-BCEA39D24090}"/>
    <cellStyle name="20% - Akzent4 4 14 2 2" xfId="22409" xr:uid="{3ED40596-7F08-42DF-A253-D7DEC096FAD6}"/>
    <cellStyle name="20% - Akzent4 4 14 3" xfId="22408" xr:uid="{D9468C82-368D-46FB-A84B-44EB59DE28DE}"/>
    <cellStyle name="20% - Akzent4 4 15" xfId="2915" xr:uid="{C9C32094-6245-4029-A739-16A8ED264FBD}"/>
    <cellStyle name="20% - Akzent4 4 15 2" xfId="2916" xr:uid="{C65840AC-60E2-4521-940A-3571E0E43AF6}"/>
    <cellStyle name="20% - Akzent4 4 15 2 2" xfId="22411" xr:uid="{22FFBCBE-4EA4-4E1A-B5CB-D72967370D83}"/>
    <cellStyle name="20% - Akzent4 4 15 3" xfId="22410" xr:uid="{DC10C05F-39EE-46EE-A106-E70E77710846}"/>
    <cellStyle name="20% - Akzent4 4 16" xfId="2917" xr:uid="{7ADD0053-D3D6-4C7F-85DD-72E1D393D252}"/>
    <cellStyle name="20% - Akzent4 4 16 2" xfId="2918" xr:uid="{96FFD6EC-5AB0-454F-9243-7FE5879F4E76}"/>
    <cellStyle name="20% - Akzent4 4 16 2 2" xfId="22413" xr:uid="{0A9580C6-CFDB-413B-9F86-7E4C309A7FE7}"/>
    <cellStyle name="20% - Akzent4 4 16 3" xfId="22412" xr:uid="{3736B539-FB4F-479C-A08A-3E9A083E2B57}"/>
    <cellStyle name="20% - Akzent4 4 17" xfId="2919" xr:uid="{BF551BB5-A535-47B5-B492-45AD9061FDC0}"/>
    <cellStyle name="20% - Akzent4 4 17 2" xfId="2920" xr:uid="{CB75A30B-6D48-4512-87B4-4A6DAFF58F40}"/>
    <cellStyle name="20% - Akzent4 4 17 2 2" xfId="22415" xr:uid="{6AD19B24-B9FE-4DBA-B4BD-24C0858F40E5}"/>
    <cellStyle name="20% - Akzent4 4 17 3" xfId="22414" xr:uid="{A725A863-4923-48FC-9DC9-28C8607A8634}"/>
    <cellStyle name="20% - Akzent4 4 18" xfId="2921" xr:uid="{4DBED5B3-A6E2-4B81-9F4C-009CF0541CC7}"/>
    <cellStyle name="20% - Akzent4 4 18 2" xfId="2922" xr:uid="{48A9394B-8D12-4AA6-9035-CEFA31842D28}"/>
    <cellStyle name="20% - Akzent4 4 18 2 2" xfId="22417" xr:uid="{3D0173B5-0C8A-441C-AB69-49B8D99A54F8}"/>
    <cellStyle name="20% - Akzent4 4 18 3" xfId="22416" xr:uid="{46DEA5CC-0E5D-47A7-9ECB-6FA066382EE6}"/>
    <cellStyle name="20% - Akzent4 4 19" xfId="2923" xr:uid="{7B89519A-059B-4CA9-A18D-73D8088B5D5D}"/>
    <cellStyle name="20% - Akzent4 4 19 2" xfId="2924" xr:uid="{A085CBBE-04F4-4864-9A9F-1382F2E075DF}"/>
    <cellStyle name="20% - Akzent4 4 19 2 2" xfId="22419" xr:uid="{9BF345A2-7A9A-4453-B5E6-0CFC67D0833B}"/>
    <cellStyle name="20% - Akzent4 4 19 3" xfId="22418" xr:uid="{3440BC67-BE6C-4F36-A594-433111D6AD37}"/>
    <cellStyle name="20% - Akzent4 4 2" xfId="2925" xr:uid="{3AD59803-DA4A-4602-8B43-71B818B773B5}"/>
    <cellStyle name="20% - Akzent4 4 2 2" xfId="2926" xr:uid="{359BE84D-164E-4314-9FC4-FE6A55728C14}"/>
    <cellStyle name="20% - Akzent4 4 2 2 2" xfId="2927" xr:uid="{33F7A0DB-F69A-4960-89D2-57EF68BB6945}"/>
    <cellStyle name="20% - Akzent4 4 2 2 2 2" xfId="22421" xr:uid="{AE3D2CE2-61E5-4C6A-89FC-5E5506E211A0}"/>
    <cellStyle name="20% - Akzent4 4 2 2 3" xfId="22420" xr:uid="{80DB8302-03B2-418A-8B48-4EFDC58D6489}"/>
    <cellStyle name="20% - Akzent4 4 2 2 4" xfId="40869" xr:uid="{4AAE8A91-15AB-428A-934B-F8F5F8B8A4DE}"/>
    <cellStyle name="20% - Akzent4 4 2 3" xfId="41729" xr:uid="{92E30B10-3777-424C-BDC7-DBC34AC4FB9C}"/>
    <cellStyle name="20% - Akzent4 4 2 4" xfId="39923" xr:uid="{0F0A1C5D-8EE1-48CC-B75C-742454820F4A}"/>
    <cellStyle name="20% - Akzent4 4 20" xfId="2928" xr:uid="{63EDBE37-F0A3-4F27-A405-8C944F0A3215}"/>
    <cellStyle name="20% - Akzent4 4 20 2" xfId="2929" xr:uid="{D55571F8-55CB-4DDA-9FA2-F361C014B4FA}"/>
    <cellStyle name="20% - Akzent4 4 20 2 2" xfId="22423" xr:uid="{032FED2C-16C8-4338-A94B-92D8BFC4754A}"/>
    <cellStyle name="20% - Akzent4 4 20 3" xfId="22422" xr:uid="{5FCF3F87-BF95-46A1-BB4F-983E8AB36908}"/>
    <cellStyle name="20% - Akzent4 4 21" xfId="2930" xr:uid="{46BF3C9F-D0D3-47AD-B083-692A3777B124}"/>
    <cellStyle name="20% - Akzent4 4 21 2" xfId="2931" xr:uid="{52C80476-9FF6-41F1-A294-0958C323AFF9}"/>
    <cellStyle name="20% - Akzent4 4 21 2 2" xfId="22425" xr:uid="{E871DC29-046D-4E0E-8A66-4604179CBD0E}"/>
    <cellStyle name="20% - Akzent4 4 21 3" xfId="22424" xr:uid="{94DF8895-3A1E-41BF-A6E1-E0AFD98A3924}"/>
    <cellStyle name="20% - Akzent4 4 22" xfId="2932" xr:uid="{38718F43-452E-4576-8AEA-F22028D5B7E8}"/>
    <cellStyle name="20% - Akzent4 4 22 2" xfId="22426" xr:uid="{A36181D9-41E0-4B67-882D-BBC2E9178FE3}"/>
    <cellStyle name="20% - Akzent4 4 23" xfId="2933" xr:uid="{4CB95217-2069-42B0-B05F-89D9CED43592}"/>
    <cellStyle name="20% - Akzent4 4 23 2" xfId="22427" xr:uid="{4F8D8EF3-045B-464B-BF9E-4B2D190695A6}"/>
    <cellStyle name="20% - Akzent4 4 24" xfId="22399" xr:uid="{27622B01-A984-4416-B384-1547F67127BF}"/>
    <cellStyle name="20% - Akzent4 4 25" xfId="39291" xr:uid="{05DA8790-031E-4376-92AB-38B4EC24BC86}"/>
    <cellStyle name="20% - Akzent4 4 26" xfId="2904" xr:uid="{99A07B99-927D-4323-B6F0-E5273C1A38E6}"/>
    <cellStyle name="20% - Akzent4 4 3" xfId="2934" xr:uid="{0A9C20DF-F548-46E8-90D7-BB023D9ADFE4}"/>
    <cellStyle name="20% - Akzent4 4 3 2" xfId="2935" xr:uid="{98EB109A-E0A4-43BB-AF28-3418A3E9F06F}"/>
    <cellStyle name="20% - Akzent4 4 3 2 2" xfId="22429" xr:uid="{C892EEA5-0D16-4689-9D7E-8AF94F287AAE}"/>
    <cellStyle name="20% - Akzent4 4 3 2 3" xfId="40868" xr:uid="{8EC74E97-CD9F-4E8D-9B6D-C849C15C8F8E}"/>
    <cellStyle name="20% - Akzent4 4 3 3" xfId="22428" xr:uid="{7BB92679-3DCC-4E9C-BD67-5D354D6D669E}"/>
    <cellStyle name="20% - Akzent4 4 3 3 2" xfId="41728" xr:uid="{743C1CA2-D633-47B3-85AC-B0FA69FF3246}"/>
    <cellStyle name="20% - Akzent4 4 3 4" xfId="39922" xr:uid="{33292DAC-D94B-4BF9-AF52-DAAA7A70F865}"/>
    <cellStyle name="20% - Akzent4 4 4" xfId="2936" xr:uid="{2CD2BB04-B887-4CCC-8967-A80D8615A052}"/>
    <cellStyle name="20% - Akzent4 4 4 2" xfId="2937" xr:uid="{16FA5563-1D73-4D00-85CE-F9A5A01F59DD}"/>
    <cellStyle name="20% - Akzent4 4 4 2 2" xfId="22431" xr:uid="{8DD848EA-64B1-4DE7-A804-7B63A7C0C334}"/>
    <cellStyle name="20% - Akzent4 4 4 3" xfId="22430" xr:uid="{A260DED5-CD78-448B-8F6A-D092DDC07925}"/>
    <cellStyle name="20% - Akzent4 4 4 4" xfId="40445" xr:uid="{EA743DD2-FE46-4387-A986-C1EF4CDB5614}"/>
    <cellStyle name="20% - Akzent4 4 5" xfId="2938" xr:uid="{E1002A65-7C58-4D6C-99AF-946E5A9C5462}"/>
    <cellStyle name="20% - Akzent4 4 5 2" xfId="2939" xr:uid="{F4579C07-3D7F-47B3-8752-5ADD90D7E019}"/>
    <cellStyle name="20% - Akzent4 4 5 2 2" xfId="22433" xr:uid="{ED394189-62AB-401D-9F70-D4B18A28F609}"/>
    <cellStyle name="20% - Akzent4 4 5 3" xfId="22432" xr:uid="{D70A7C7D-A8D1-46D4-A30D-B561B0546CA6}"/>
    <cellStyle name="20% - Akzent4 4 5 4" xfId="41305" xr:uid="{8905E8AA-DCF4-43CA-A503-89CFFDD11582}"/>
    <cellStyle name="20% - Akzent4 4 6" xfId="2940" xr:uid="{5F38D3DA-99E0-4067-96AD-04527BCCDB13}"/>
    <cellStyle name="20% - Akzent4 4 6 2" xfId="2941" xr:uid="{4E445764-FCA4-435E-A0CF-B60D0A6AD0BA}"/>
    <cellStyle name="20% - Akzent4 4 6 2 2" xfId="22435" xr:uid="{3702A198-DA15-4AFB-854E-5A433ACBA3E1}"/>
    <cellStyle name="20% - Akzent4 4 6 3" xfId="22434" xr:uid="{0E9D5525-7DCC-4EDF-9029-C2D08E863B21}"/>
    <cellStyle name="20% - Akzent4 4 7" xfId="2942" xr:uid="{15D40BC3-7D9A-4D08-8806-FA132AF62903}"/>
    <cellStyle name="20% - Akzent4 4 7 2" xfId="2943" xr:uid="{9CB78B63-8705-4554-ADB3-0E316EC6A6F7}"/>
    <cellStyle name="20% - Akzent4 4 7 2 2" xfId="22437" xr:uid="{EA7FF97B-A881-453D-810F-8C051EF5DDC4}"/>
    <cellStyle name="20% - Akzent4 4 7 3" xfId="22436" xr:uid="{740663EC-BA33-4538-84C4-12A01E00EAD0}"/>
    <cellStyle name="20% - Akzent4 4 8" xfId="2944" xr:uid="{A9182F96-70CE-4DB4-8559-3E5DB8C94818}"/>
    <cellStyle name="20% - Akzent4 4 8 2" xfId="2945" xr:uid="{A5AD9B96-F731-4807-A4F3-8C5DDE2EA968}"/>
    <cellStyle name="20% - Akzent4 4 8 2 2" xfId="22439" xr:uid="{12E9D73B-7967-45BB-BB35-41C380C50E6B}"/>
    <cellStyle name="20% - Akzent4 4 8 3" xfId="22438" xr:uid="{0B874E9B-D4FE-4D9D-B7AD-AFD7FB84CEC7}"/>
    <cellStyle name="20% - Akzent4 4 9" xfId="2946" xr:uid="{48B8495D-8FA6-48D2-ABC8-466BE6A37CFF}"/>
    <cellStyle name="20% - Akzent4 4 9 2" xfId="2947" xr:uid="{05E137AE-9EBF-4CB3-840B-6F0C61597372}"/>
    <cellStyle name="20% - Akzent4 4 9 2 2" xfId="22441" xr:uid="{4245CE18-4307-45C9-B033-353CF9132D5F}"/>
    <cellStyle name="20% - Akzent4 4 9 3" xfId="22440" xr:uid="{39AD41ED-EB88-4C5F-AE68-C229C8005FD8}"/>
    <cellStyle name="20% - Akzent4 40" xfId="2948" xr:uid="{B6098A29-010C-4323-8ED5-774D25D61B17}"/>
    <cellStyle name="20% - Akzent4 40 2" xfId="2949" xr:uid="{599642B7-BD31-40D3-8E82-BFE4993612AA}"/>
    <cellStyle name="20% - Akzent4 40 2 2" xfId="22443" xr:uid="{21D966D8-320F-42D9-9627-E59D2F298D41}"/>
    <cellStyle name="20% - Akzent4 40 3" xfId="22442" xr:uid="{7CC1A0B9-3514-47FE-83F2-74F71279B43E}"/>
    <cellStyle name="20% - Akzent4 41" xfId="2950" xr:uid="{27FCB415-A041-4137-AFED-1CC5D2508F07}"/>
    <cellStyle name="20% - Akzent4 41 2" xfId="2951" xr:uid="{DF5B2F42-0A6B-45C6-8FB9-F8A6A52BC123}"/>
    <cellStyle name="20% - Akzent4 41 2 2" xfId="22445" xr:uid="{7B9DE9A4-A18B-47C6-83F6-D7454904BCB3}"/>
    <cellStyle name="20% - Akzent4 41 3" xfId="22444" xr:uid="{AAAA1F8C-5B9D-4637-875C-2BFCC992F41C}"/>
    <cellStyle name="20% - Akzent4 42" xfId="2952" xr:uid="{EC50C1A3-C73D-4F0D-8C01-D9A2FA7A7AC1}"/>
    <cellStyle name="20% - Akzent4 42 2" xfId="2953" xr:uid="{AFEEBBF3-01F9-4F58-9212-F980F71F373F}"/>
    <cellStyle name="20% - Akzent4 42 2 2" xfId="22447" xr:uid="{F2DBD4D3-C2C4-451C-838B-A60541A392DE}"/>
    <cellStyle name="20% - Akzent4 42 3" xfId="22446" xr:uid="{558FFB10-536F-4078-916F-DF302D819864}"/>
    <cellStyle name="20% - Akzent4 43" xfId="2954" xr:uid="{344D5693-F86A-40A6-9E1D-225ADB3FF7F1}"/>
    <cellStyle name="20% - Akzent4 43 2" xfId="2955" xr:uid="{080FDA2F-170E-408B-B4A6-4AFAE452E1D6}"/>
    <cellStyle name="20% - Akzent4 43 2 2" xfId="22449" xr:uid="{0C6D1AF1-28D4-49CA-BEB6-43E7593F75E9}"/>
    <cellStyle name="20% - Akzent4 43 3" xfId="22448" xr:uid="{B265444F-3344-4F84-9260-6BC3FDA45705}"/>
    <cellStyle name="20% - Akzent4 44" xfId="2956" xr:uid="{BA6F2DCB-DDC0-4E51-BEBC-648D6F4A2614}"/>
    <cellStyle name="20% - Akzent4 44 2" xfId="2957" xr:uid="{D89D9E0B-58BD-4505-A5C8-11756E65D275}"/>
    <cellStyle name="20% - Akzent4 44 2 2" xfId="22451" xr:uid="{C0ADF78E-54BB-44A8-AC3A-13723657029D}"/>
    <cellStyle name="20% - Akzent4 44 3" xfId="22450" xr:uid="{8B9A9A41-DDDA-4F48-BDA3-EAFD7D7FD079}"/>
    <cellStyle name="20% - Akzent4 45" xfId="2958" xr:uid="{AB1FF78B-2886-4F7D-987F-9E7681971C2A}"/>
    <cellStyle name="20% - Akzent4 45 2" xfId="2959" xr:uid="{4DA3EC89-FCEE-4353-803D-19A4FBD3E0F5}"/>
    <cellStyle name="20% - Akzent4 45 2 2" xfId="22453" xr:uid="{C12F09EE-E031-4EEB-8D1F-FC71ACCFD9CF}"/>
    <cellStyle name="20% - Akzent4 45 3" xfId="22452" xr:uid="{0263C57D-EB58-4677-89E9-D224705A62D2}"/>
    <cellStyle name="20% - Akzent4 46" xfId="2960" xr:uid="{CA922B7E-3557-455B-AE03-2EC44B63D787}"/>
    <cellStyle name="20% - Akzent4 46 2" xfId="2961" xr:uid="{C07683A0-CAD5-45E3-9AD4-64F8A4E3F176}"/>
    <cellStyle name="20% - Akzent4 46 2 2" xfId="22455" xr:uid="{2CE4679A-F259-4651-A1F3-DF2C171638D4}"/>
    <cellStyle name="20% - Akzent4 46 3" xfId="22454" xr:uid="{39F59B5A-5CCC-4777-9AB7-3EBF0DFCFDFD}"/>
    <cellStyle name="20% - Akzent4 47" xfId="2962" xr:uid="{EBB2CACD-FC57-4AD8-B64C-8784086CB7EF}"/>
    <cellStyle name="20% - Akzent4 47 2" xfId="2963" xr:uid="{F95E3A94-DBC7-4604-8E73-33A362DD6908}"/>
    <cellStyle name="20% - Akzent4 47 2 2" xfId="22457" xr:uid="{D74E1D86-E72E-44A6-B477-C40463D5BE39}"/>
    <cellStyle name="20% - Akzent4 47 3" xfId="22456" xr:uid="{F7E8B85C-DC48-46B6-8B9D-62F6555B1B72}"/>
    <cellStyle name="20% - Akzent4 48" xfId="2964" xr:uid="{7D10EDEE-D2ED-4C97-9C20-945ECA296B37}"/>
    <cellStyle name="20% - Akzent4 48 2" xfId="2965" xr:uid="{918AD5B9-E00F-46DD-8E94-9911B643015D}"/>
    <cellStyle name="20% - Akzent4 48 2 2" xfId="22459" xr:uid="{43FAE690-A10C-4697-8954-D5C4B0AFA5BE}"/>
    <cellStyle name="20% - Akzent4 48 3" xfId="22458" xr:uid="{C21A4458-04B2-47AF-BE77-4C26FF88B90F}"/>
    <cellStyle name="20% - Akzent4 49" xfId="2966" xr:uid="{D03C2860-C216-4630-A8B4-D2BC41A69221}"/>
    <cellStyle name="20% - Akzent4 49 2" xfId="2967" xr:uid="{6D6276B0-F92B-41CE-A96D-A93AF19EFA77}"/>
    <cellStyle name="20% - Akzent4 49 2 2" xfId="22461" xr:uid="{05B4A1AB-0E2C-470B-ADC6-52CF07CE8700}"/>
    <cellStyle name="20% - Akzent4 49 3" xfId="22460" xr:uid="{ECDCD9D0-C5E1-42F6-AF6E-26356EE59A32}"/>
    <cellStyle name="20% - Akzent4 5" xfId="2968" xr:uid="{84D04441-E1BF-4646-900B-893DD90E6761}"/>
    <cellStyle name="20% - Akzent4 5 10" xfId="2969" xr:uid="{4CE10D22-60DD-40AE-9EF2-0FB9B6D21552}"/>
    <cellStyle name="20% - Akzent4 5 10 2" xfId="2970" xr:uid="{597A35FD-5720-4073-ABE3-EA98402224DD}"/>
    <cellStyle name="20% - Akzent4 5 10 2 2" xfId="22464" xr:uid="{025ECADD-D1B9-4CBC-8692-194F5F8E1193}"/>
    <cellStyle name="20% - Akzent4 5 10 3" xfId="22463" xr:uid="{65CE3635-A438-4633-8144-F04E9928C6E0}"/>
    <cellStyle name="20% - Akzent4 5 11" xfId="2971" xr:uid="{5E3DBAA5-9DE1-481E-AD86-4955BA475188}"/>
    <cellStyle name="20% - Akzent4 5 11 2" xfId="2972" xr:uid="{C27225FF-538B-437E-BDAD-4D3C9EC8C4A3}"/>
    <cellStyle name="20% - Akzent4 5 11 2 2" xfId="22466" xr:uid="{466D3355-0410-43F7-9E98-9E3067EB4B58}"/>
    <cellStyle name="20% - Akzent4 5 11 3" xfId="22465" xr:uid="{FF5BFB14-D5FE-402C-8724-0DB4DC6DBD8E}"/>
    <cellStyle name="20% - Akzent4 5 12" xfId="2973" xr:uid="{CD084F67-2095-4A59-AEBE-4C27DF2584B0}"/>
    <cellStyle name="20% - Akzent4 5 12 2" xfId="2974" xr:uid="{B8D13B20-712C-4EA4-A621-DBFD11BAFBB5}"/>
    <cellStyle name="20% - Akzent4 5 12 2 2" xfId="22468" xr:uid="{B10A83DA-B9BB-47BD-895B-022FE3F0A3C9}"/>
    <cellStyle name="20% - Akzent4 5 12 3" xfId="22467" xr:uid="{909342DE-8948-4B4A-BCE2-00976C729856}"/>
    <cellStyle name="20% - Akzent4 5 13" xfId="2975" xr:uid="{C9A323F1-5B37-4DCF-B2C3-2BC0CF15ED2E}"/>
    <cellStyle name="20% - Akzent4 5 13 2" xfId="2976" xr:uid="{353A607D-44EC-48FC-8193-61CA438CC844}"/>
    <cellStyle name="20% - Akzent4 5 13 2 2" xfId="22470" xr:uid="{6A8D9F8D-8DF0-47C4-AC47-02F8D84339EA}"/>
    <cellStyle name="20% - Akzent4 5 13 3" xfId="22469" xr:uid="{24A03EFF-64F7-4361-8A73-41C19D7EF850}"/>
    <cellStyle name="20% - Akzent4 5 14" xfId="2977" xr:uid="{82F39FBA-F029-4358-B51B-5ACBCB6B582B}"/>
    <cellStyle name="20% - Akzent4 5 14 2" xfId="2978" xr:uid="{441C0E95-A965-4A2C-BDDC-E35F18A0C6A0}"/>
    <cellStyle name="20% - Akzent4 5 14 2 2" xfId="22472" xr:uid="{0E925BF6-166A-426C-9E35-67FBA8819A6A}"/>
    <cellStyle name="20% - Akzent4 5 14 3" xfId="22471" xr:uid="{21267538-866A-4694-B85A-B859728216A9}"/>
    <cellStyle name="20% - Akzent4 5 15" xfId="2979" xr:uid="{30BACD1C-F9D5-46A4-A61F-CD0A08159BF4}"/>
    <cellStyle name="20% - Akzent4 5 15 2" xfId="2980" xr:uid="{3B82957C-C4D6-438A-8ACE-48DCDD167671}"/>
    <cellStyle name="20% - Akzent4 5 15 2 2" xfId="22474" xr:uid="{60DEB04C-E34F-4154-97AB-561C9DEEDD11}"/>
    <cellStyle name="20% - Akzent4 5 15 3" xfId="22473" xr:uid="{BB5D444D-1EF8-4D6B-A0D2-C44D5EC00974}"/>
    <cellStyle name="20% - Akzent4 5 16" xfId="2981" xr:uid="{549E1E57-6B9A-4390-9E16-AD4E2157E661}"/>
    <cellStyle name="20% - Akzent4 5 16 2" xfId="2982" xr:uid="{5AA63A48-DA58-4968-BB70-B2723B393D5B}"/>
    <cellStyle name="20% - Akzent4 5 16 2 2" xfId="22476" xr:uid="{E89C0DC7-68C5-4851-9C03-A93A7961DC66}"/>
    <cellStyle name="20% - Akzent4 5 16 3" xfId="22475" xr:uid="{F5DA08A8-9F2F-42A0-8DF9-6D5099575178}"/>
    <cellStyle name="20% - Akzent4 5 17" xfId="2983" xr:uid="{A1557A88-320E-40CF-AD10-46B3460DDE23}"/>
    <cellStyle name="20% - Akzent4 5 17 2" xfId="2984" xr:uid="{D6E90326-22B8-41B7-AAF6-B474E7DB8FC1}"/>
    <cellStyle name="20% - Akzent4 5 17 2 2" xfId="22478" xr:uid="{D736A512-8B30-484B-A3E0-028D897F75D6}"/>
    <cellStyle name="20% - Akzent4 5 17 3" xfId="22477" xr:uid="{51BDB9D1-604E-41E3-95CC-07DD346A011D}"/>
    <cellStyle name="20% - Akzent4 5 18" xfId="2985" xr:uid="{635397BE-5CF6-42F4-AC74-4AE4DC5A85E7}"/>
    <cellStyle name="20% - Akzent4 5 18 2" xfId="2986" xr:uid="{176E89F4-3C2A-480A-A0FC-473654DD269D}"/>
    <cellStyle name="20% - Akzent4 5 18 2 2" xfId="22480" xr:uid="{28C37889-C839-42A0-81ED-1172C0B2C9EC}"/>
    <cellStyle name="20% - Akzent4 5 18 3" xfId="22479" xr:uid="{4B2C58C1-1570-465C-94FF-5A674BC975F8}"/>
    <cellStyle name="20% - Akzent4 5 19" xfId="2987" xr:uid="{F5CFBB7C-BA23-4DCB-B31F-B4D7C59AFBC7}"/>
    <cellStyle name="20% - Akzent4 5 19 2" xfId="2988" xr:uid="{C7F778AC-1E59-4C7E-96E5-E50DB2E875E2}"/>
    <cellStyle name="20% - Akzent4 5 19 2 2" xfId="22482" xr:uid="{BC60D222-3908-405B-BF8F-C27B5C8E06A1}"/>
    <cellStyle name="20% - Akzent4 5 19 3" xfId="22481" xr:uid="{ED826171-900D-462C-9849-62E1B0FFB8D7}"/>
    <cellStyle name="20% - Akzent4 5 2" xfId="2989" xr:uid="{D959CDD8-6108-4894-B16F-F496E2488354}"/>
    <cellStyle name="20% - Akzent4 5 2 2" xfId="2990" xr:uid="{A0C03974-4ADE-4F3A-AF9D-7175A858348A}"/>
    <cellStyle name="20% - Akzent4 5 2 2 2" xfId="22484" xr:uid="{49FDF239-D691-4BDF-8EF4-B815D23216B3}"/>
    <cellStyle name="20% - Akzent4 5 2 3" xfId="22483" xr:uid="{2C32AD73-B7E2-4AF3-AACC-829805153720}"/>
    <cellStyle name="20% - Akzent4 5 20" xfId="2991" xr:uid="{2D1E4D7A-BBFA-4C35-9208-114768C5A583}"/>
    <cellStyle name="20% - Akzent4 5 20 2" xfId="2992" xr:uid="{2E212849-AF83-4C9B-B884-55229F168DD6}"/>
    <cellStyle name="20% - Akzent4 5 20 2 2" xfId="22486" xr:uid="{5581D3A1-88FA-4CB8-ACBE-1DED0BF2AC05}"/>
    <cellStyle name="20% - Akzent4 5 20 3" xfId="22485" xr:uid="{4B5F416B-4C23-48F1-915F-EAB92758E9D6}"/>
    <cellStyle name="20% - Akzent4 5 21" xfId="2993" xr:uid="{25D839FB-166E-482B-9FA3-53C242617C82}"/>
    <cellStyle name="20% - Akzent4 5 21 2" xfId="2994" xr:uid="{196DF42A-68DD-44BC-9559-21A664E93717}"/>
    <cellStyle name="20% - Akzent4 5 21 2 2" xfId="22488" xr:uid="{4354CC1C-066A-4909-ADD8-0D978A75FF7D}"/>
    <cellStyle name="20% - Akzent4 5 21 3" xfId="22487" xr:uid="{11CB2A1A-7EBA-49C4-B82A-95DDB4C2AD7E}"/>
    <cellStyle name="20% - Akzent4 5 22" xfId="2995" xr:uid="{5DA8A700-EB06-4710-939A-D21DB6D67F93}"/>
    <cellStyle name="20% - Akzent4 5 22 2" xfId="22489" xr:uid="{A58E5977-8668-4CB3-BB3C-4D4097F1A209}"/>
    <cellStyle name="20% - Akzent4 5 23" xfId="2996" xr:uid="{25B782AC-9346-4361-9165-F4A152EDAEAD}"/>
    <cellStyle name="20% - Akzent4 5 23 2" xfId="22490" xr:uid="{8AAF2DFC-6DEA-455F-9BA3-DA7290C44D79}"/>
    <cellStyle name="20% - Akzent4 5 24" xfId="22462" xr:uid="{A12B6A60-7881-4265-A987-C54024F1178F}"/>
    <cellStyle name="20% - Akzent4 5 25" xfId="39292" xr:uid="{4D9765ED-90CA-4FA1-AED9-A37084B1DE9F}"/>
    <cellStyle name="20% - Akzent4 5 3" xfId="2997" xr:uid="{EFA493F3-68E7-4FF1-A6A9-07B58D106B53}"/>
    <cellStyle name="20% - Akzent4 5 3 2" xfId="2998" xr:uid="{1FD27CC8-3A83-45BE-BB2E-422735086031}"/>
    <cellStyle name="20% - Akzent4 5 3 2 2" xfId="22492" xr:uid="{D109DBEE-8C07-4042-A965-5F9862D22E89}"/>
    <cellStyle name="20% - Akzent4 5 3 3" xfId="22491" xr:uid="{99C9EEEE-4C47-430D-B33A-185E5CF1EE14}"/>
    <cellStyle name="20% - Akzent4 5 4" xfId="2999" xr:uid="{53A0A0A3-160B-44F5-BD73-9E8B633F3AE7}"/>
    <cellStyle name="20% - Akzent4 5 4 2" xfId="3000" xr:uid="{6033A000-02B6-48F1-BDCC-DEB2B0965E02}"/>
    <cellStyle name="20% - Akzent4 5 4 2 2" xfId="22494" xr:uid="{84887514-9F6E-410D-9590-7A2BC3240239}"/>
    <cellStyle name="20% - Akzent4 5 4 3" xfId="22493" xr:uid="{3D7906C3-3B3C-44DB-B673-FB00E3D42C55}"/>
    <cellStyle name="20% - Akzent4 5 5" xfId="3001" xr:uid="{3E1AC0AC-6857-4A2A-8672-5AED739086B9}"/>
    <cellStyle name="20% - Akzent4 5 5 2" xfId="3002" xr:uid="{910103E8-C1A6-484A-B997-86181495057A}"/>
    <cellStyle name="20% - Akzent4 5 5 2 2" xfId="22496" xr:uid="{7AD6AE62-BAFF-4F7F-9687-DB7134376AC5}"/>
    <cellStyle name="20% - Akzent4 5 5 3" xfId="22495" xr:uid="{7E90E925-F934-46C4-86AD-C8F28925295C}"/>
    <cellStyle name="20% - Akzent4 5 6" xfId="3003" xr:uid="{DC64523B-E93D-4600-BA93-64D73103B874}"/>
    <cellStyle name="20% - Akzent4 5 6 2" xfId="3004" xr:uid="{4A87E9C2-315B-4C2D-B83A-6A4BB5DA9E79}"/>
    <cellStyle name="20% - Akzent4 5 6 2 2" xfId="22498" xr:uid="{54EFF8EA-654C-48BC-AF3C-A58C2F8DFD7F}"/>
    <cellStyle name="20% - Akzent4 5 6 3" xfId="22497" xr:uid="{4BF67F45-CE10-4625-B32F-01AA85EA0E02}"/>
    <cellStyle name="20% - Akzent4 5 7" xfId="3005" xr:uid="{B71638E9-F248-4832-B8A9-AC148155652B}"/>
    <cellStyle name="20% - Akzent4 5 7 2" xfId="3006" xr:uid="{52FCA0F5-E315-4A11-9E6B-BEFA10460B9A}"/>
    <cellStyle name="20% - Akzent4 5 7 2 2" xfId="22500" xr:uid="{4E127666-B0B2-46C7-8E8A-A228551CB708}"/>
    <cellStyle name="20% - Akzent4 5 7 3" xfId="22499" xr:uid="{D43AED0F-68F7-40B8-A20B-21F6C9C2C21B}"/>
    <cellStyle name="20% - Akzent4 5 8" xfId="3007" xr:uid="{E0D87E3F-6469-4D09-B67A-044D41CFB6EE}"/>
    <cellStyle name="20% - Akzent4 5 8 2" xfId="3008" xr:uid="{D196DE0C-F04D-44BD-B77E-84678D51D29B}"/>
    <cellStyle name="20% - Akzent4 5 8 2 2" xfId="22502" xr:uid="{61CD44BB-2264-4E51-A806-52E79C7EAFC0}"/>
    <cellStyle name="20% - Akzent4 5 8 3" xfId="22501" xr:uid="{F358FFCE-E0B6-460D-9ED4-956C44524E52}"/>
    <cellStyle name="20% - Akzent4 5 9" xfId="3009" xr:uid="{7956D3FE-60EE-4041-84EA-820441B5A100}"/>
    <cellStyle name="20% - Akzent4 5 9 2" xfId="3010" xr:uid="{E30CAE3A-0774-480D-AC2A-05EC07335A99}"/>
    <cellStyle name="20% - Akzent4 5 9 2 2" xfId="22504" xr:uid="{315E75BE-6AC4-472E-AF2E-1E8E66B658CB}"/>
    <cellStyle name="20% - Akzent4 5 9 3" xfId="22503" xr:uid="{72B68069-D8C0-459B-A230-4E99B69F28C0}"/>
    <cellStyle name="20% - Akzent4 50" xfId="3011" xr:uid="{55DC9CD9-D6CA-4349-9C69-407E21D893AB}"/>
    <cellStyle name="20% - Akzent4 50 2" xfId="3012" xr:uid="{E341ACDC-7A02-4ABA-ABFB-D3247C658119}"/>
    <cellStyle name="20% - Akzent4 50 2 2" xfId="22506" xr:uid="{460A18E5-3355-4E2A-BCBD-4C90172960A0}"/>
    <cellStyle name="20% - Akzent4 50 3" xfId="22505" xr:uid="{A48EC052-D525-42F2-9AD1-E8FDAE955ABE}"/>
    <cellStyle name="20% - Akzent4 51" xfId="3013" xr:uid="{B88ECBE6-3D1B-45EC-BD27-9DD51FA46CF4}"/>
    <cellStyle name="20% - Akzent4 51 2" xfId="3014" xr:uid="{3600C9AD-A476-48AD-9117-B7962BA36DFC}"/>
    <cellStyle name="20% - Akzent4 51 2 2" xfId="22508" xr:uid="{45510D15-EBBB-4267-8B77-4A1BB5558112}"/>
    <cellStyle name="20% - Akzent4 51 3" xfId="22507" xr:uid="{1BD3A2CF-DDBC-4D39-9E50-A6C700030A39}"/>
    <cellStyle name="20% - Akzent4 52" xfId="3015" xr:uid="{89734FC6-F00E-43C1-86E5-6CEE20EC13FE}"/>
    <cellStyle name="20% - Akzent4 52 2" xfId="3016" xr:uid="{31D1AFA0-C62A-4E34-8F3B-A1FF7C17EF67}"/>
    <cellStyle name="20% - Akzent4 52 2 2" xfId="22510" xr:uid="{448F472E-4EFA-467F-A0AE-9FECC78CD1B2}"/>
    <cellStyle name="20% - Akzent4 52 3" xfId="22509" xr:uid="{A63B3E7C-6434-4C38-93AA-CA81912A067B}"/>
    <cellStyle name="20% - Akzent4 53" xfId="3017" xr:uid="{1D1837A3-6445-4C7E-AF80-3AFCCA3B1AF7}"/>
    <cellStyle name="20% - Akzent4 53 2" xfId="3018" xr:uid="{29ED7944-AC90-4BE8-86A1-5F9DFB8E46D3}"/>
    <cellStyle name="20% - Akzent4 53 2 2" xfId="22512" xr:uid="{9F6FAE0B-25EB-4A67-99A4-091763344CF8}"/>
    <cellStyle name="20% - Akzent4 53 3" xfId="22511" xr:uid="{194ACB7C-8A55-439E-AEFF-53FE4A9847F6}"/>
    <cellStyle name="20% - Akzent4 54" xfId="3019" xr:uid="{9300B623-6576-4ECC-B6FD-5BEF1740FDD6}"/>
    <cellStyle name="20% - Akzent4 54 2" xfId="3020" xr:uid="{BCFAAA24-FFF1-479C-B6F8-E8DB914F590D}"/>
    <cellStyle name="20% - Akzent4 54 2 2" xfId="22514" xr:uid="{6C76410B-BE79-4067-B2ED-1E20F97A4BD4}"/>
    <cellStyle name="20% - Akzent4 54 3" xfId="22513" xr:uid="{FD3C3FBC-A053-41FD-B061-05EBE0045C7C}"/>
    <cellStyle name="20% - Akzent4 55" xfId="3021" xr:uid="{05A0EBDE-774C-412C-A170-CC323F0862FE}"/>
    <cellStyle name="20% - Akzent4 55 2" xfId="3022" xr:uid="{D33EE001-C3DB-41E6-B766-E4D8C15D2877}"/>
    <cellStyle name="20% - Akzent4 55 2 2" xfId="22516" xr:uid="{A5DCCB8B-48EF-48BF-B399-76D94E448A56}"/>
    <cellStyle name="20% - Akzent4 55 3" xfId="22515" xr:uid="{7CEFA5CD-5395-45D1-9111-609EE810BEAE}"/>
    <cellStyle name="20% - Akzent4 56" xfId="3023" xr:uid="{4D7C6E5F-FD59-44D1-BADD-6C5544BB97C1}"/>
    <cellStyle name="20% - Akzent4 56 2" xfId="3024" xr:uid="{B7B3CFBF-3CD9-406D-91EE-890625B7B0AC}"/>
    <cellStyle name="20% - Akzent4 56 2 2" xfId="22518" xr:uid="{A60F2A41-8D2E-44C5-A897-8F1AA3A10BE6}"/>
    <cellStyle name="20% - Akzent4 56 3" xfId="22517" xr:uid="{91C1F6BA-B8A7-40CC-9C56-697A3DD65A96}"/>
    <cellStyle name="20% - Akzent4 57" xfId="3025" xr:uid="{B6894D92-7917-4A8E-856C-BDC1136B4E29}"/>
    <cellStyle name="20% - Akzent4 57 2" xfId="3026" xr:uid="{FA01EEC4-3137-4C5D-B704-C10565F59AEB}"/>
    <cellStyle name="20% - Akzent4 57 2 2" xfId="22520" xr:uid="{CBA4731B-B77B-4F30-B305-1A4B5C9F9A82}"/>
    <cellStyle name="20% - Akzent4 57 3" xfId="22519" xr:uid="{F5868061-9232-4AF9-B950-C189E7E6E0D5}"/>
    <cellStyle name="20% - Akzent4 58" xfId="3027" xr:uid="{EE0783D6-176D-430A-8A23-8EE8509A55A8}"/>
    <cellStyle name="20% - Akzent4 58 2" xfId="3028" xr:uid="{50172CBC-F3E1-4409-A053-9137D963DAFF}"/>
    <cellStyle name="20% - Akzent4 58 2 2" xfId="22522" xr:uid="{93AEF77E-AF11-4041-8AF4-CE518AA3703A}"/>
    <cellStyle name="20% - Akzent4 58 3" xfId="22521" xr:uid="{17AFCBD8-0667-44EC-B772-85127775F19C}"/>
    <cellStyle name="20% - Akzent4 59" xfId="3029" xr:uid="{C1A32DDD-8304-47D1-BF19-9CF01211A872}"/>
    <cellStyle name="20% - Akzent4 59 2" xfId="3030" xr:uid="{78999F1B-3618-4806-A4A5-4BA5956DE768}"/>
    <cellStyle name="20% - Akzent4 59 2 2" xfId="22524" xr:uid="{0F5D729B-AA63-45F5-9051-405498EF5718}"/>
    <cellStyle name="20% - Akzent4 59 3" xfId="22523" xr:uid="{B993E238-FF2C-40AB-BCA9-B662A2763B4B}"/>
    <cellStyle name="20% - Akzent4 6" xfId="3031" xr:uid="{D9206BB9-4DB6-4362-8F99-FA936B174423}"/>
    <cellStyle name="20% - Akzent4 6 10" xfId="3032" xr:uid="{7D2E57B2-287E-4F6F-89A2-DB98E42CF096}"/>
    <cellStyle name="20% - Akzent4 6 10 2" xfId="3033" xr:uid="{36C2641C-3507-4D80-8888-03E8AE5FF64E}"/>
    <cellStyle name="20% - Akzent4 6 10 2 2" xfId="22527" xr:uid="{CA396D1C-2A5E-4DC0-82F7-D1743BD1F858}"/>
    <cellStyle name="20% - Akzent4 6 10 3" xfId="22526" xr:uid="{7604AC20-E83A-4F31-90B8-8AA9AD699B45}"/>
    <cellStyle name="20% - Akzent4 6 11" xfId="3034" xr:uid="{65051781-9019-421A-BFCF-583EE6B6D063}"/>
    <cellStyle name="20% - Akzent4 6 11 2" xfId="3035" xr:uid="{E03BE677-FCA1-41E5-8D48-019911A81BEB}"/>
    <cellStyle name="20% - Akzent4 6 11 2 2" xfId="22529" xr:uid="{BCB05B5A-5ED0-4D49-8B86-AA9F1CFCCB2D}"/>
    <cellStyle name="20% - Akzent4 6 11 3" xfId="22528" xr:uid="{2F9E34F2-0AA5-488D-8C3F-98D974E98A98}"/>
    <cellStyle name="20% - Akzent4 6 12" xfId="3036" xr:uid="{1F7435E1-2535-4CCC-825B-59BD4B9F51FC}"/>
    <cellStyle name="20% - Akzent4 6 12 2" xfId="3037" xr:uid="{9FA9B942-C4FB-48D2-88BF-5B4DF72DAB0A}"/>
    <cellStyle name="20% - Akzent4 6 12 2 2" xfId="22531" xr:uid="{2C07CD90-0829-46BD-A0D9-8D92F5BAB800}"/>
    <cellStyle name="20% - Akzent4 6 12 3" xfId="22530" xr:uid="{ED16C6CC-AF7C-4E6B-A8AB-2AC2FD81FB08}"/>
    <cellStyle name="20% - Akzent4 6 13" xfId="3038" xr:uid="{62085056-881E-4C1E-BF0D-F26FFB7438AE}"/>
    <cellStyle name="20% - Akzent4 6 13 2" xfId="3039" xr:uid="{FF78D0BD-7C32-43F7-B47D-7B0A5C35FBE4}"/>
    <cellStyle name="20% - Akzent4 6 13 2 2" xfId="22533" xr:uid="{B5B0906F-663F-4AF9-AF6A-9D7F9B05021C}"/>
    <cellStyle name="20% - Akzent4 6 13 3" xfId="22532" xr:uid="{592F2428-9171-4034-8344-CAEFAF68B9A0}"/>
    <cellStyle name="20% - Akzent4 6 14" xfId="3040" xr:uid="{55F45DBA-E5EB-459D-A3E1-61E89A7F463C}"/>
    <cellStyle name="20% - Akzent4 6 14 2" xfId="3041" xr:uid="{D331F14D-60CC-47A2-9CF6-8DA25ABBB006}"/>
    <cellStyle name="20% - Akzent4 6 14 2 2" xfId="22535" xr:uid="{B7BD135A-A2DD-4B63-BC30-63888504415C}"/>
    <cellStyle name="20% - Akzent4 6 14 3" xfId="22534" xr:uid="{D13E5494-396A-4170-B0DB-C07AAB58B7F7}"/>
    <cellStyle name="20% - Akzent4 6 15" xfId="3042" xr:uid="{87DD6F1E-3C18-4890-B494-E5BA11183CC9}"/>
    <cellStyle name="20% - Akzent4 6 15 2" xfId="3043" xr:uid="{C2D6872B-BA75-4102-9152-933A97FEC3FD}"/>
    <cellStyle name="20% - Akzent4 6 15 2 2" xfId="22537" xr:uid="{6B55D15E-0DDB-4387-9039-027A043AAE5C}"/>
    <cellStyle name="20% - Akzent4 6 15 3" xfId="22536" xr:uid="{D4C282DB-BA4C-4CC2-B19A-966A8842D3FE}"/>
    <cellStyle name="20% - Akzent4 6 16" xfId="3044" xr:uid="{0FFCFDE4-B081-4525-AB74-3046053A674A}"/>
    <cellStyle name="20% - Akzent4 6 16 2" xfId="3045" xr:uid="{21AA80A5-043F-4C26-A909-4EA326880463}"/>
    <cellStyle name="20% - Akzent4 6 16 2 2" xfId="22539" xr:uid="{BCBF07D9-E66C-4310-8F39-032F92228B98}"/>
    <cellStyle name="20% - Akzent4 6 16 3" xfId="22538" xr:uid="{78DE2993-30DB-463F-962A-C73D224A22F9}"/>
    <cellStyle name="20% - Akzent4 6 17" xfId="3046" xr:uid="{2972C3D2-4A90-4B3F-86B6-E6F0685684AB}"/>
    <cellStyle name="20% - Akzent4 6 17 2" xfId="3047" xr:uid="{D4D3BFF4-6E46-4995-A54C-25FE1ED27B3B}"/>
    <cellStyle name="20% - Akzent4 6 17 2 2" xfId="22541" xr:uid="{F94CC1DD-6F09-458C-8BA5-A7C1A481CD63}"/>
    <cellStyle name="20% - Akzent4 6 17 3" xfId="22540" xr:uid="{C372A25C-E1DA-4BD7-91A5-C203F60AA733}"/>
    <cellStyle name="20% - Akzent4 6 18" xfId="3048" xr:uid="{2E378207-9759-4EE5-B86E-2A4C1C1AE921}"/>
    <cellStyle name="20% - Akzent4 6 18 2" xfId="3049" xr:uid="{8E12ACB4-76DD-41C6-A6A6-083C526882C4}"/>
    <cellStyle name="20% - Akzent4 6 18 2 2" xfId="22543" xr:uid="{5016608F-A2F8-4DA9-85C2-EF8D6C555364}"/>
    <cellStyle name="20% - Akzent4 6 18 3" xfId="22542" xr:uid="{56D46B43-D301-490E-9C64-486034C25CA3}"/>
    <cellStyle name="20% - Akzent4 6 19" xfId="3050" xr:uid="{E9FC64C6-F547-4D42-B6B3-99D214FE3DC5}"/>
    <cellStyle name="20% - Akzent4 6 19 2" xfId="3051" xr:uid="{8ED8F15E-2B5B-4A87-98C6-0B4225CA545B}"/>
    <cellStyle name="20% - Akzent4 6 19 2 2" xfId="22545" xr:uid="{A2F3173C-9A97-4475-BC3B-531E90571F35}"/>
    <cellStyle name="20% - Akzent4 6 19 3" xfId="22544" xr:uid="{D300D4F0-ACDA-4EC8-A3B7-CBEC83670592}"/>
    <cellStyle name="20% - Akzent4 6 2" xfId="3052" xr:uid="{A166D84B-4360-4744-8DD7-670D37D6B304}"/>
    <cellStyle name="20% - Akzent4 6 20" xfId="3053" xr:uid="{9439D282-3075-4FAA-9E15-16A339738FAB}"/>
    <cellStyle name="20% - Akzent4 6 20 2" xfId="3054" xr:uid="{B9BFBE70-5762-477A-8568-045D60423C05}"/>
    <cellStyle name="20% - Akzent4 6 20 2 2" xfId="22547" xr:uid="{8381F688-166D-44B7-9F40-48B0A55C0178}"/>
    <cellStyle name="20% - Akzent4 6 20 3" xfId="22546" xr:uid="{389B9AD5-2DA1-4D45-8119-F40B868A3D43}"/>
    <cellStyle name="20% - Akzent4 6 21" xfId="3055" xr:uid="{F8D61917-52A2-4DC7-A036-03C5C8F4FB69}"/>
    <cellStyle name="20% - Akzent4 6 21 2" xfId="3056" xr:uid="{F5E26B14-B5ED-4EB9-8441-3EA20B9F07E6}"/>
    <cellStyle name="20% - Akzent4 6 21 2 2" xfId="22549" xr:uid="{EAC001AD-809B-44D3-940F-87068D4F1D21}"/>
    <cellStyle name="20% - Akzent4 6 21 3" xfId="22548" xr:uid="{C8CC225E-4736-461E-B6CB-828B5E8ECD33}"/>
    <cellStyle name="20% - Akzent4 6 22" xfId="3057" xr:uid="{8D0FCCC5-8CF6-4744-B280-9B61678354D2}"/>
    <cellStyle name="20% - Akzent4 6 22 2" xfId="22550" xr:uid="{19B7D983-983A-4F2B-BBA5-C700097A49AD}"/>
    <cellStyle name="20% - Akzent4 6 23" xfId="3058" xr:uid="{A4D961CE-DA1E-46B7-9FA4-9E887F978A38}"/>
    <cellStyle name="20% - Akzent4 6 23 2" xfId="22551" xr:uid="{29FF72EF-4946-4406-8A30-A12B2E86F521}"/>
    <cellStyle name="20% - Akzent4 6 24" xfId="22525" xr:uid="{821DD44B-79E8-4A94-8BEB-09C8083D41AE}"/>
    <cellStyle name="20% - Akzent4 6 3" xfId="3059" xr:uid="{9219C7C2-740A-4D15-892E-81F0ABDC99C1}"/>
    <cellStyle name="20% - Akzent4 6 3 2" xfId="3060" xr:uid="{9D74368A-F16A-40DB-8FFD-4AC6D769CC5F}"/>
    <cellStyle name="20% - Akzent4 6 3 2 2" xfId="22553" xr:uid="{0D68F426-D88C-4B2B-BCD4-9C50EDBA998E}"/>
    <cellStyle name="20% - Akzent4 6 3 3" xfId="22552" xr:uid="{217F44D7-FBA1-4F05-8902-6A8FA06F0987}"/>
    <cellStyle name="20% - Akzent4 6 4" xfId="3061" xr:uid="{D3F81419-997E-4100-909C-ABAABF28EA28}"/>
    <cellStyle name="20% - Akzent4 6 4 2" xfId="3062" xr:uid="{F08F6702-DD33-4E12-A9B2-180E47AA9E11}"/>
    <cellStyle name="20% - Akzent4 6 4 2 2" xfId="22555" xr:uid="{6C18DAF4-41FE-4869-88C1-175FB522E8C4}"/>
    <cellStyle name="20% - Akzent4 6 4 3" xfId="22554" xr:uid="{78F586C6-3FD0-45F7-BDEB-5E4BCDBDE506}"/>
    <cellStyle name="20% - Akzent4 6 5" xfId="3063" xr:uid="{81038815-8799-4733-85DA-DC9264E7E58F}"/>
    <cellStyle name="20% - Akzent4 6 5 2" xfId="3064" xr:uid="{992CA286-8699-424E-BFCB-3B4D15D5488B}"/>
    <cellStyle name="20% - Akzent4 6 5 2 2" xfId="22557" xr:uid="{AFB1F42E-2EBD-471C-AEF5-E0823E9E38C5}"/>
    <cellStyle name="20% - Akzent4 6 5 3" xfId="22556" xr:uid="{5E44F562-2888-4AEB-AC67-3986787C8818}"/>
    <cellStyle name="20% - Akzent4 6 6" xfId="3065" xr:uid="{092F1820-B253-481D-B0A7-998838DF03FE}"/>
    <cellStyle name="20% - Akzent4 6 6 2" xfId="3066" xr:uid="{A33ED16A-8C6E-4B81-A2A8-305A92C35954}"/>
    <cellStyle name="20% - Akzent4 6 6 2 2" xfId="22559" xr:uid="{EF6338FD-6E02-492D-9EB8-3CB1007CD7D4}"/>
    <cellStyle name="20% - Akzent4 6 6 3" xfId="22558" xr:uid="{695D1D8A-9BFA-4220-AC5E-80B3DE4AADD0}"/>
    <cellStyle name="20% - Akzent4 6 7" xfId="3067" xr:uid="{D19CFDF8-9FF1-40FC-AD42-10173F70B068}"/>
    <cellStyle name="20% - Akzent4 6 7 2" xfId="3068" xr:uid="{5CF890DD-177A-4EFC-815B-039197E708E6}"/>
    <cellStyle name="20% - Akzent4 6 7 2 2" xfId="22561" xr:uid="{6EA0BA8D-964C-4803-851B-73C9F070175C}"/>
    <cellStyle name="20% - Akzent4 6 7 3" xfId="22560" xr:uid="{BB1BC1D2-828D-487D-99B4-32C1DBF87774}"/>
    <cellStyle name="20% - Akzent4 6 8" xfId="3069" xr:uid="{873779C7-6237-4549-BB2A-14647A1C8A5E}"/>
    <cellStyle name="20% - Akzent4 6 8 2" xfId="3070" xr:uid="{3416CFA8-330E-47F4-8C87-322528A4F457}"/>
    <cellStyle name="20% - Akzent4 6 8 2 2" xfId="22563" xr:uid="{AAF9B31D-C417-4AF7-9D82-1A7490346001}"/>
    <cellStyle name="20% - Akzent4 6 8 3" xfId="22562" xr:uid="{285D37FA-BCCA-4576-912B-BA1C4CCFF103}"/>
    <cellStyle name="20% - Akzent4 6 9" xfId="3071" xr:uid="{EA28DDEA-9901-4B2F-AC11-77F04AB565FC}"/>
    <cellStyle name="20% - Akzent4 6 9 2" xfId="3072" xr:uid="{DB7C59D7-5108-4721-8CD6-6C047B742DA4}"/>
    <cellStyle name="20% - Akzent4 6 9 2 2" xfId="22565" xr:uid="{F47A5091-C9EF-4DFA-B918-39942B2243FF}"/>
    <cellStyle name="20% - Akzent4 6 9 3" xfId="22564" xr:uid="{26B26E5C-9F4D-496F-9092-07880E8AD7A6}"/>
    <cellStyle name="20% - Akzent4 60" xfId="3073" xr:uid="{00C4CC16-CF70-40A1-8F8F-A1F8AF94C32D}"/>
    <cellStyle name="20% - Akzent4 60 2" xfId="3074" xr:uid="{D3F5FA3B-490B-4A2A-A080-4656267D0946}"/>
    <cellStyle name="20% - Akzent4 60 2 2" xfId="22567" xr:uid="{578DC98A-6B2E-4F73-ADF7-3E1605461B66}"/>
    <cellStyle name="20% - Akzent4 60 3" xfId="22566" xr:uid="{16FEBD30-FDB5-48DF-81A2-9ADFDA43FE8D}"/>
    <cellStyle name="20% - Akzent4 61" xfId="3075" xr:uid="{7586E26B-22FA-4008-82A6-310E00DD5F01}"/>
    <cellStyle name="20% - Akzent4 61 2" xfId="3076" xr:uid="{23F81BB1-A922-4B2F-BA05-29F49A50059F}"/>
    <cellStyle name="20% - Akzent4 61 2 2" xfId="22569" xr:uid="{D3592C80-C881-43DC-86C2-E610B39607EF}"/>
    <cellStyle name="20% - Akzent4 61 3" xfId="22568" xr:uid="{B57C834D-4581-461C-B8C7-CDEB8EA4CB1A}"/>
    <cellStyle name="20% - Akzent4 62" xfId="3077" xr:uid="{8EE3FAAE-2E50-4B99-AA2A-587E9DED8217}"/>
    <cellStyle name="20% - Akzent4 62 2" xfId="3078" xr:uid="{387C5003-DAB4-496A-B32F-969C75F0B103}"/>
    <cellStyle name="20% - Akzent4 62 2 2" xfId="22571" xr:uid="{EC901362-722F-4836-A588-4751B23BC83E}"/>
    <cellStyle name="20% - Akzent4 62 3" xfId="22570" xr:uid="{B3D5334C-8D96-4840-A341-A0B160B3B5C6}"/>
    <cellStyle name="20% - Akzent4 63" xfId="3079" xr:uid="{2F0855AF-EF74-4045-B537-B775EF5BF870}"/>
    <cellStyle name="20% - Akzent4 63 2" xfId="3080" xr:uid="{844C5974-7E40-4F3C-9E89-FE99AF0C4F50}"/>
    <cellStyle name="20% - Akzent4 63 2 2" xfId="22573" xr:uid="{D574EE30-5108-4D8A-8635-F4E88551C3AD}"/>
    <cellStyle name="20% - Akzent4 63 3" xfId="22572" xr:uid="{94A4E8D1-B848-4FB0-AD5E-2ADCFFE5E69F}"/>
    <cellStyle name="20% - Akzent4 64" xfId="3081" xr:uid="{C7932F77-23A3-4D2D-B08C-AF6456122BAC}"/>
    <cellStyle name="20% - Akzent4 64 2" xfId="3082" xr:uid="{48E7FE24-A777-4104-B255-6BDF75E14A30}"/>
    <cellStyle name="20% - Akzent4 64 2 2" xfId="22575" xr:uid="{5DA657A1-C7F5-4002-822F-16F8B5FA67D6}"/>
    <cellStyle name="20% - Akzent4 64 3" xfId="22574" xr:uid="{CA6662DF-5B5A-41DE-AD68-5994969B6B63}"/>
    <cellStyle name="20% - Akzent4 65" xfId="3083" xr:uid="{E31C7309-B919-4F82-A416-AEF8ED02B5BC}"/>
    <cellStyle name="20% - Akzent4 65 2" xfId="3084" xr:uid="{2B222DD6-4A25-448C-85C8-16F2B36992B7}"/>
    <cellStyle name="20% - Akzent4 65 2 2" xfId="22577" xr:uid="{05DBE28C-4EE9-4C15-BD74-56BDE2BDEC27}"/>
    <cellStyle name="20% - Akzent4 65 3" xfId="22576" xr:uid="{0D422F59-67DA-4311-A350-DA3102C2D7C0}"/>
    <cellStyle name="20% - Akzent4 66" xfId="3085" xr:uid="{51DA8B0F-7DAA-4585-8D8B-68D01C4E98F9}"/>
    <cellStyle name="20% - Akzent4 66 2" xfId="3086" xr:uid="{C8B31E22-1687-4CE2-A256-CA206A32585F}"/>
    <cellStyle name="20% - Akzent4 66 2 2" xfId="22579" xr:uid="{BA7E9326-72C5-4C0D-85E1-3A674CB0DB99}"/>
    <cellStyle name="20% - Akzent4 66 3" xfId="22578" xr:uid="{612FEB74-EBBD-46D7-AA2D-40A8D288C379}"/>
    <cellStyle name="20% - Akzent4 67" xfId="3087" xr:uid="{4208FA31-BAE5-48AC-ACA5-E3E4883D1C4F}"/>
    <cellStyle name="20% - Akzent4 67 2" xfId="3088" xr:uid="{BD5D516F-08AA-45F8-89E8-944D94152FD5}"/>
    <cellStyle name="20% - Akzent4 67 2 2" xfId="22581" xr:uid="{93E56102-D423-4DAF-AE24-0ED466143857}"/>
    <cellStyle name="20% - Akzent4 67 3" xfId="22580" xr:uid="{DF04592C-BD5A-47E6-B69C-F92F1A8E1F09}"/>
    <cellStyle name="20% - Akzent4 68" xfId="3089" xr:uid="{3A8070AE-8578-4E3A-9E57-43C87A5DC2CB}"/>
    <cellStyle name="20% - Akzent4 68 2" xfId="3090" xr:uid="{7DB71740-1B64-42BD-8A64-4BFDD7D801AC}"/>
    <cellStyle name="20% - Akzent4 68 2 2" xfId="22583" xr:uid="{0E17EFFC-3C10-45BA-876E-C6FCCB0EF647}"/>
    <cellStyle name="20% - Akzent4 68 3" xfId="22582" xr:uid="{3B9C2F1D-2C48-4F97-B4EF-3B39F08951D0}"/>
    <cellStyle name="20% - Akzent4 69" xfId="3091" xr:uid="{AA43F092-2AED-4AE0-A4F6-F2D588ECF1EE}"/>
    <cellStyle name="20% - Akzent4 69 2" xfId="3092" xr:uid="{8BB4ECA6-E64E-4FE3-B2E5-9CB73B5B06DD}"/>
    <cellStyle name="20% - Akzent4 69 2 2" xfId="22585" xr:uid="{99D5E031-FE1D-45B4-BF29-AFA65E9836E1}"/>
    <cellStyle name="20% - Akzent4 69 3" xfId="22584" xr:uid="{A171F034-BE8F-4641-B001-4890FBCA64B2}"/>
    <cellStyle name="20% - Akzent4 7" xfId="3093" xr:uid="{C4F3A1C8-1097-4CF1-B982-C73520110C29}"/>
    <cellStyle name="20% - Akzent4 7 10" xfId="3094" xr:uid="{7713E158-31E5-4209-82A3-BC833A767CC0}"/>
    <cellStyle name="20% - Akzent4 7 10 2" xfId="3095" xr:uid="{DAF988F4-1975-4149-B807-D928F7006906}"/>
    <cellStyle name="20% - Akzent4 7 10 2 2" xfId="22588" xr:uid="{4EA0974F-E0D3-499A-BA42-76F956853A68}"/>
    <cellStyle name="20% - Akzent4 7 10 3" xfId="22587" xr:uid="{4F69A155-1935-4D92-B29C-B0C1D5DD9D06}"/>
    <cellStyle name="20% - Akzent4 7 11" xfId="3096" xr:uid="{0AF02CB6-5F39-464C-B711-1784793B254D}"/>
    <cellStyle name="20% - Akzent4 7 11 2" xfId="3097" xr:uid="{7910A2E5-F52C-4B50-B9B2-B5AB18347D93}"/>
    <cellStyle name="20% - Akzent4 7 11 2 2" xfId="22590" xr:uid="{62C4A18D-CFA5-4D38-A2AB-114193B8C4C7}"/>
    <cellStyle name="20% - Akzent4 7 11 3" xfId="22589" xr:uid="{8271B17E-DC3F-445C-A6D2-43427A8CEA11}"/>
    <cellStyle name="20% - Akzent4 7 12" xfId="3098" xr:uid="{3C11CA43-DB85-4119-A8E2-61D1210BB03A}"/>
    <cellStyle name="20% - Akzent4 7 12 2" xfId="3099" xr:uid="{196A3FDC-8819-4640-945E-988570F916BD}"/>
    <cellStyle name="20% - Akzent4 7 12 2 2" xfId="22592" xr:uid="{BA12AB73-3B54-4F5D-B04F-67EAAA99F955}"/>
    <cellStyle name="20% - Akzent4 7 12 3" xfId="22591" xr:uid="{D7825EC0-B502-45BF-A4B4-61605A48821E}"/>
    <cellStyle name="20% - Akzent4 7 13" xfId="3100" xr:uid="{3A3DEF49-5340-44AD-AA2E-6E99F10A0E9B}"/>
    <cellStyle name="20% - Akzent4 7 13 2" xfId="3101" xr:uid="{EA628F1D-3B4F-43C5-BBEF-251F8E6DF19F}"/>
    <cellStyle name="20% - Akzent4 7 13 2 2" xfId="22594" xr:uid="{035A27A8-3080-41ED-948F-7961BA87EA70}"/>
    <cellStyle name="20% - Akzent4 7 13 3" xfId="22593" xr:uid="{C01F4128-A4BA-42E1-8D59-544DCC7471ED}"/>
    <cellStyle name="20% - Akzent4 7 14" xfId="3102" xr:uid="{CC096ACE-4819-4388-B5A7-8E99CC51D3B0}"/>
    <cellStyle name="20% - Akzent4 7 14 2" xfId="3103" xr:uid="{DDC2DEF8-3879-4E1B-AC73-D1B7AD0DB5FF}"/>
    <cellStyle name="20% - Akzent4 7 14 2 2" xfId="22596" xr:uid="{91BF8214-8C8C-4D43-97E0-2C84B7CB5CFB}"/>
    <cellStyle name="20% - Akzent4 7 14 3" xfId="22595" xr:uid="{6C303D6B-D898-45B7-A316-B07159109FD0}"/>
    <cellStyle name="20% - Akzent4 7 15" xfId="3104" xr:uid="{68EE32A7-369E-433B-9EEA-FF6DC093F6A3}"/>
    <cellStyle name="20% - Akzent4 7 15 2" xfId="3105" xr:uid="{74DBA2B1-7F3F-48F9-BC75-C2C0D656DCCA}"/>
    <cellStyle name="20% - Akzent4 7 15 2 2" xfId="22598" xr:uid="{D290169F-ACE9-426A-9050-C23D4ABF6602}"/>
    <cellStyle name="20% - Akzent4 7 15 3" xfId="22597" xr:uid="{578C7D18-A86B-4CA9-97BB-995E555A121C}"/>
    <cellStyle name="20% - Akzent4 7 16" xfId="3106" xr:uid="{32020AA1-1833-475D-946B-1E6F9CBFC568}"/>
    <cellStyle name="20% - Akzent4 7 16 2" xfId="3107" xr:uid="{A026BC2B-DA08-4D85-A46F-3F9A4ED6C858}"/>
    <cellStyle name="20% - Akzent4 7 16 2 2" xfId="22600" xr:uid="{BADFA00F-2ABE-4764-BF70-8A61FC3DE73D}"/>
    <cellStyle name="20% - Akzent4 7 16 3" xfId="22599" xr:uid="{1E32B76F-9549-4397-B29A-5DC4E821908E}"/>
    <cellStyle name="20% - Akzent4 7 17" xfId="3108" xr:uid="{8D83CA3B-0609-458E-BF77-4EAD2906A62C}"/>
    <cellStyle name="20% - Akzent4 7 17 2" xfId="3109" xr:uid="{06776249-AC63-4E3A-98B4-6DDCA55B10EF}"/>
    <cellStyle name="20% - Akzent4 7 17 2 2" xfId="22602" xr:uid="{FE23BF58-CAAF-48FA-B964-6185B168AA69}"/>
    <cellStyle name="20% - Akzent4 7 17 3" xfId="22601" xr:uid="{D0A57E59-9165-4CA3-B1D9-3C740519F1F4}"/>
    <cellStyle name="20% - Akzent4 7 18" xfId="3110" xr:uid="{8AAEBD18-F6C0-40BB-BC55-0D6509C00285}"/>
    <cellStyle name="20% - Akzent4 7 18 2" xfId="3111" xr:uid="{FA515007-5FBE-4FF5-A403-96ED1B25F49F}"/>
    <cellStyle name="20% - Akzent4 7 18 2 2" xfId="22604" xr:uid="{016AB786-F1C6-4662-9C02-AE3015445442}"/>
    <cellStyle name="20% - Akzent4 7 18 3" xfId="22603" xr:uid="{382C58A5-952B-4881-92A5-4DBED50F8438}"/>
    <cellStyle name="20% - Akzent4 7 19" xfId="3112" xr:uid="{37DE17A1-07EA-42EF-B310-D79992A99FC8}"/>
    <cellStyle name="20% - Akzent4 7 19 2" xfId="3113" xr:uid="{E2A4AF88-8968-44EF-B562-DCB56B737E65}"/>
    <cellStyle name="20% - Akzent4 7 19 2 2" xfId="22606" xr:uid="{3B9BDE54-F1FC-4E76-81FB-E7E08C2CDF5C}"/>
    <cellStyle name="20% - Akzent4 7 19 3" xfId="22605" xr:uid="{17C68B4B-35F6-4878-B824-768510239246}"/>
    <cellStyle name="20% - Akzent4 7 2" xfId="3114" xr:uid="{3799D8E6-BAE2-489D-B809-FCB98BE0B8FE}"/>
    <cellStyle name="20% - Akzent4 7 2 2" xfId="3115" xr:uid="{F7FE6808-B795-4850-97F3-E63B4197658C}"/>
    <cellStyle name="20% - Akzent4 7 2 2 2" xfId="22608" xr:uid="{90B75F2D-5BF7-4D76-B272-9457A1E33E5E}"/>
    <cellStyle name="20% - Akzent4 7 2 3" xfId="22607" xr:uid="{06C89214-D33E-4562-8191-F9536CB3BD95}"/>
    <cellStyle name="20% - Akzent4 7 20" xfId="3116" xr:uid="{8C70FA59-B107-4B20-92C4-9FD028D0AA24}"/>
    <cellStyle name="20% - Akzent4 7 20 2" xfId="3117" xr:uid="{06984D75-4E60-4E88-A785-B9343654A092}"/>
    <cellStyle name="20% - Akzent4 7 20 2 2" xfId="22610" xr:uid="{57901671-3F9A-4537-8A00-82FE2B3B81B6}"/>
    <cellStyle name="20% - Akzent4 7 20 3" xfId="22609" xr:uid="{E096CBB9-FBA8-470C-8E9B-C9D0BA1DB0E6}"/>
    <cellStyle name="20% - Akzent4 7 21" xfId="3118" xr:uid="{6B602CF9-A22D-4944-A247-5E6233828AC8}"/>
    <cellStyle name="20% - Akzent4 7 21 2" xfId="3119" xr:uid="{ADD7944A-F16E-4186-812C-C57107EBFF1F}"/>
    <cellStyle name="20% - Akzent4 7 21 2 2" xfId="22612" xr:uid="{A5CEFF95-695F-4572-9FE3-C2A00A301839}"/>
    <cellStyle name="20% - Akzent4 7 21 3" xfId="22611" xr:uid="{031A900A-A88E-4BF0-A6ED-C0027471BD91}"/>
    <cellStyle name="20% - Akzent4 7 22" xfId="3120" xr:uid="{F6522A97-2997-45F6-97A9-539019179E7F}"/>
    <cellStyle name="20% - Akzent4 7 23" xfId="22586" xr:uid="{F8A0C5DF-4007-4913-84BF-BBAE7FD1F512}"/>
    <cellStyle name="20% - Akzent4 7 3" xfId="3121" xr:uid="{95E4A921-3EA3-4037-BF11-DAD167261C9D}"/>
    <cellStyle name="20% - Akzent4 7 3 2" xfId="3122" xr:uid="{EE4918BD-83EB-4BE2-A572-617EE73C616A}"/>
    <cellStyle name="20% - Akzent4 7 3 2 2" xfId="22614" xr:uid="{C9503D6F-A546-41EA-A87B-638FF3ACAA0F}"/>
    <cellStyle name="20% - Akzent4 7 3 3" xfId="22613" xr:uid="{BB08F18A-CB7C-45D2-A784-A9E2B3BB7AB1}"/>
    <cellStyle name="20% - Akzent4 7 4" xfId="3123" xr:uid="{C2A36E23-5E95-46EF-BCC8-6D45BAA83813}"/>
    <cellStyle name="20% - Akzent4 7 4 2" xfId="3124" xr:uid="{95377338-2F44-4EA4-A51C-AB3AA8AC463F}"/>
    <cellStyle name="20% - Akzent4 7 4 2 2" xfId="22616" xr:uid="{5375D33E-E455-4120-8831-6713169040DD}"/>
    <cellStyle name="20% - Akzent4 7 4 3" xfId="22615" xr:uid="{88436DBD-DDBF-489B-AAD3-BBBCD4BE4A7E}"/>
    <cellStyle name="20% - Akzent4 7 5" xfId="3125" xr:uid="{A188D24D-0C60-45DA-ABE3-18B2F206F743}"/>
    <cellStyle name="20% - Akzent4 7 5 2" xfId="3126" xr:uid="{E0601D94-7FD0-4765-8137-B3F146005F93}"/>
    <cellStyle name="20% - Akzent4 7 5 2 2" xfId="22618" xr:uid="{DE341F2E-9E89-4FBB-9A07-3843DA850FF8}"/>
    <cellStyle name="20% - Akzent4 7 5 3" xfId="22617" xr:uid="{860CBAFE-6415-4D71-B9AD-9D0F3550E03B}"/>
    <cellStyle name="20% - Akzent4 7 6" xfId="3127" xr:uid="{C3499BF8-2CEA-4013-8E5F-A2B1E08D2B9E}"/>
    <cellStyle name="20% - Akzent4 7 6 2" xfId="3128" xr:uid="{095DDD7B-F87A-429F-963B-BA42DBA06A86}"/>
    <cellStyle name="20% - Akzent4 7 6 2 2" xfId="22620" xr:uid="{16794B79-3259-43DA-853B-82FA50845381}"/>
    <cellStyle name="20% - Akzent4 7 6 3" xfId="22619" xr:uid="{5349D8AF-32D6-44BA-B45E-E60D481DABA5}"/>
    <cellStyle name="20% - Akzent4 7 7" xfId="3129" xr:uid="{67A08BC4-8BF0-4CA6-BBA1-7317225AABFA}"/>
    <cellStyle name="20% - Akzent4 7 7 2" xfId="3130" xr:uid="{97AE9D8B-A270-4A55-87F5-038E98DE50C3}"/>
    <cellStyle name="20% - Akzent4 7 7 2 2" xfId="22622" xr:uid="{D7781873-AF31-44E2-81B3-30F55DAAEC1E}"/>
    <cellStyle name="20% - Akzent4 7 7 3" xfId="22621" xr:uid="{7F49973A-2825-4939-86E3-4AA24EF83FE9}"/>
    <cellStyle name="20% - Akzent4 7 8" xfId="3131" xr:uid="{55C9D52D-4633-4157-A906-B0A4F3D8D7B5}"/>
    <cellStyle name="20% - Akzent4 7 8 2" xfId="3132" xr:uid="{30AE63B8-8F72-4192-ADC5-AD8C7593E03C}"/>
    <cellStyle name="20% - Akzent4 7 8 2 2" xfId="22624" xr:uid="{A50E62CA-B064-4E51-AF40-61152231FCE6}"/>
    <cellStyle name="20% - Akzent4 7 8 3" xfId="22623" xr:uid="{9419A745-4943-48F5-AF97-845E03C912D6}"/>
    <cellStyle name="20% - Akzent4 7 9" xfId="3133" xr:uid="{421D362C-56F7-4F58-934B-7A546A77F5C9}"/>
    <cellStyle name="20% - Akzent4 7 9 2" xfId="3134" xr:uid="{EEF8D9C3-38F7-4EDE-B4AF-DF587E30175F}"/>
    <cellStyle name="20% - Akzent4 7 9 2 2" xfId="22626" xr:uid="{7EB43748-033D-4595-996D-E3B3CC8B9A50}"/>
    <cellStyle name="20% - Akzent4 7 9 3" xfId="22625" xr:uid="{54ADCA38-22C6-46D3-A28E-F963C8D4D32B}"/>
    <cellStyle name="20% - Akzent4 70" xfId="3135" xr:uid="{F67BAC4E-BFA4-4AB7-8576-0D9E5F6AFACF}"/>
    <cellStyle name="20% - Akzent4 70 2" xfId="22627" xr:uid="{F8BB7735-743C-4C11-BC6D-B1F8F0E9BE42}"/>
    <cellStyle name="20% - Akzent4 71" xfId="2460" xr:uid="{B80AF39F-8715-40B6-A153-E3D618EEFCF9}"/>
    <cellStyle name="20% - Akzent4 8" xfId="3136" xr:uid="{720E5B67-3728-4D79-9D53-6EBE4C446D75}"/>
    <cellStyle name="20% - Akzent4 8 10" xfId="3137" xr:uid="{C92C8B0D-304B-49D2-BBC5-38EB48A99DAC}"/>
    <cellStyle name="20% - Akzent4 8 10 2" xfId="3138" xr:uid="{44FE9D04-7228-49D3-89A2-9487C7A341C7}"/>
    <cellStyle name="20% - Akzent4 8 10 2 2" xfId="22630" xr:uid="{870E1603-B0B2-4098-9C8A-B43A272B656F}"/>
    <cellStyle name="20% - Akzent4 8 10 3" xfId="22629" xr:uid="{027F7CDD-C14B-44C5-A795-8406DB400568}"/>
    <cellStyle name="20% - Akzent4 8 11" xfId="3139" xr:uid="{EF5550BB-B1DF-4388-9DAA-E05E1089BB6F}"/>
    <cellStyle name="20% - Akzent4 8 11 2" xfId="3140" xr:uid="{72453C49-E461-47CE-A1F2-49C5AE1E6427}"/>
    <cellStyle name="20% - Akzent4 8 11 2 2" xfId="22632" xr:uid="{B9F3D9A8-31F0-4A4E-9F52-7FFC7655D8E3}"/>
    <cellStyle name="20% - Akzent4 8 11 3" xfId="22631" xr:uid="{C0CF8776-56E6-489B-808B-A73C7E1BBB95}"/>
    <cellStyle name="20% - Akzent4 8 12" xfId="3141" xr:uid="{400314C6-AAC6-48A0-B7F2-683053DEEB76}"/>
    <cellStyle name="20% - Akzent4 8 12 2" xfId="3142" xr:uid="{838B5FFB-F630-4004-AE1F-BF440BA0179E}"/>
    <cellStyle name="20% - Akzent4 8 12 2 2" xfId="22634" xr:uid="{4E3EAEE6-F003-490A-BC1B-58C6D2F65636}"/>
    <cellStyle name="20% - Akzent4 8 12 3" xfId="22633" xr:uid="{24245772-BC33-4F36-B385-1060C32AAFD3}"/>
    <cellStyle name="20% - Akzent4 8 13" xfId="3143" xr:uid="{0C84D70C-004D-408A-9483-6B416E6715FD}"/>
    <cellStyle name="20% - Akzent4 8 13 2" xfId="3144" xr:uid="{6B66C4E3-9F78-4C69-9BCA-DCB4B15AF20C}"/>
    <cellStyle name="20% - Akzent4 8 13 2 2" xfId="22636" xr:uid="{FE5BC40A-E766-4A2F-9E47-F3583EAF1F0B}"/>
    <cellStyle name="20% - Akzent4 8 13 3" xfId="22635" xr:uid="{C4FFA7D5-EA44-4B32-B10A-463ED5888B24}"/>
    <cellStyle name="20% - Akzent4 8 14" xfId="3145" xr:uid="{43B658BB-BAF2-47A4-8F98-A0066296687A}"/>
    <cellStyle name="20% - Akzent4 8 14 2" xfId="3146" xr:uid="{D9965593-FB8B-4544-BC89-2F3ADE27B861}"/>
    <cellStyle name="20% - Akzent4 8 14 2 2" xfId="22638" xr:uid="{1E3480E1-2133-4847-BAD1-7F078A21F38D}"/>
    <cellStyle name="20% - Akzent4 8 14 3" xfId="22637" xr:uid="{644637F9-1B39-4535-9EEF-67642041CA1E}"/>
    <cellStyle name="20% - Akzent4 8 15" xfId="3147" xr:uid="{28336514-6F36-4710-BCF8-65BAE83E48A5}"/>
    <cellStyle name="20% - Akzent4 8 15 2" xfId="3148" xr:uid="{E44B13BE-ECEB-4ABA-9225-50E26F1735C2}"/>
    <cellStyle name="20% - Akzent4 8 15 2 2" xfId="22640" xr:uid="{499F1642-70D8-4174-B3D3-2C27B6191844}"/>
    <cellStyle name="20% - Akzent4 8 15 3" xfId="22639" xr:uid="{1E2BD02B-0F95-42D0-A659-38C8C017B326}"/>
    <cellStyle name="20% - Akzent4 8 16" xfId="3149" xr:uid="{2E98B681-300B-46F6-86F2-C65D1233269E}"/>
    <cellStyle name="20% - Akzent4 8 16 2" xfId="3150" xr:uid="{E55ECA35-E114-416C-9D32-F1575A83B756}"/>
    <cellStyle name="20% - Akzent4 8 16 2 2" xfId="22642" xr:uid="{8BE42D0A-AD02-458A-9A61-E74945CEB657}"/>
    <cellStyle name="20% - Akzent4 8 16 3" xfId="22641" xr:uid="{60419650-8663-480E-BA4F-954B9F718DB0}"/>
    <cellStyle name="20% - Akzent4 8 17" xfId="3151" xr:uid="{6C961957-1640-4004-ACF5-E53C8BA6D4F3}"/>
    <cellStyle name="20% - Akzent4 8 17 2" xfId="3152" xr:uid="{0614F1CD-2C3E-4E4B-8E26-967B6DBDCA2D}"/>
    <cellStyle name="20% - Akzent4 8 17 2 2" xfId="22644" xr:uid="{80BC05A9-35B7-4195-9EBF-E78F6601A7A2}"/>
    <cellStyle name="20% - Akzent4 8 17 3" xfId="22643" xr:uid="{A106D7B5-566B-45FB-AFB7-5F82142B2141}"/>
    <cellStyle name="20% - Akzent4 8 18" xfId="3153" xr:uid="{04877781-B190-4B88-93CC-9036563E96A5}"/>
    <cellStyle name="20% - Akzent4 8 18 2" xfId="3154" xr:uid="{ED14F587-847D-4983-ACFB-74295CC5E0E8}"/>
    <cellStyle name="20% - Akzent4 8 18 2 2" xfId="22646" xr:uid="{74C9A573-A81D-4AEB-8E8E-798AD49CE2B7}"/>
    <cellStyle name="20% - Akzent4 8 18 3" xfId="22645" xr:uid="{A38AF466-21EB-4436-A8F6-5716F82EF1D6}"/>
    <cellStyle name="20% - Akzent4 8 19" xfId="3155" xr:uid="{2DB3BACA-5C4C-43AF-83B3-200031D174FD}"/>
    <cellStyle name="20% - Akzent4 8 19 2" xfId="3156" xr:uid="{1AA0728E-AE66-4AAF-8261-52D3A6B38481}"/>
    <cellStyle name="20% - Akzent4 8 19 2 2" xfId="22648" xr:uid="{0C91684D-4E33-49C7-A8A0-A65F6F60B2A8}"/>
    <cellStyle name="20% - Akzent4 8 19 3" xfId="22647" xr:uid="{4F719AA0-1BFD-4D01-92FC-6C69EEC0199C}"/>
    <cellStyle name="20% - Akzent4 8 2" xfId="3157" xr:uid="{1907D85D-C02D-4F78-B521-94AE460B4F8C}"/>
    <cellStyle name="20% - Akzent4 8 2 2" xfId="3158" xr:uid="{BFA6BE1F-CB1E-4DCA-AD95-AFEE6489C55B}"/>
    <cellStyle name="20% - Akzent4 8 2 2 2" xfId="22650" xr:uid="{B9AF2FBB-C44D-4C5D-9B8D-BEAD7C98CA6F}"/>
    <cellStyle name="20% - Akzent4 8 2 3" xfId="22649" xr:uid="{2D1A1CCF-AD2E-43F3-9B4D-75F1944935FC}"/>
    <cellStyle name="20% - Akzent4 8 20" xfId="3159" xr:uid="{15333C61-9FA6-49F3-8CED-D142750856E7}"/>
    <cellStyle name="20% - Akzent4 8 20 2" xfId="3160" xr:uid="{3212A0FF-0E4C-4961-ABC8-6E57E15E0372}"/>
    <cellStyle name="20% - Akzent4 8 20 2 2" xfId="22652" xr:uid="{CC3C23AE-219B-4844-8F29-BCC12427DDC8}"/>
    <cellStyle name="20% - Akzent4 8 20 3" xfId="22651" xr:uid="{2D5840CE-0148-465D-B70D-2ECAE8EF5050}"/>
    <cellStyle name="20% - Akzent4 8 21" xfId="3161" xr:uid="{946EEA28-1EE7-4C39-8DF9-131C329B25B7}"/>
    <cellStyle name="20% - Akzent4 8 21 2" xfId="3162" xr:uid="{3E0FD838-6C37-458A-AE07-C6680837D17D}"/>
    <cellStyle name="20% - Akzent4 8 21 2 2" xfId="22654" xr:uid="{46E43650-AF70-4BD6-80E0-AC8C5CCD4A8B}"/>
    <cellStyle name="20% - Akzent4 8 21 3" xfId="22653" xr:uid="{9027413C-8106-48F9-B9D3-444E615646AE}"/>
    <cellStyle name="20% - Akzent4 8 22" xfId="3163" xr:uid="{4E4C5794-CBAC-426C-8DB7-133553F87D30}"/>
    <cellStyle name="20% - Akzent4 8 23" xfId="22628" xr:uid="{B1CE1201-418B-4068-AE9D-D4E3BD2B57BE}"/>
    <cellStyle name="20% - Akzent4 8 3" xfId="3164" xr:uid="{715CFE38-FA81-4227-ADD6-CB6C594CB0AC}"/>
    <cellStyle name="20% - Akzent4 8 3 2" xfId="3165" xr:uid="{9B3B05B9-A426-4FEE-B9BF-908132948D7F}"/>
    <cellStyle name="20% - Akzent4 8 3 2 2" xfId="22656" xr:uid="{956955CC-9E4A-4ADB-8C61-B37A9543B0BD}"/>
    <cellStyle name="20% - Akzent4 8 3 3" xfId="22655" xr:uid="{3B1A9FD8-92F8-4BF1-A9B5-7C25664922BC}"/>
    <cellStyle name="20% - Akzent4 8 4" xfId="3166" xr:uid="{B2ACFBA4-9709-4C6C-83E3-8DB621C0F33B}"/>
    <cellStyle name="20% - Akzent4 8 4 2" xfId="3167" xr:uid="{AD6423AF-5D8B-48B5-AB09-BD2AFC9B1974}"/>
    <cellStyle name="20% - Akzent4 8 4 2 2" xfId="22658" xr:uid="{834C14B9-5CDE-4FC8-8F5C-D3DBE1F5BDFF}"/>
    <cellStyle name="20% - Akzent4 8 4 3" xfId="22657" xr:uid="{5C2BB848-6011-42CC-A25B-D0BEF09034D9}"/>
    <cellStyle name="20% - Akzent4 8 5" xfId="3168" xr:uid="{29D15D8A-859E-40B2-8DAA-BE9C9FF238DD}"/>
    <cellStyle name="20% - Akzent4 8 5 2" xfId="3169" xr:uid="{21897913-FBAD-45A1-833C-C621F5075B26}"/>
    <cellStyle name="20% - Akzent4 8 5 2 2" xfId="22660" xr:uid="{45DA4894-54DC-4059-98E9-BF91AD4D07CC}"/>
    <cellStyle name="20% - Akzent4 8 5 3" xfId="22659" xr:uid="{DFBD9997-DCB8-414B-B577-A9B13B069B72}"/>
    <cellStyle name="20% - Akzent4 8 6" xfId="3170" xr:uid="{B85BB7F6-4BDB-4ECA-BAD2-4517FCBE9635}"/>
    <cellStyle name="20% - Akzent4 8 6 2" xfId="3171" xr:uid="{11F3F6C2-3D90-470D-A6CA-1EAB02D9FD2D}"/>
    <cellStyle name="20% - Akzent4 8 6 2 2" xfId="22662" xr:uid="{C192FD18-6899-4701-9F7B-D2A5B3B82078}"/>
    <cellStyle name="20% - Akzent4 8 6 3" xfId="22661" xr:uid="{B96EDAFF-5C1A-48B3-885F-34192DC08587}"/>
    <cellStyle name="20% - Akzent4 8 7" xfId="3172" xr:uid="{300BA135-B4D8-4400-AF8B-A01EC28F846F}"/>
    <cellStyle name="20% - Akzent4 8 7 2" xfId="3173" xr:uid="{AFAE36BE-25D0-4322-BE33-FAA306958D59}"/>
    <cellStyle name="20% - Akzent4 8 7 2 2" xfId="22664" xr:uid="{4C5ED314-920F-4D83-86B3-A3B0D92FCACF}"/>
    <cellStyle name="20% - Akzent4 8 7 3" xfId="22663" xr:uid="{CD4E8823-096A-4D6B-B38F-45E5A78DD5AF}"/>
    <cellStyle name="20% - Akzent4 8 8" xfId="3174" xr:uid="{3C358C60-F9B8-4B90-A787-FAC74A9E0B85}"/>
    <cellStyle name="20% - Akzent4 8 8 2" xfId="3175" xr:uid="{4A788566-8348-462B-A597-D775E9AB6295}"/>
    <cellStyle name="20% - Akzent4 8 8 2 2" xfId="22666" xr:uid="{360B9A5D-D546-4153-8B03-BC9E10EC38C0}"/>
    <cellStyle name="20% - Akzent4 8 8 3" xfId="22665" xr:uid="{1D7FB5F1-158A-4446-9453-C1BDB07F4F22}"/>
    <cellStyle name="20% - Akzent4 8 9" xfId="3176" xr:uid="{4DF7461E-A8DE-4F21-84BE-49A32E49D275}"/>
    <cellStyle name="20% - Akzent4 8 9 2" xfId="3177" xr:uid="{89FCD764-CF08-47DA-8579-2D79848DE965}"/>
    <cellStyle name="20% - Akzent4 8 9 2 2" xfId="22668" xr:uid="{124A506E-3231-4498-895B-632ADFC7EA30}"/>
    <cellStyle name="20% - Akzent4 8 9 3" xfId="22667" xr:uid="{3EA3A374-A96A-4E05-AA91-8E627399D84C}"/>
    <cellStyle name="20% - Akzent4 9" xfId="3178" xr:uid="{AD6C26C2-E8A4-444B-AF42-3F0419506D0E}"/>
    <cellStyle name="20% - Akzent4 9 10" xfId="3179" xr:uid="{C0342216-FC13-4961-87BF-5E6BD7C7BE94}"/>
    <cellStyle name="20% - Akzent4 9 10 2" xfId="3180" xr:uid="{80B27079-8702-44ED-B2F2-DA37D95F7582}"/>
    <cellStyle name="20% - Akzent4 9 10 2 2" xfId="22671" xr:uid="{D1F4AF38-05EB-42FB-AD69-D88D01EAB46C}"/>
    <cellStyle name="20% - Akzent4 9 10 3" xfId="22670" xr:uid="{3CBECD16-A0BC-4FD7-9941-7DF5FA294E03}"/>
    <cellStyle name="20% - Akzent4 9 11" xfId="3181" xr:uid="{340A7222-85CB-4D8C-B0DF-95D1AEE48F4A}"/>
    <cellStyle name="20% - Akzent4 9 11 2" xfId="3182" xr:uid="{285F812D-7221-4588-B00E-F56C0B3DAFED}"/>
    <cellStyle name="20% - Akzent4 9 11 2 2" xfId="22673" xr:uid="{5190CFC4-2DB0-4570-B74D-A19EFD1AE354}"/>
    <cellStyle name="20% - Akzent4 9 11 3" xfId="22672" xr:uid="{23A84EC0-BC6E-4AFB-B45E-95B02BD4BDFB}"/>
    <cellStyle name="20% - Akzent4 9 12" xfId="3183" xr:uid="{944BCF0A-1084-48BB-BADB-B3CF56295004}"/>
    <cellStyle name="20% - Akzent4 9 12 2" xfId="3184" xr:uid="{4E53403B-9755-4A2C-969B-4EDDC415BC2A}"/>
    <cellStyle name="20% - Akzent4 9 12 2 2" xfId="22675" xr:uid="{0137D517-87CD-4F5B-9438-92962AA9CBA1}"/>
    <cellStyle name="20% - Akzent4 9 12 3" xfId="22674" xr:uid="{2B520719-C2E2-4914-8D90-CD0C740D4569}"/>
    <cellStyle name="20% - Akzent4 9 13" xfId="3185" xr:uid="{669CDBB5-6F27-498C-AEB4-73E2253603B4}"/>
    <cellStyle name="20% - Akzent4 9 13 2" xfId="3186" xr:uid="{3CD26C0A-D83F-487A-8E5A-AA86227B8FCF}"/>
    <cellStyle name="20% - Akzent4 9 13 2 2" xfId="22677" xr:uid="{7AEBA06A-4925-4112-9EFF-F482A7BBE047}"/>
    <cellStyle name="20% - Akzent4 9 13 3" xfId="22676" xr:uid="{889DDC7B-D0CF-461C-AD73-B2F5C3157D9E}"/>
    <cellStyle name="20% - Akzent4 9 14" xfId="3187" xr:uid="{9DD648FC-2D2C-4C38-A04C-1BB758DC8FCA}"/>
    <cellStyle name="20% - Akzent4 9 14 2" xfId="3188" xr:uid="{C58271B0-817C-46F2-8848-A3C1A229C2EC}"/>
    <cellStyle name="20% - Akzent4 9 14 2 2" xfId="22679" xr:uid="{54DA949B-4C92-4DEB-8E47-DEC640CBA0F3}"/>
    <cellStyle name="20% - Akzent4 9 14 3" xfId="22678" xr:uid="{A3C21257-E1E9-41C1-AABA-BE49CE66E2AA}"/>
    <cellStyle name="20% - Akzent4 9 15" xfId="3189" xr:uid="{4E29AA58-8406-486B-833C-915A65319D92}"/>
    <cellStyle name="20% - Akzent4 9 15 2" xfId="3190" xr:uid="{AD8DC566-1298-4A48-8DB3-229424877194}"/>
    <cellStyle name="20% - Akzent4 9 15 2 2" xfId="22681" xr:uid="{255040F1-934D-4239-9003-F64E2E540222}"/>
    <cellStyle name="20% - Akzent4 9 15 3" xfId="22680" xr:uid="{F2761859-C391-40FF-A1A1-025106D5CD18}"/>
    <cellStyle name="20% - Akzent4 9 16" xfId="3191" xr:uid="{C97AF1B1-3114-4C9D-A97B-E5EF19F31E3B}"/>
    <cellStyle name="20% - Akzent4 9 16 2" xfId="3192" xr:uid="{38519CB1-4A75-4C52-9A52-6E7BAFB217E1}"/>
    <cellStyle name="20% - Akzent4 9 16 2 2" xfId="22683" xr:uid="{BB76CADA-AEAC-48A1-B15C-51FD3FA1B9FF}"/>
    <cellStyle name="20% - Akzent4 9 16 3" xfId="22682" xr:uid="{E07E110D-57E5-49EB-AF1A-8BF27489AAD5}"/>
    <cellStyle name="20% - Akzent4 9 17" xfId="3193" xr:uid="{4B464D10-9AF7-414C-8B0D-C3F532D87302}"/>
    <cellStyle name="20% - Akzent4 9 17 2" xfId="3194" xr:uid="{2A8A0A08-9F57-4F39-AF3D-2A968780CC00}"/>
    <cellStyle name="20% - Akzent4 9 17 2 2" xfId="22685" xr:uid="{E7DAF365-F08A-4357-A71C-F5EA21E20F68}"/>
    <cellStyle name="20% - Akzent4 9 17 3" xfId="22684" xr:uid="{17BB90FD-B8DB-4D10-9C2B-200909322F8F}"/>
    <cellStyle name="20% - Akzent4 9 18" xfId="3195" xr:uid="{558F260F-281D-4702-A379-1A1317B641D9}"/>
    <cellStyle name="20% - Akzent4 9 18 2" xfId="3196" xr:uid="{38222275-C540-40D3-97D4-CB7D4B17B958}"/>
    <cellStyle name="20% - Akzent4 9 18 2 2" xfId="22687" xr:uid="{603987A9-2534-433B-983F-18192CEA9026}"/>
    <cellStyle name="20% - Akzent4 9 18 3" xfId="22686" xr:uid="{1E6DEF1E-83B6-4FF8-B168-53356EF14A62}"/>
    <cellStyle name="20% - Akzent4 9 19" xfId="3197" xr:uid="{03C8BA19-544A-42B1-8FED-BD903B527678}"/>
    <cellStyle name="20% - Akzent4 9 19 2" xfId="3198" xr:uid="{F1F82C31-7763-48D2-B1CB-533EEAC78EF1}"/>
    <cellStyle name="20% - Akzent4 9 19 2 2" xfId="22689" xr:uid="{5C900BD6-A3EE-4415-8437-20C20589A13F}"/>
    <cellStyle name="20% - Akzent4 9 19 3" xfId="22688" xr:uid="{638103B5-80A1-4D62-B9A1-4C638BEE473D}"/>
    <cellStyle name="20% - Akzent4 9 2" xfId="3199" xr:uid="{39389357-0D07-481B-99C6-1A9DC68E669F}"/>
    <cellStyle name="20% - Akzent4 9 2 2" xfId="3200" xr:uid="{A7FCDE9A-3179-4C51-B5BB-DBA9D7B1F6A3}"/>
    <cellStyle name="20% - Akzent4 9 2 2 2" xfId="22691" xr:uid="{2F63195B-3B1E-4CB5-8C77-204E1EEE8EC7}"/>
    <cellStyle name="20% - Akzent4 9 2 3" xfId="22690" xr:uid="{0BD5A8F4-08C4-4F35-A857-F28F89E20853}"/>
    <cellStyle name="20% - Akzent4 9 20" xfId="3201" xr:uid="{9C3B8B80-9680-4190-A910-0794472174E0}"/>
    <cellStyle name="20% - Akzent4 9 20 2" xfId="3202" xr:uid="{B8C23840-3026-49BB-883F-A173230294BC}"/>
    <cellStyle name="20% - Akzent4 9 20 2 2" xfId="22693" xr:uid="{E07B635D-CE83-49FB-9280-706CE2BA9E59}"/>
    <cellStyle name="20% - Akzent4 9 20 3" xfId="22692" xr:uid="{35FD2F03-4703-4E5D-B3A6-4C6FB1D766CD}"/>
    <cellStyle name="20% - Akzent4 9 21" xfId="3203" xr:uid="{D4BB2316-A0AF-49F2-8F87-6F25C13F387F}"/>
    <cellStyle name="20% - Akzent4 9 21 2" xfId="3204" xr:uid="{5B78FEEF-8C67-496C-9CA7-147DDF89CEAD}"/>
    <cellStyle name="20% - Akzent4 9 21 2 2" xfId="22695" xr:uid="{47C1C399-D54B-4A39-9CA3-BFEFC1A9EE95}"/>
    <cellStyle name="20% - Akzent4 9 21 3" xfId="22694" xr:uid="{ABE9C6BD-A758-4197-B0D2-7600C78E21D1}"/>
    <cellStyle name="20% - Akzent4 9 22" xfId="3205" xr:uid="{2632A240-184F-4F93-966E-7C0E15E3A6E9}"/>
    <cellStyle name="20% - Akzent4 9 23" xfId="22669" xr:uid="{79B0809C-81A1-4648-9A95-A23C5523DA3F}"/>
    <cellStyle name="20% - Akzent4 9 3" xfId="3206" xr:uid="{D0EDCECF-2F61-42B7-AD44-849E3B8876A4}"/>
    <cellStyle name="20% - Akzent4 9 3 2" xfId="3207" xr:uid="{E4390051-7C6D-4135-95E0-7FA2335BC7D1}"/>
    <cellStyle name="20% - Akzent4 9 3 2 2" xfId="22697" xr:uid="{57B826C9-536E-417E-9FF1-0C241E38C6AD}"/>
    <cellStyle name="20% - Akzent4 9 3 3" xfId="22696" xr:uid="{591066C7-5A5E-46B2-8686-FC384AC71C16}"/>
    <cellStyle name="20% - Akzent4 9 4" xfId="3208" xr:uid="{4D2E7294-42C8-49F2-B64C-211553760C56}"/>
    <cellStyle name="20% - Akzent4 9 4 2" xfId="3209" xr:uid="{0E334465-12D5-4B73-8726-6E27A4820785}"/>
    <cellStyle name="20% - Akzent4 9 4 2 2" xfId="22699" xr:uid="{D18BDEA7-8A11-42BC-A218-96A5A190DDF4}"/>
    <cellStyle name="20% - Akzent4 9 4 3" xfId="22698" xr:uid="{BD1E314A-0F8F-48E8-BF18-3BA6E0ECA3CB}"/>
    <cellStyle name="20% - Akzent4 9 5" xfId="3210" xr:uid="{8AEDE761-337A-4D6E-B2BC-AA5CD5200972}"/>
    <cellStyle name="20% - Akzent4 9 5 2" xfId="3211" xr:uid="{0DA176A8-8983-42EF-8D77-ABAC946DDF7F}"/>
    <cellStyle name="20% - Akzent4 9 5 2 2" xfId="22701" xr:uid="{C2D2F1AB-5AF8-4386-9C14-41E08E1BC87B}"/>
    <cellStyle name="20% - Akzent4 9 5 3" xfId="22700" xr:uid="{71D6CC4E-2D4A-46E6-A9CF-DE2FF8F7BCE4}"/>
    <cellStyle name="20% - Akzent4 9 6" xfId="3212" xr:uid="{4E573C09-7AB6-44B3-AC76-F68615E0D829}"/>
    <cellStyle name="20% - Akzent4 9 6 2" xfId="3213" xr:uid="{0C4D97E3-FDFA-485A-B141-956E8F21717F}"/>
    <cellStyle name="20% - Akzent4 9 6 2 2" xfId="22703" xr:uid="{66E2C8D3-77EF-4329-8BA1-501EBC02A2F7}"/>
    <cellStyle name="20% - Akzent4 9 6 3" xfId="22702" xr:uid="{BD20DB63-53DF-47B0-89B9-7404548ACA5F}"/>
    <cellStyle name="20% - Akzent4 9 7" xfId="3214" xr:uid="{28A5BDBC-9183-4A11-B96C-90E7B2EB45DA}"/>
    <cellStyle name="20% - Akzent4 9 7 2" xfId="3215" xr:uid="{A7A0779D-360F-4C22-94BA-410054BFB9EC}"/>
    <cellStyle name="20% - Akzent4 9 7 2 2" xfId="22705" xr:uid="{178CA29B-2E95-4DCE-8B3C-08BB193419DE}"/>
    <cellStyle name="20% - Akzent4 9 7 3" xfId="22704" xr:uid="{FCE60B49-BF51-4A89-A2EB-EF5A5D6937A1}"/>
    <cellStyle name="20% - Akzent4 9 8" xfId="3216" xr:uid="{7B1152D7-1E9A-4F63-A532-C80CD2956235}"/>
    <cellStyle name="20% - Akzent4 9 8 2" xfId="3217" xr:uid="{72803A2A-8AFE-4DEC-B81F-379C8D8EA442}"/>
    <cellStyle name="20% - Akzent4 9 8 2 2" xfId="22707" xr:uid="{26FEDF86-51D2-421B-9D61-8252C702E6E2}"/>
    <cellStyle name="20% - Akzent4 9 8 3" xfId="22706" xr:uid="{7ED58B6C-1F70-4492-BD16-547CED3E72FF}"/>
    <cellStyle name="20% - Akzent4 9 9" xfId="3218" xr:uid="{993EB310-A541-4812-BC31-9D27AAE91DAE}"/>
    <cellStyle name="20% - Akzent4 9 9 2" xfId="3219" xr:uid="{EBDC0011-E633-4628-B03D-4F77A20DACB6}"/>
    <cellStyle name="20% - Akzent4 9 9 2 2" xfId="22709" xr:uid="{D56F3FBA-6EC5-4397-8C11-37CA568F3EFE}"/>
    <cellStyle name="20% - Akzent4 9 9 3" xfId="22708" xr:uid="{0F200DE0-25C6-42E8-BA03-3C0EA4A228F4}"/>
    <cellStyle name="20% - Akzent5 10" xfId="3221" xr:uid="{C2752FC7-3891-41EE-A68E-5B8E24F71547}"/>
    <cellStyle name="20% - Akzent5 10 10" xfId="3222" xr:uid="{7230D894-6C42-49B3-92A3-DC8CCEB5EF4A}"/>
    <cellStyle name="20% - Akzent5 10 10 2" xfId="3223" xr:uid="{1AE420DA-5AF4-4256-A78D-F05DF2B5C8DB}"/>
    <cellStyle name="20% - Akzent5 10 10 2 2" xfId="22712" xr:uid="{1D9E40BC-A822-430C-A01C-31D17D1AEA73}"/>
    <cellStyle name="20% - Akzent5 10 10 3" xfId="22711" xr:uid="{16F7FC8E-017C-47D1-BFFD-846BCD61DCE9}"/>
    <cellStyle name="20% - Akzent5 10 11" xfId="3224" xr:uid="{682C61BD-D948-4D7D-B98C-1074B511A7D0}"/>
    <cellStyle name="20% - Akzent5 10 11 2" xfId="3225" xr:uid="{C3958113-54A5-4C59-9E8B-B47A58A6BD31}"/>
    <cellStyle name="20% - Akzent5 10 11 2 2" xfId="22714" xr:uid="{D08C5332-0304-4A19-A09C-25A8FE7A352A}"/>
    <cellStyle name="20% - Akzent5 10 11 3" xfId="22713" xr:uid="{2171DFC5-7ACA-406D-8F6D-0E747F46F592}"/>
    <cellStyle name="20% - Akzent5 10 12" xfId="3226" xr:uid="{F1633B74-EC6F-4AC9-B9A6-18C8E2AD96B0}"/>
    <cellStyle name="20% - Akzent5 10 12 2" xfId="3227" xr:uid="{A48106D5-453C-410D-BD5F-A8921CC613AF}"/>
    <cellStyle name="20% - Akzent5 10 12 2 2" xfId="22716" xr:uid="{C3438196-B2FD-42F1-9EFA-4C4B2B29B12E}"/>
    <cellStyle name="20% - Akzent5 10 12 3" xfId="22715" xr:uid="{8C4C8FC1-0EA6-4787-B2C9-65A3D424F7B3}"/>
    <cellStyle name="20% - Akzent5 10 13" xfId="3228" xr:uid="{61690CCE-FE42-4E9E-AA44-DAD912BD5000}"/>
    <cellStyle name="20% - Akzent5 10 13 2" xfId="3229" xr:uid="{6EE9B969-3D0F-4617-AAD6-317BF738962D}"/>
    <cellStyle name="20% - Akzent5 10 13 2 2" xfId="22718" xr:uid="{B670FF4F-BC99-427E-A9FE-4755805524ED}"/>
    <cellStyle name="20% - Akzent5 10 13 3" xfId="22717" xr:uid="{BBA73932-F77F-4503-A6A7-BE2019254D64}"/>
    <cellStyle name="20% - Akzent5 10 14" xfId="3230" xr:uid="{C0DF99CB-28E3-468E-A427-B90B01ED4DDD}"/>
    <cellStyle name="20% - Akzent5 10 14 2" xfId="3231" xr:uid="{4E05C2A3-1A83-4889-89EA-DE0AEBF4B624}"/>
    <cellStyle name="20% - Akzent5 10 14 2 2" xfId="22720" xr:uid="{C0E5537B-3329-4790-91F6-54D9F404D990}"/>
    <cellStyle name="20% - Akzent5 10 14 3" xfId="22719" xr:uid="{882C83A0-9F9C-476D-A9AA-58D90C0EF35D}"/>
    <cellStyle name="20% - Akzent5 10 15" xfId="3232" xr:uid="{CC39E2AC-5485-4D05-9023-EAE89CE53027}"/>
    <cellStyle name="20% - Akzent5 10 15 2" xfId="3233" xr:uid="{30D38095-F658-4F60-BBB8-E92519BEF75C}"/>
    <cellStyle name="20% - Akzent5 10 15 2 2" xfId="22722" xr:uid="{297AA225-28C6-444B-B873-672FD96856EC}"/>
    <cellStyle name="20% - Akzent5 10 15 3" xfId="22721" xr:uid="{7B8BA0A0-FE6E-46A0-A3CB-D2C95E81A930}"/>
    <cellStyle name="20% - Akzent5 10 16" xfId="3234" xr:uid="{DA861A72-C6EA-43E6-B2C2-DAB7EBDFAC03}"/>
    <cellStyle name="20% - Akzent5 10 16 2" xfId="3235" xr:uid="{ADFB5C49-3465-4B79-AAE0-DCD4FF4AFF25}"/>
    <cellStyle name="20% - Akzent5 10 16 2 2" xfId="22724" xr:uid="{9F4D6D4A-3D3F-4789-B20E-1AA7C0A99D7E}"/>
    <cellStyle name="20% - Akzent5 10 16 3" xfId="22723" xr:uid="{FA6F13F5-064B-4395-875F-3F922A75AF6D}"/>
    <cellStyle name="20% - Akzent5 10 17" xfId="3236" xr:uid="{082399DB-55D4-41F5-8B9D-6B5CD1558309}"/>
    <cellStyle name="20% - Akzent5 10 17 2" xfId="3237" xr:uid="{1083C440-6535-442F-9E26-87ED867B1A59}"/>
    <cellStyle name="20% - Akzent5 10 17 2 2" xfId="22726" xr:uid="{A264B49B-9D5B-40E8-BDAD-7783F0EE997D}"/>
    <cellStyle name="20% - Akzent5 10 17 3" xfId="22725" xr:uid="{27A3DF98-9EC0-4CCC-A3C6-EBDA80D101AD}"/>
    <cellStyle name="20% - Akzent5 10 18" xfId="3238" xr:uid="{5DA9F379-D133-4BB5-9468-77F6E450A584}"/>
    <cellStyle name="20% - Akzent5 10 18 2" xfId="3239" xr:uid="{EB84A971-B8C2-4700-9F3B-04178B78D4E8}"/>
    <cellStyle name="20% - Akzent5 10 18 2 2" xfId="22728" xr:uid="{FCC8FF0D-AB4D-4EF9-9986-69C24B0D56C7}"/>
    <cellStyle name="20% - Akzent5 10 18 3" xfId="22727" xr:uid="{CA070C7A-8803-418B-9CA1-45D869FA3C30}"/>
    <cellStyle name="20% - Akzent5 10 19" xfId="3240" xr:uid="{3689016F-290B-49A2-BB39-54BBF1016FCF}"/>
    <cellStyle name="20% - Akzent5 10 19 2" xfId="3241" xr:uid="{8AE4CA0C-048B-465E-8C12-786EFCB1F63D}"/>
    <cellStyle name="20% - Akzent5 10 19 2 2" xfId="22730" xr:uid="{42E90584-0CD6-4441-8E5C-571B97C99BCA}"/>
    <cellStyle name="20% - Akzent5 10 19 3" xfId="22729" xr:uid="{99B08979-0974-40C6-B03D-BCA37CEA5998}"/>
    <cellStyle name="20% - Akzent5 10 2" xfId="3242" xr:uid="{8E107C6A-587D-485C-8A1F-1F05F4FBF44E}"/>
    <cellStyle name="20% - Akzent5 10 2 2" xfId="3243" xr:uid="{862574FF-4829-4D62-AF82-8D6EE2D14AC3}"/>
    <cellStyle name="20% - Akzent5 10 2 2 2" xfId="22732" xr:uid="{02A0E835-6DA7-47F8-A2F4-BDC472F35451}"/>
    <cellStyle name="20% - Akzent5 10 2 3" xfId="22731" xr:uid="{241768B5-4E43-4E33-9612-EA6095D40C17}"/>
    <cellStyle name="20% - Akzent5 10 20" xfId="3244" xr:uid="{2987558D-4265-4C2B-9375-3120F909BFF1}"/>
    <cellStyle name="20% - Akzent5 10 20 2" xfId="3245" xr:uid="{AAD4DD9E-BE9F-4354-8F93-357358852405}"/>
    <cellStyle name="20% - Akzent5 10 20 2 2" xfId="22734" xr:uid="{CAD59BB5-3A9E-4B9D-A778-CCB43A49448D}"/>
    <cellStyle name="20% - Akzent5 10 20 3" xfId="22733" xr:uid="{F200F775-7213-4A85-BF1B-C1E33913C043}"/>
    <cellStyle name="20% - Akzent5 10 21" xfId="3246" xr:uid="{ADC2F84A-43C2-4160-A080-AA2E922DD0AB}"/>
    <cellStyle name="20% - Akzent5 10 21 2" xfId="3247" xr:uid="{723481CA-3E70-4A3A-B7F6-CC913931A331}"/>
    <cellStyle name="20% - Akzent5 10 21 2 2" xfId="22736" xr:uid="{DFF257DB-F284-494B-9A34-2C8C51E3031F}"/>
    <cellStyle name="20% - Akzent5 10 21 3" xfId="22735" xr:uid="{51133E56-369A-4911-9928-0B409A6B7F9D}"/>
    <cellStyle name="20% - Akzent5 10 22" xfId="3248" xr:uid="{2AABC32B-727B-4D04-99BB-B472169CCE22}"/>
    <cellStyle name="20% - Akzent5 10 23" xfId="22710" xr:uid="{224E1B2B-F6E8-46F6-84AA-E020F9D49C60}"/>
    <cellStyle name="20% - Akzent5 10 3" xfId="3249" xr:uid="{6D4F86F3-0DDA-479E-A56F-10933C3EF737}"/>
    <cellStyle name="20% - Akzent5 10 3 2" xfId="3250" xr:uid="{6754EBB7-1489-4B3F-8628-517D80891E5D}"/>
    <cellStyle name="20% - Akzent5 10 3 2 2" xfId="22738" xr:uid="{D30F837B-4992-4A0D-BDF0-F9067CFE2F2E}"/>
    <cellStyle name="20% - Akzent5 10 3 3" xfId="22737" xr:uid="{8F9248E0-F20B-43C1-AF96-CD1D0A717350}"/>
    <cellStyle name="20% - Akzent5 10 4" xfId="3251" xr:uid="{3FA009DF-785D-482E-AC0D-9B8D6D7AF7E1}"/>
    <cellStyle name="20% - Akzent5 10 4 2" xfId="3252" xr:uid="{3545293C-A73E-4520-A89C-0FDA7A267006}"/>
    <cellStyle name="20% - Akzent5 10 4 2 2" xfId="22740" xr:uid="{C4E69D40-36E0-4427-AB4A-1DA87A515A3B}"/>
    <cellStyle name="20% - Akzent5 10 4 3" xfId="22739" xr:uid="{E1FE0976-9634-434C-82F8-8A2B335FDD79}"/>
    <cellStyle name="20% - Akzent5 10 5" xfId="3253" xr:uid="{BF0521B0-6AE8-4F3D-959D-3591266B9531}"/>
    <cellStyle name="20% - Akzent5 10 5 2" xfId="3254" xr:uid="{518FDD37-2F6A-48A6-BA9C-059FB540F7EC}"/>
    <cellStyle name="20% - Akzent5 10 5 2 2" xfId="22742" xr:uid="{EBD118DE-1CFB-4040-B28F-4E047FBB1108}"/>
    <cellStyle name="20% - Akzent5 10 5 3" xfId="22741" xr:uid="{85F5F7BE-EABC-435B-84E6-F5898B1DCB1F}"/>
    <cellStyle name="20% - Akzent5 10 6" xfId="3255" xr:uid="{CCCB1C94-6C22-4E15-8C9E-0BA3F4CEBDDE}"/>
    <cellStyle name="20% - Akzent5 10 6 2" xfId="3256" xr:uid="{9E5D1A49-B923-44BF-AFC0-5FE994825371}"/>
    <cellStyle name="20% - Akzent5 10 6 2 2" xfId="22744" xr:uid="{ECD5C47A-59BF-4555-BB55-336CAA2B78D1}"/>
    <cellStyle name="20% - Akzent5 10 6 3" xfId="22743" xr:uid="{B44BA45F-9F15-4388-A9B2-99C87A90ED8E}"/>
    <cellStyle name="20% - Akzent5 10 7" xfId="3257" xr:uid="{74F91276-8F7C-400C-A054-4855B761095A}"/>
    <cellStyle name="20% - Akzent5 10 7 2" xfId="3258" xr:uid="{1BBE3F5F-75A4-4057-BD28-BCC90FB962C4}"/>
    <cellStyle name="20% - Akzent5 10 7 2 2" xfId="22746" xr:uid="{40A1F2AB-3E24-4E48-936F-A1E4BD67F086}"/>
    <cellStyle name="20% - Akzent5 10 7 3" xfId="22745" xr:uid="{4AF6AAEF-841C-413F-9E82-C724B6DAB26F}"/>
    <cellStyle name="20% - Akzent5 10 8" xfId="3259" xr:uid="{18F85317-45EF-493D-AC1B-0A711E83BB7A}"/>
    <cellStyle name="20% - Akzent5 10 8 2" xfId="3260" xr:uid="{E66124B1-6858-461A-B3BB-3147C127D75F}"/>
    <cellStyle name="20% - Akzent5 10 8 2 2" xfId="22748" xr:uid="{423D3AC9-FED1-4A5A-890C-E36ED738438E}"/>
    <cellStyle name="20% - Akzent5 10 8 3" xfId="22747" xr:uid="{C6066302-E606-4F0A-A38E-054D2F7F7A6C}"/>
    <cellStyle name="20% - Akzent5 10 9" xfId="3261" xr:uid="{E49C9A01-FF10-446E-BB2F-B634586F6440}"/>
    <cellStyle name="20% - Akzent5 10 9 2" xfId="3262" xr:uid="{A4B87EFF-D595-42AE-8CAC-D75DCD29BDDC}"/>
    <cellStyle name="20% - Akzent5 10 9 2 2" xfId="22750" xr:uid="{BA03BDA9-4897-4CA5-8D6E-713E65F5E16C}"/>
    <cellStyle name="20% - Akzent5 10 9 3" xfId="22749" xr:uid="{E5708A33-977E-475C-B53B-8D52DE1FBF06}"/>
    <cellStyle name="20% - Akzent5 11" xfId="3263" xr:uid="{548938F0-B460-4D29-8AA5-F8B56E594062}"/>
    <cellStyle name="20% - Akzent5 11 10" xfId="3264" xr:uid="{F4D1D2AF-C991-4088-88AF-DE913D23E0C2}"/>
    <cellStyle name="20% - Akzent5 11 10 2" xfId="3265" xr:uid="{765BA9D1-635F-4C1C-9C5C-0E60CAE2FC07}"/>
    <cellStyle name="20% - Akzent5 11 10 2 2" xfId="22753" xr:uid="{C4338A56-D6D4-4ACF-BDE3-01EA62539B8E}"/>
    <cellStyle name="20% - Akzent5 11 10 3" xfId="22752" xr:uid="{8B94A015-CF0C-4ED6-8278-5542F46DB124}"/>
    <cellStyle name="20% - Akzent5 11 11" xfId="3266" xr:uid="{34BE4189-0D19-41CA-9027-4040FAEE282D}"/>
    <cellStyle name="20% - Akzent5 11 11 2" xfId="3267" xr:uid="{9CD67D6B-E598-4A8C-8DA2-BF1B8A332FA4}"/>
    <cellStyle name="20% - Akzent5 11 11 2 2" xfId="22755" xr:uid="{2B5B3CAF-02B5-406C-B0C7-DE9848478F71}"/>
    <cellStyle name="20% - Akzent5 11 11 3" xfId="22754" xr:uid="{B7AB5D7D-837E-4F4D-B5B4-A4B648189048}"/>
    <cellStyle name="20% - Akzent5 11 12" xfId="3268" xr:uid="{1A658116-7989-4ADB-8058-BBD8012BBE10}"/>
    <cellStyle name="20% - Akzent5 11 12 2" xfId="3269" xr:uid="{244F6E4B-567F-4730-B871-6020D53488C1}"/>
    <cellStyle name="20% - Akzent5 11 12 2 2" xfId="22757" xr:uid="{0443326E-5B10-47FB-9FA8-71CED96D7D7B}"/>
    <cellStyle name="20% - Akzent5 11 12 3" xfId="22756" xr:uid="{5BDA968C-BD12-4372-9C02-DC45CD458569}"/>
    <cellStyle name="20% - Akzent5 11 13" xfId="3270" xr:uid="{4CDF5C28-0CC3-4CA6-8E05-D650423B8796}"/>
    <cellStyle name="20% - Akzent5 11 13 2" xfId="3271" xr:uid="{D774A4BE-059D-429F-952A-B8FE50F5F014}"/>
    <cellStyle name="20% - Akzent5 11 13 2 2" xfId="22759" xr:uid="{B1E3505D-6CB6-4B4B-BED9-A007A4971F32}"/>
    <cellStyle name="20% - Akzent5 11 13 3" xfId="22758" xr:uid="{D56E19B1-FFA4-4DFD-B951-B450CD895D58}"/>
    <cellStyle name="20% - Akzent5 11 14" xfId="3272" xr:uid="{86A7AE3E-D88A-47DB-99F6-949E1E1C9C55}"/>
    <cellStyle name="20% - Akzent5 11 14 2" xfId="3273" xr:uid="{E5E5C37B-E571-4AA5-8B74-9CFD31C532ED}"/>
    <cellStyle name="20% - Akzent5 11 14 2 2" xfId="22761" xr:uid="{4A41A3CF-1421-4998-9B58-F7F9DFB7A1D5}"/>
    <cellStyle name="20% - Akzent5 11 14 3" xfId="22760" xr:uid="{F3A28A79-76E8-4F9C-BF5B-A168E1C707F7}"/>
    <cellStyle name="20% - Akzent5 11 15" xfId="3274" xr:uid="{DBEBD711-8762-4C80-98C7-AE33CFAA3B10}"/>
    <cellStyle name="20% - Akzent5 11 15 2" xfId="3275" xr:uid="{48A37C66-4FF7-4B5D-9FB1-0E08E34A1B88}"/>
    <cellStyle name="20% - Akzent5 11 15 2 2" xfId="22763" xr:uid="{B3E2DF1C-463D-4B7C-97AE-731A6ECE5DB3}"/>
    <cellStyle name="20% - Akzent5 11 15 3" xfId="22762" xr:uid="{DACD7338-416B-48F8-8595-C6E74D3C46EB}"/>
    <cellStyle name="20% - Akzent5 11 16" xfId="3276" xr:uid="{EC75605D-3F76-4B08-A71D-6ED7B53891EF}"/>
    <cellStyle name="20% - Akzent5 11 16 2" xfId="3277" xr:uid="{18902DFA-E925-4E80-A029-0CE358F1A3C0}"/>
    <cellStyle name="20% - Akzent5 11 16 2 2" xfId="22765" xr:uid="{A0D7A24F-AFD8-4AD8-910F-574F0FE2CF14}"/>
    <cellStyle name="20% - Akzent5 11 16 3" xfId="22764" xr:uid="{9DF2D024-AF90-4060-BB8E-E259FA58AD87}"/>
    <cellStyle name="20% - Akzent5 11 17" xfId="3278" xr:uid="{54372B71-1D46-4DF7-B593-AEE67BD70A71}"/>
    <cellStyle name="20% - Akzent5 11 17 2" xfId="3279" xr:uid="{5476BB02-47B1-48E1-896D-EC655B7CE0B7}"/>
    <cellStyle name="20% - Akzent5 11 17 2 2" xfId="22767" xr:uid="{7C076364-8739-4598-AC24-E293C375E134}"/>
    <cellStyle name="20% - Akzent5 11 17 3" xfId="22766" xr:uid="{AF91885A-294B-46FF-A673-C7A6845E1F8B}"/>
    <cellStyle name="20% - Akzent5 11 18" xfId="3280" xr:uid="{869FA150-7AD7-41D0-8400-3823D4FC2582}"/>
    <cellStyle name="20% - Akzent5 11 18 2" xfId="3281" xr:uid="{A3458985-23F8-4D6C-9A3C-61A2B4612BB8}"/>
    <cellStyle name="20% - Akzent5 11 18 2 2" xfId="22769" xr:uid="{DE938BDD-1FEB-4E9C-B663-120A573A17CC}"/>
    <cellStyle name="20% - Akzent5 11 18 3" xfId="22768" xr:uid="{F993F48A-6EAF-4571-81B7-BCE0CADA2238}"/>
    <cellStyle name="20% - Akzent5 11 19" xfId="3282" xr:uid="{47F961DA-8DBB-467C-9290-9471E65A9603}"/>
    <cellStyle name="20% - Akzent5 11 19 2" xfId="3283" xr:uid="{327FBDAA-DFD5-4020-84F0-10B56BF4E439}"/>
    <cellStyle name="20% - Akzent5 11 19 2 2" xfId="22771" xr:uid="{245B8405-8B1E-43AD-8D9C-140BD6A57E8B}"/>
    <cellStyle name="20% - Akzent5 11 19 3" xfId="22770" xr:uid="{42CFB0DB-4402-4B13-BB9C-4A7F6D774EB4}"/>
    <cellStyle name="20% - Akzent5 11 2" xfId="3284" xr:uid="{1F208047-E4E8-412B-A007-6CC65ED6C522}"/>
    <cellStyle name="20% - Akzent5 11 2 2" xfId="3285" xr:uid="{8C7C731D-45B9-4853-9A91-5EC63A9A09B8}"/>
    <cellStyle name="20% - Akzent5 11 2 2 2" xfId="22773" xr:uid="{909B3E78-6441-4E17-98F6-C508C6B8B206}"/>
    <cellStyle name="20% - Akzent5 11 2 3" xfId="22772" xr:uid="{7133A96E-8AB0-4878-A282-83F3DECFE0E8}"/>
    <cellStyle name="20% - Akzent5 11 20" xfId="3286" xr:uid="{0B2D2FD0-D073-4D9F-A472-5CB9AF5A659F}"/>
    <cellStyle name="20% - Akzent5 11 20 2" xfId="3287" xr:uid="{2B554C8E-80DD-4D8F-96FF-25836B93B748}"/>
    <cellStyle name="20% - Akzent5 11 20 2 2" xfId="22775" xr:uid="{7ED8A7F9-2CF4-4F51-8889-FA1B07DB50ED}"/>
    <cellStyle name="20% - Akzent5 11 20 3" xfId="22774" xr:uid="{1D3FA911-70C2-4211-BFBD-E4B8500B62FA}"/>
    <cellStyle name="20% - Akzent5 11 21" xfId="3288" xr:uid="{CA2ECAFE-0BE3-44E5-97E1-5A787FCB7EEF}"/>
    <cellStyle name="20% - Akzent5 11 21 2" xfId="3289" xr:uid="{3AE330E2-8DE8-400C-BF8E-7A15743E1418}"/>
    <cellStyle name="20% - Akzent5 11 21 2 2" xfId="22777" xr:uid="{A063A51A-44E4-4269-BDC7-E66AD1A19140}"/>
    <cellStyle name="20% - Akzent5 11 21 3" xfId="22776" xr:uid="{3992987F-7A11-49C2-972A-04117368E301}"/>
    <cellStyle name="20% - Akzent5 11 22" xfId="3290" xr:uid="{094C1EC1-3379-41CD-AB1E-81ABCDA14317}"/>
    <cellStyle name="20% - Akzent5 11 23" xfId="22751" xr:uid="{CA987371-F538-4A9E-9CF9-FF9A3EF5E277}"/>
    <cellStyle name="20% - Akzent5 11 3" xfId="3291" xr:uid="{8B02D13A-FAAF-4A01-B6C4-49AADF539261}"/>
    <cellStyle name="20% - Akzent5 11 3 2" xfId="3292" xr:uid="{FD9507A2-E89F-4713-9780-2CDE8E05D396}"/>
    <cellStyle name="20% - Akzent5 11 3 2 2" xfId="22779" xr:uid="{448C92AF-FEF8-4C86-AE1C-50A2369A48C3}"/>
    <cellStyle name="20% - Akzent5 11 3 3" xfId="22778" xr:uid="{6CD6BD53-E848-4F64-86BD-56756A2471DC}"/>
    <cellStyle name="20% - Akzent5 11 4" xfId="3293" xr:uid="{F56BD25B-CF72-4C65-8A2A-CCFE31E7571D}"/>
    <cellStyle name="20% - Akzent5 11 4 2" xfId="3294" xr:uid="{7A101980-85C4-43DC-9475-FEEFF8D581A6}"/>
    <cellStyle name="20% - Akzent5 11 4 2 2" xfId="22781" xr:uid="{5B187BF8-4456-4E8A-AE3A-F9C523AB0C1A}"/>
    <cellStyle name="20% - Akzent5 11 4 3" xfId="22780" xr:uid="{1FEE54B0-5845-402D-A947-7836BF6AD749}"/>
    <cellStyle name="20% - Akzent5 11 5" xfId="3295" xr:uid="{70D00C32-AE42-44FB-8D32-8D4B880E4DB2}"/>
    <cellStyle name="20% - Akzent5 11 5 2" xfId="3296" xr:uid="{53794856-BF9D-4713-88AB-3A08600FFF78}"/>
    <cellStyle name="20% - Akzent5 11 5 2 2" xfId="22783" xr:uid="{396E8404-A361-49A9-9059-477CBB330E00}"/>
    <cellStyle name="20% - Akzent5 11 5 3" xfId="22782" xr:uid="{C39DBAA2-EE90-41F6-BB8C-BA6F867B162C}"/>
    <cellStyle name="20% - Akzent5 11 6" xfId="3297" xr:uid="{42CB8F52-BC62-4BDB-A386-4D05338FE0F4}"/>
    <cellStyle name="20% - Akzent5 11 6 2" xfId="3298" xr:uid="{34434F6C-2614-41AE-95CA-AC4F6BE0BBFA}"/>
    <cellStyle name="20% - Akzent5 11 6 2 2" xfId="22785" xr:uid="{03216A56-03CD-4563-ABB3-01D0427F22A6}"/>
    <cellStyle name="20% - Akzent5 11 6 3" xfId="22784" xr:uid="{CCA330F1-3792-4714-A943-660AC7C887F9}"/>
    <cellStyle name="20% - Akzent5 11 7" xfId="3299" xr:uid="{B0F2DC0B-7450-442C-96B4-C397A99914A8}"/>
    <cellStyle name="20% - Akzent5 11 7 2" xfId="3300" xr:uid="{A4576F1C-102B-41A4-A4D0-C8FFDAB76D91}"/>
    <cellStyle name="20% - Akzent5 11 7 2 2" xfId="22787" xr:uid="{188AC40C-7DC6-49F7-9176-5794B2E5F21D}"/>
    <cellStyle name="20% - Akzent5 11 7 3" xfId="22786" xr:uid="{5CE99F35-9A08-4AA0-BB18-484781556E90}"/>
    <cellStyle name="20% - Akzent5 11 8" xfId="3301" xr:uid="{6C2A8FE7-0E5F-4DE3-8512-61A0C4B6E3C4}"/>
    <cellStyle name="20% - Akzent5 11 8 2" xfId="3302" xr:uid="{10C83027-B317-4FE2-A406-469E3ACFC94F}"/>
    <cellStyle name="20% - Akzent5 11 8 2 2" xfId="22789" xr:uid="{5583B75B-5C44-47E0-9689-34400FB6EF84}"/>
    <cellStyle name="20% - Akzent5 11 8 3" xfId="22788" xr:uid="{FD4EC3AC-C499-48AA-8FCB-0B3412B8DF2C}"/>
    <cellStyle name="20% - Akzent5 11 9" xfId="3303" xr:uid="{251120AD-8907-4A43-A171-599860A5492B}"/>
    <cellStyle name="20% - Akzent5 11 9 2" xfId="3304" xr:uid="{5D807075-6EE9-4C7D-82D5-F0F7DCBAF79F}"/>
    <cellStyle name="20% - Akzent5 11 9 2 2" xfId="22791" xr:uid="{59154A88-3846-47CE-88F0-888011A1BFBF}"/>
    <cellStyle name="20% - Akzent5 11 9 3" xfId="22790" xr:uid="{F6EFF2A8-507E-400B-B1A9-1D0931EF178E}"/>
    <cellStyle name="20% - Akzent5 12" xfId="3305" xr:uid="{51015260-3FB5-474F-9BF2-A8927C771E65}"/>
    <cellStyle name="20% - Akzent5 12 10" xfId="3306" xr:uid="{4BC25294-0609-41B0-82DB-FCD8E006A57A}"/>
    <cellStyle name="20% - Akzent5 12 10 2" xfId="3307" xr:uid="{AFB2C6A7-3031-4194-A67E-CCCFB7634F51}"/>
    <cellStyle name="20% - Akzent5 12 10 2 2" xfId="22794" xr:uid="{F7E6B5C7-F3A4-4D82-A103-5499238D4B93}"/>
    <cellStyle name="20% - Akzent5 12 10 3" xfId="22793" xr:uid="{FE50C16E-1473-49FB-8F1B-B8A32C17D37C}"/>
    <cellStyle name="20% - Akzent5 12 11" xfId="3308" xr:uid="{A24A0479-217B-4CD7-8CB4-9C7193B4BE8E}"/>
    <cellStyle name="20% - Akzent5 12 11 2" xfId="3309" xr:uid="{9B3233EE-CCDA-40E4-B30A-64C4F94735CD}"/>
    <cellStyle name="20% - Akzent5 12 11 2 2" xfId="22796" xr:uid="{9B87C2EB-EB27-4A68-A930-90D77841D114}"/>
    <cellStyle name="20% - Akzent5 12 11 3" xfId="22795" xr:uid="{2BACC9F7-472C-4F23-A306-94BDF54EC5AB}"/>
    <cellStyle name="20% - Akzent5 12 12" xfId="3310" xr:uid="{0ACEBE97-C36C-4DF9-BA5F-94614AEF2586}"/>
    <cellStyle name="20% - Akzent5 12 12 2" xfId="3311" xr:uid="{B41DAFCB-7FE1-4CD8-B40B-65C88EF44B00}"/>
    <cellStyle name="20% - Akzent5 12 12 2 2" xfId="22798" xr:uid="{0702C53A-DC3D-4BEA-A6FC-2CCDA62B0082}"/>
    <cellStyle name="20% - Akzent5 12 12 3" xfId="22797" xr:uid="{3C936CB0-4164-49A1-BDF4-FC8233D1A979}"/>
    <cellStyle name="20% - Akzent5 12 13" xfId="3312" xr:uid="{5E4FAD1A-285F-46C5-8DCA-42CFF4894073}"/>
    <cellStyle name="20% - Akzent5 12 13 2" xfId="3313" xr:uid="{ACA81438-4B5D-43CB-BB70-B9EB534AFB90}"/>
    <cellStyle name="20% - Akzent5 12 13 2 2" xfId="22800" xr:uid="{8074693A-87C6-4082-856E-B7D695407125}"/>
    <cellStyle name="20% - Akzent5 12 13 3" xfId="22799" xr:uid="{95D8C4A1-6336-43F5-A4AC-A31C9C7FEB79}"/>
    <cellStyle name="20% - Akzent5 12 14" xfId="3314" xr:uid="{5B77F817-F2D4-4ADF-8078-C33F6039932C}"/>
    <cellStyle name="20% - Akzent5 12 14 2" xfId="3315" xr:uid="{B1FCF267-0775-4A44-8E4B-7BF65BF7BA76}"/>
    <cellStyle name="20% - Akzent5 12 14 2 2" xfId="22802" xr:uid="{08391CDE-3E91-4A80-B2E3-18B56D76ED20}"/>
    <cellStyle name="20% - Akzent5 12 14 3" xfId="22801" xr:uid="{6346B049-820E-4872-9272-DC0032271F84}"/>
    <cellStyle name="20% - Akzent5 12 15" xfId="3316" xr:uid="{7B27B9A4-6C66-4ADF-B997-3B6D87D0C230}"/>
    <cellStyle name="20% - Akzent5 12 15 2" xfId="3317" xr:uid="{3DEA7ECF-0B56-4895-897F-3192E5675F4C}"/>
    <cellStyle name="20% - Akzent5 12 15 2 2" xfId="22804" xr:uid="{2514C7DE-0FFF-4A7F-85C4-420114AC3F65}"/>
    <cellStyle name="20% - Akzent5 12 15 3" xfId="22803" xr:uid="{DFB41C88-59BD-4774-ABA9-21ED1B8CA8A0}"/>
    <cellStyle name="20% - Akzent5 12 16" xfId="3318" xr:uid="{6B2E9176-E991-47D6-B837-7F4B1C0F8DC8}"/>
    <cellStyle name="20% - Akzent5 12 16 2" xfId="3319" xr:uid="{5AFE39C5-68D0-4397-82C6-4C84B43843A3}"/>
    <cellStyle name="20% - Akzent5 12 16 2 2" xfId="22806" xr:uid="{84933439-9810-4B6B-B465-ABBF4CAF6F69}"/>
    <cellStyle name="20% - Akzent5 12 16 3" xfId="22805" xr:uid="{805B4C5B-D5DD-4AF5-B99E-26B70C9128A9}"/>
    <cellStyle name="20% - Akzent5 12 17" xfId="3320" xr:uid="{7456C8CC-759B-46F1-BE39-C33C64D832FD}"/>
    <cellStyle name="20% - Akzent5 12 17 2" xfId="3321" xr:uid="{B1777C97-1A05-4C1D-84E0-B1B7F1FD482F}"/>
    <cellStyle name="20% - Akzent5 12 17 2 2" xfId="22808" xr:uid="{E26D7F88-0049-4AA2-9B63-CD57743DF20C}"/>
    <cellStyle name="20% - Akzent5 12 17 3" xfId="22807" xr:uid="{B2E980A0-F4FB-4330-B727-09734C8C0BDF}"/>
    <cellStyle name="20% - Akzent5 12 18" xfId="3322" xr:uid="{6D4DE947-5799-4E99-9372-A963352A63A8}"/>
    <cellStyle name="20% - Akzent5 12 18 2" xfId="3323" xr:uid="{DA6875FC-1377-4D44-85D0-3A95B2A7FE55}"/>
    <cellStyle name="20% - Akzent5 12 18 2 2" xfId="22810" xr:uid="{435230CE-668F-42AC-843C-1B8EBBB20AC3}"/>
    <cellStyle name="20% - Akzent5 12 18 3" xfId="22809" xr:uid="{CE5C15D7-9B03-4D21-A700-603683E4FCEB}"/>
    <cellStyle name="20% - Akzent5 12 19" xfId="3324" xr:uid="{ED6F4551-14A2-4ED3-B524-D03C8C3AD5D7}"/>
    <cellStyle name="20% - Akzent5 12 19 2" xfId="3325" xr:uid="{089A5A8B-9C2B-4394-A14E-ED72FF9C7825}"/>
    <cellStyle name="20% - Akzent5 12 19 2 2" xfId="22812" xr:uid="{8161CBC8-2613-41F2-9F86-57F9ABB4C843}"/>
    <cellStyle name="20% - Akzent5 12 19 3" xfId="22811" xr:uid="{40FC6E64-67C8-4F0A-B1B0-86D2E8BB5A09}"/>
    <cellStyle name="20% - Akzent5 12 2" xfId="3326" xr:uid="{49BF894E-084A-4228-ABDD-C418820AF3FC}"/>
    <cellStyle name="20% - Akzent5 12 2 2" xfId="3327" xr:uid="{F2D13A70-B5B0-4B60-A46D-1E1769D849A5}"/>
    <cellStyle name="20% - Akzent5 12 2 2 2" xfId="22814" xr:uid="{62706E39-3FBA-4B8B-BFC9-153C0B6397C3}"/>
    <cellStyle name="20% - Akzent5 12 2 3" xfId="22813" xr:uid="{D17F5D6A-F7DB-481A-B8C1-5D139123C739}"/>
    <cellStyle name="20% - Akzent5 12 20" xfId="3328" xr:uid="{53D7CA3F-1BE8-4ADA-A9CD-E56593A2F999}"/>
    <cellStyle name="20% - Akzent5 12 20 2" xfId="3329" xr:uid="{5EAEB78A-88B0-484E-A3DF-C9D9E2743EA7}"/>
    <cellStyle name="20% - Akzent5 12 20 2 2" xfId="22816" xr:uid="{D99A37A4-2F8C-463C-B695-E30E109D26A4}"/>
    <cellStyle name="20% - Akzent5 12 20 3" xfId="22815" xr:uid="{BBE42173-0797-4540-8BB8-65AA9FA1919A}"/>
    <cellStyle name="20% - Akzent5 12 21" xfId="3330" xr:uid="{D656DFB1-95E0-40BC-B407-190D3194FF05}"/>
    <cellStyle name="20% - Akzent5 12 21 2" xfId="3331" xr:uid="{521B5558-3E9D-4963-B9D5-E0C64B4D519B}"/>
    <cellStyle name="20% - Akzent5 12 21 2 2" xfId="22818" xr:uid="{B6F3CDD1-E61F-4634-8CF8-1A6851982BC3}"/>
    <cellStyle name="20% - Akzent5 12 21 3" xfId="22817" xr:uid="{AACC103D-A133-44D8-BBBF-2FF6FBEF2538}"/>
    <cellStyle name="20% - Akzent5 12 22" xfId="3332" xr:uid="{D95F7F25-7A18-497F-AF7E-DABD511520B1}"/>
    <cellStyle name="20% - Akzent5 12 23" xfId="22792" xr:uid="{CCF38DF7-4576-4145-BC25-5C4476CE29A1}"/>
    <cellStyle name="20% - Akzent5 12 3" xfId="3333" xr:uid="{C950B088-0EC0-4ECC-9AD7-CA9D708522D7}"/>
    <cellStyle name="20% - Akzent5 12 3 2" xfId="3334" xr:uid="{BE2BC62C-49C0-494E-B32A-15A6AFEAFC0E}"/>
    <cellStyle name="20% - Akzent5 12 3 2 2" xfId="22820" xr:uid="{123A0403-5158-4A39-A38F-370DB185FF4C}"/>
    <cellStyle name="20% - Akzent5 12 3 3" xfId="22819" xr:uid="{045728CC-8BFB-45E3-805D-BA15E3C20AE1}"/>
    <cellStyle name="20% - Akzent5 12 4" xfId="3335" xr:uid="{7BE9C4E3-D0CF-4DF0-8314-37B4760A1FD4}"/>
    <cellStyle name="20% - Akzent5 12 4 2" xfId="3336" xr:uid="{AC173FED-4EC5-4149-AB99-5DDF56F372DD}"/>
    <cellStyle name="20% - Akzent5 12 4 2 2" xfId="22822" xr:uid="{1A63E1C2-8609-461A-85D5-4CF2F9A9CCF6}"/>
    <cellStyle name="20% - Akzent5 12 4 3" xfId="22821" xr:uid="{4834F617-8B8B-4658-BF3B-7F8FA4DC3202}"/>
    <cellStyle name="20% - Akzent5 12 5" xfId="3337" xr:uid="{49AB56FD-9DCA-4829-B7B0-480B0E0EB704}"/>
    <cellStyle name="20% - Akzent5 12 5 2" xfId="3338" xr:uid="{70CDB607-326A-4012-9B41-39295C3E043F}"/>
    <cellStyle name="20% - Akzent5 12 5 2 2" xfId="22824" xr:uid="{D47D6B37-A903-4EBF-BFF4-755F20B80095}"/>
    <cellStyle name="20% - Akzent5 12 5 3" xfId="22823" xr:uid="{C96CE24B-64F4-4E62-B040-F1E1E91B5876}"/>
    <cellStyle name="20% - Akzent5 12 6" xfId="3339" xr:uid="{C763E337-2D2B-45F1-9ADD-C42B79CF9D42}"/>
    <cellStyle name="20% - Akzent5 12 6 2" xfId="3340" xr:uid="{BD92BADB-FED7-4C92-A270-6018965DBB19}"/>
    <cellStyle name="20% - Akzent5 12 6 2 2" xfId="22826" xr:uid="{615ADBB2-314E-488A-9007-8E53D2F1ECAC}"/>
    <cellStyle name="20% - Akzent5 12 6 3" xfId="22825" xr:uid="{4890E748-4EA9-458D-9AAF-BDDED828152B}"/>
    <cellStyle name="20% - Akzent5 12 7" xfId="3341" xr:uid="{6FC1331D-C1CB-496A-A667-4B18339EAD68}"/>
    <cellStyle name="20% - Akzent5 12 7 2" xfId="3342" xr:uid="{B2B885EC-77A0-401D-A5C1-AE7703A3E440}"/>
    <cellStyle name="20% - Akzent5 12 7 2 2" xfId="22828" xr:uid="{9BE586E2-8933-43EC-8C65-134C5333A7B7}"/>
    <cellStyle name="20% - Akzent5 12 7 3" xfId="22827" xr:uid="{D858C714-4F70-49C2-AB2B-F4ECC062B813}"/>
    <cellStyle name="20% - Akzent5 12 8" xfId="3343" xr:uid="{04338E4F-F5CF-4F08-B141-BF0823C55292}"/>
    <cellStyle name="20% - Akzent5 12 8 2" xfId="3344" xr:uid="{48A2110B-F97D-47F8-8763-19698A32A2BC}"/>
    <cellStyle name="20% - Akzent5 12 8 2 2" xfId="22830" xr:uid="{AA1AF7B4-C97D-438E-AE7C-3B3ED6416414}"/>
    <cellStyle name="20% - Akzent5 12 8 3" xfId="22829" xr:uid="{20A770CE-08F7-410B-B754-C3A3EB252450}"/>
    <cellStyle name="20% - Akzent5 12 9" xfId="3345" xr:uid="{E579F0E3-C158-4FE3-AE6A-BB5F459C067E}"/>
    <cellStyle name="20% - Akzent5 12 9 2" xfId="3346" xr:uid="{391C0D33-0E41-44DD-A3E2-3D5B6EF26507}"/>
    <cellStyle name="20% - Akzent5 12 9 2 2" xfId="22832" xr:uid="{BB0C76F8-A873-4EFD-BA28-B50A9AE34A8C}"/>
    <cellStyle name="20% - Akzent5 12 9 3" xfId="22831" xr:uid="{DFA8CE80-649D-4F1C-B0AA-928E8D8DD20E}"/>
    <cellStyle name="20% - Akzent5 13" xfId="3347" xr:uid="{237431AC-BA1D-4136-8795-1DF1EF547A36}"/>
    <cellStyle name="20% - Akzent5 13 10" xfId="3348" xr:uid="{51356F40-3869-4682-8F06-4FD86ECF9ECC}"/>
    <cellStyle name="20% - Akzent5 13 10 2" xfId="3349" xr:uid="{3B72F80C-55A4-448D-87AF-0F21808E3F57}"/>
    <cellStyle name="20% - Akzent5 13 10 2 2" xfId="22835" xr:uid="{FED46367-9015-43E3-949A-89C4A5257DB4}"/>
    <cellStyle name="20% - Akzent5 13 10 3" xfId="22834" xr:uid="{26A68410-EAAB-40B3-8131-EB0B55326FC5}"/>
    <cellStyle name="20% - Akzent5 13 11" xfId="3350" xr:uid="{A8EDED43-E8F1-42ED-9112-041ECF9E8355}"/>
    <cellStyle name="20% - Akzent5 13 11 2" xfId="3351" xr:uid="{550C2900-D95C-4FEE-A567-701574D6F380}"/>
    <cellStyle name="20% - Akzent5 13 11 2 2" xfId="22837" xr:uid="{CD40CA8E-D5E2-4DEF-9973-3604B706F28B}"/>
    <cellStyle name="20% - Akzent5 13 11 3" xfId="22836" xr:uid="{0E423BFC-8B89-4EF8-8C64-5610DFABA626}"/>
    <cellStyle name="20% - Akzent5 13 12" xfId="3352" xr:uid="{CFE17A31-474C-46CC-883F-779715FC3C6E}"/>
    <cellStyle name="20% - Akzent5 13 12 2" xfId="3353" xr:uid="{A0F939E1-0097-43D5-8D2E-A3DDEA77042E}"/>
    <cellStyle name="20% - Akzent5 13 12 2 2" xfId="22839" xr:uid="{564C64E4-A476-4827-A82B-F6B9961FB53A}"/>
    <cellStyle name="20% - Akzent5 13 12 3" xfId="22838" xr:uid="{BDE2FEA9-2821-4279-AC9F-021E521FAFB1}"/>
    <cellStyle name="20% - Akzent5 13 13" xfId="3354" xr:uid="{FE382F46-1E31-4CC1-9F00-9160F45BB693}"/>
    <cellStyle name="20% - Akzent5 13 13 2" xfId="3355" xr:uid="{20131631-AF10-4AAA-8850-AB64122D69BA}"/>
    <cellStyle name="20% - Akzent5 13 13 2 2" xfId="22841" xr:uid="{16DD78A3-ECDB-4ACB-9940-9DE6B0B791A7}"/>
    <cellStyle name="20% - Akzent5 13 13 3" xfId="22840" xr:uid="{8BB526EA-5C67-4425-BA42-50E9E7A5F6C6}"/>
    <cellStyle name="20% - Akzent5 13 14" xfId="3356" xr:uid="{498E8A0E-24AB-45FE-9E95-B8323A231A6E}"/>
    <cellStyle name="20% - Akzent5 13 15" xfId="22833" xr:uid="{D1A0BFCD-5F4A-429D-AD86-0AF9258414CC}"/>
    <cellStyle name="20% - Akzent5 13 2" xfId="3357" xr:uid="{DE3012D9-B415-4A3A-9B5D-B7065B4EFE41}"/>
    <cellStyle name="20% - Akzent5 13 2 2" xfId="3358" xr:uid="{C88275B1-7B61-4B79-B157-50E7CA83E8D8}"/>
    <cellStyle name="20% - Akzent5 13 2 2 2" xfId="22843" xr:uid="{CF5913F0-DBC9-49DA-9274-1DE3C0E26765}"/>
    <cellStyle name="20% - Akzent5 13 2 3" xfId="22842" xr:uid="{3851B7DE-E47B-4704-91A8-0238BE76152B}"/>
    <cellStyle name="20% - Akzent5 13 3" xfId="3359" xr:uid="{90E2D343-1648-4C57-B6E6-328AC341E167}"/>
    <cellStyle name="20% - Akzent5 13 3 2" xfId="3360" xr:uid="{2E69B4A6-AD90-4FEE-AEF3-2E95EA35A458}"/>
    <cellStyle name="20% - Akzent5 13 3 2 2" xfId="22845" xr:uid="{5F7266EE-911E-4A7D-8233-1965D783D08A}"/>
    <cellStyle name="20% - Akzent5 13 3 3" xfId="22844" xr:uid="{BAC0F904-0214-48E2-9FBB-3105CA6B8FC9}"/>
    <cellStyle name="20% - Akzent5 13 4" xfId="3361" xr:uid="{CA139BC1-C241-43EC-A99A-5F201FE0057C}"/>
    <cellStyle name="20% - Akzent5 13 4 2" xfId="3362" xr:uid="{5F8DFFFD-3102-421F-AC4F-399847DF3FAF}"/>
    <cellStyle name="20% - Akzent5 13 4 2 2" xfId="22847" xr:uid="{039D2E59-057C-4A64-861D-E01E4AB171E0}"/>
    <cellStyle name="20% - Akzent5 13 4 3" xfId="22846" xr:uid="{F855706D-F899-4C6F-8338-8BB75A0C6EFB}"/>
    <cellStyle name="20% - Akzent5 13 5" xfId="3363" xr:uid="{DEDF61A2-139E-4278-B43D-CC22EB5B6C2F}"/>
    <cellStyle name="20% - Akzent5 13 5 2" xfId="3364" xr:uid="{3DDFBD2C-9EC3-4F20-B5DC-1838E5F59364}"/>
    <cellStyle name="20% - Akzent5 13 5 2 2" xfId="22849" xr:uid="{AD0D3CD1-0D3E-402D-8C4F-792330BE50F4}"/>
    <cellStyle name="20% - Akzent5 13 5 3" xfId="22848" xr:uid="{EA0A0C57-9676-46E1-BE71-086AB8D2B49B}"/>
    <cellStyle name="20% - Akzent5 13 6" xfId="3365" xr:uid="{FB29C6FF-FBDC-462D-9F30-6489D30F50C1}"/>
    <cellStyle name="20% - Akzent5 13 6 2" xfId="3366" xr:uid="{037F8E1C-9FA8-4C37-8D5B-887AE996AC30}"/>
    <cellStyle name="20% - Akzent5 13 6 2 2" xfId="22851" xr:uid="{1E9C82CB-5415-433D-8F03-DA3D7E6AC9B1}"/>
    <cellStyle name="20% - Akzent5 13 6 3" xfId="22850" xr:uid="{3657C8D1-3305-4803-A863-B9B8391275F6}"/>
    <cellStyle name="20% - Akzent5 13 7" xfId="3367" xr:uid="{C8918B54-AA96-4818-AF71-38B3C4723D79}"/>
    <cellStyle name="20% - Akzent5 13 7 2" xfId="3368" xr:uid="{ACCDE1B8-4C3D-4F6B-A76D-7EEB6704CF13}"/>
    <cellStyle name="20% - Akzent5 13 7 2 2" xfId="22853" xr:uid="{CCAD3722-471B-4525-9DF6-0D37B49F91FD}"/>
    <cellStyle name="20% - Akzent5 13 7 3" xfId="22852" xr:uid="{D8963D09-CE80-49D7-A4CB-DA7EF3704D6D}"/>
    <cellStyle name="20% - Akzent5 13 8" xfId="3369" xr:uid="{3F1E47DF-177E-4AB1-9EEF-F7C808B47FF9}"/>
    <cellStyle name="20% - Akzent5 13 8 2" xfId="3370" xr:uid="{F15F89F1-774B-420F-A0E3-DB997BC3E013}"/>
    <cellStyle name="20% - Akzent5 13 8 2 2" xfId="22855" xr:uid="{21430312-75B2-429A-BCF7-A27DDA46B099}"/>
    <cellStyle name="20% - Akzent5 13 8 3" xfId="22854" xr:uid="{1F4C53DE-43FE-424C-82C3-116C6A0517F7}"/>
    <cellStyle name="20% - Akzent5 13 9" xfId="3371" xr:uid="{0942BF2D-9AC7-4B2D-9585-CC82E5FF6888}"/>
    <cellStyle name="20% - Akzent5 13 9 2" xfId="3372" xr:uid="{D224089D-591F-4C0A-9C56-2C895374A148}"/>
    <cellStyle name="20% - Akzent5 13 9 2 2" xfId="22857" xr:uid="{5B8CCF40-0AD2-4CE7-A994-4AD9424BD3B6}"/>
    <cellStyle name="20% - Akzent5 13 9 3" xfId="22856" xr:uid="{B665284E-2706-41B4-B3E8-427A293FB950}"/>
    <cellStyle name="20% - Akzent5 14" xfId="3373" xr:uid="{930037C8-B322-40AE-A626-0EEEC683DA40}"/>
    <cellStyle name="20% - Akzent5 14 2" xfId="3374" xr:uid="{6117EABC-EEBA-4CBE-93AA-E01E932BA879}"/>
    <cellStyle name="20% - Akzent5 14 2 2" xfId="22859" xr:uid="{8104FABF-95DD-44EF-8094-9CF5A138E9DA}"/>
    <cellStyle name="20% - Akzent5 14 3" xfId="3375" xr:uid="{71DE5C41-5405-4D04-822E-F333AFBFC7EA}"/>
    <cellStyle name="20% - Akzent5 14 3 2" xfId="22860" xr:uid="{8EBF9FB2-D390-4F98-8C8F-0C29D5ECDCCE}"/>
    <cellStyle name="20% - Akzent5 14 4" xfId="22858" xr:uid="{031FA1B8-8697-4593-8922-21CAC98F5AAD}"/>
    <cellStyle name="20% - Akzent5 15" xfId="3376" xr:uid="{B2F9FD71-93DC-4039-B07D-91978C0530AA}"/>
    <cellStyle name="20% - Akzent5 15 2" xfId="3377" xr:uid="{4D4BD348-985F-4CA3-8938-DEC2A05A90FC}"/>
    <cellStyle name="20% - Akzent5 15 2 2" xfId="22862" xr:uid="{7E46A976-2975-479A-AFA6-D5FCA2849247}"/>
    <cellStyle name="20% - Akzent5 15 3" xfId="3378" xr:uid="{9506841E-AD36-4F6F-B4D9-A4754F11F46B}"/>
    <cellStyle name="20% - Akzent5 15 3 2" xfId="22863" xr:uid="{7D06C0F5-8695-4FC9-A17E-2191C47478ED}"/>
    <cellStyle name="20% - Akzent5 15 4" xfId="22861" xr:uid="{0F615579-682B-4FEF-BD35-790B2B44FDEA}"/>
    <cellStyle name="20% - Akzent5 16" xfId="3379" xr:uid="{4F19E8D3-8C7C-45F8-9520-D1A89D1DD6CF}"/>
    <cellStyle name="20% - Akzent5 16 2" xfId="3380" xr:uid="{2D41E141-C427-4BA9-8545-07FC260CA387}"/>
    <cellStyle name="20% - Akzent5 16 2 2" xfId="22865" xr:uid="{EFC7B852-A5E9-4CC6-BEA6-3FC2A4469341}"/>
    <cellStyle name="20% - Akzent5 16 3" xfId="3381" xr:uid="{B32FD47D-5C90-42F2-875E-BD66FB0F8366}"/>
    <cellStyle name="20% - Akzent5 16 3 2" xfId="22866" xr:uid="{035EAF1F-4C91-4CF3-955B-B349664BF1BE}"/>
    <cellStyle name="20% - Akzent5 16 4" xfId="22864" xr:uid="{80D9A693-0BFF-41AD-BE8B-EC59ACDBB9DA}"/>
    <cellStyle name="20% - Akzent5 17" xfId="3382" xr:uid="{18F2A4B8-D7F8-43BE-AB36-C620527E6484}"/>
    <cellStyle name="20% - Akzent5 17 2" xfId="3383" xr:uid="{D6B4DC2B-8676-402E-A1CF-AC22515A23F4}"/>
    <cellStyle name="20% - Akzent5 17 2 2" xfId="22868" xr:uid="{9310D254-B253-46B3-9D21-7F643D98EFDE}"/>
    <cellStyle name="20% - Akzent5 17 3" xfId="3384" xr:uid="{81295E33-B4E5-48C6-98FA-31266FB24F08}"/>
    <cellStyle name="20% - Akzent5 17 3 2" xfId="22869" xr:uid="{C4092E92-35E1-4CE3-A92E-6A25EBA8FD8C}"/>
    <cellStyle name="20% - Akzent5 17 4" xfId="22867" xr:uid="{7987F87E-D932-450C-B5FB-F67C79D1ABF2}"/>
    <cellStyle name="20% - Akzent5 18" xfId="3385" xr:uid="{5CDF4CE4-4137-4206-B981-1240D8248812}"/>
    <cellStyle name="20% - Akzent5 18 2" xfId="3386" xr:uid="{5B1C76A3-23D8-46DF-9F42-CB714DC99F78}"/>
    <cellStyle name="20% - Akzent5 18 2 2" xfId="22871" xr:uid="{CD8A3E1D-15B0-463B-9478-8C0F5FD8032F}"/>
    <cellStyle name="20% - Akzent5 18 3" xfId="3387" xr:uid="{4EC6EF83-8690-4D09-A9E7-0CD7CC22B5C3}"/>
    <cellStyle name="20% - Akzent5 18 3 2" xfId="22872" xr:uid="{87266788-7D37-4516-8DAA-8BFD263DFC28}"/>
    <cellStyle name="20% - Akzent5 18 4" xfId="22870" xr:uid="{62755CE5-4A86-421C-9F44-B7B6FE059EAC}"/>
    <cellStyle name="20% - Akzent5 19" xfId="3388" xr:uid="{5507C2B0-74C4-48AA-9625-06A4630A1CA5}"/>
    <cellStyle name="20% - Akzent5 19 2" xfId="3389" xr:uid="{04263C99-C6D5-428C-BE3B-5C506466C9EB}"/>
    <cellStyle name="20% - Akzent5 19 2 2" xfId="22874" xr:uid="{0D6DDF03-F149-43C0-BE15-263CAB300691}"/>
    <cellStyle name="20% - Akzent5 19 3" xfId="3390" xr:uid="{573D02EA-C148-4B64-8795-506F304E3D4A}"/>
    <cellStyle name="20% - Akzent5 19 3 2" xfId="22875" xr:uid="{703E4918-4CEF-4A8F-8C33-4BFB6F921EA2}"/>
    <cellStyle name="20% - Akzent5 19 4" xfId="22873" xr:uid="{D98F2E0C-3ED8-4B80-8C85-EDA8418E9849}"/>
    <cellStyle name="20% - Akzent5 2" xfId="105" xr:uid="{DD0CEC7A-BF88-46B3-AB0C-F86C03BAA1BC}"/>
    <cellStyle name="20% - Akzent5 2 10" xfId="3392" xr:uid="{FFFF050B-ECE2-4257-827D-5B3485EBB091}"/>
    <cellStyle name="20% - Akzent5 2 10 2" xfId="3393" xr:uid="{73165091-25CB-4072-8A75-CB73616F6899}"/>
    <cellStyle name="20% - Akzent5 2 10 2 2" xfId="22878" xr:uid="{639FA5DF-B582-4648-9782-3613A1AA9AF8}"/>
    <cellStyle name="20% - Akzent5 2 10 3" xfId="22877" xr:uid="{A18BE0CD-522E-40D9-B3B9-FD5B0E019D7D}"/>
    <cellStyle name="20% - Akzent5 2 11" xfId="3394" xr:uid="{16FDD8F8-170C-453A-B912-6DFE94E4EC47}"/>
    <cellStyle name="20% - Akzent5 2 11 2" xfId="3395" xr:uid="{3DB45EF8-6106-4325-95AC-BB9E7A1E0893}"/>
    <cellStyle name="20% - Akzent5 2 11 2 2" xfId="22880" xr:uid="{DB099D97-9B79-4E44-9709-7ED67FAA7D8E}"/>
    <cellStyle name="20% - Akzent5 2 11 3" xfId="22879" xr:uid="{12BFE0CA-29B3-4848-A159-4209ECAABB90}"/>
    <cellStyle name="20% - Akzent5 2 12" xfId="3396" xr:uid="{78C68E66-6BBB-4D63-8E4D-3BC1BF2B877A}"/>
    <cellStyle name="20% - Akzent5 2 12 2" xfId="3397" xr:uid="{C7ABAB97-9C9C-4ECC-AAEF-03E3F2F99099}"/>
    <cellStyle name="20% - Akzent5 2 12 2 2" xfId="22882" xr:uid="{C40936B7-6735-4BC1-9A05-596198AC490D}"/>
    <cellStyle name="20% - Akzent5 2 12 3" xfId="22881" xr:uid="{840AF804-39D0-4485-9DEF-D97467BD8E3F}"/>
    <cellStyle name="20% - Akzent5 2 13" xfId="3398" xr:uid="{BE5956AC-A08B-4F8F-B6E8-44D4321D0312}"/>
    <cellStyle name="20% - Akzent5 2 13 2" xfId="3399" xr:uid="{DAA00E48-8673-4A74-B013-84856A38673D}"/>
    <cellStyle name="20% - Akzent5 2 13 2 2" xfId="22884" xr:uid="{FE58DFC6-663E-4B99-BB2B-6B6BCA839D37}"/>
    <cellStyle name="20% - Akzent5 2 13 3" xfId="22883" xr:uid="{A5368118-F18E-4F17-9654-CF0BC3F0EA1F}"/>
    <cellStyle name="20% - Akzent5 2 14" xfId="3400" xr:uid="{AE873D18-311B-4E76-AA30-87D863522106}"/>
    <cellStyle name="20% - Akzent5 2 14 2" xfId="3401" xr:uid="{1A60EC4D-8102-4953-9F74-758D8208AC95}"/>
    <cellStyle name="20% - Akzent5 2 14 2 2" xfId="22886" xr:uid="{AF83E387-EBD1-4E07-BAC2-B1A036ED067D}"/>
    <cellStyle name="20% - Akzent5 2 14 3" xfId="22885" xr:uid="{5C7C36A9-FF8B-49FA-99C2-3594AE2E0EF8}"/>
    <cellStyle name="20% - Akzent5 2 15" xfId="3402" xr:uid="{C0F9C1A1-6286-4A3C-966C-7E306FD63C91}"/>
    <cellStyle name="20% - Akzent5 2 15 2" xfId="3403" xr:uid="{67F8F628-374C-4B70-AA04-986C162A496C}"/>
    <cellStyle name="20% - Akzent5 2 15 2 2" xfId="22888" xr:uid="{245095E3-50C4-462D-821C-EE7CC50FB6F5}"/>
    <cellStyle name="20% - Akzent5 2 15 3" xfId="22887" xr:uid="{2E8B4306-D138-4037-AF52-F70045DA735C}"/>
    <cellStyle name="20% - Akzent5 2 16" xfId="3404" xr:uid="{E87D4C1B-5ECD-4BD2-BB33-D1E0EBD8EEAF}"/>
    <cellStyle name="20% - Akzent5 2 16 2" xfId="3405" xr:uid="{B3C42854-BBAD-4C70-A277-EEC6E737BD0E}"/>
    <cellStyle name="20% - Akzent5 2 16 2 2" xfId="22890" xr:uid="{658949A3-345C-4980-9107-9D85E15C2DCE}"/>
    <cellStyle name="20% - Akzent5 2 16 3" xfId="22889" xr:uid="{641583F2-CD70-4D49-846A-D61D0506A7B1}"/>
    <cellStyle name="20% - Akzent5 2 17" xfId="3406" xr:uid="{0092AE49-0E10-4514-A4CE-B47CD2F38CD5}"/>
    <cellStyle name="20% - Akzent5 2 17 2" xfId="3407" xr:uid="{3E4C4AFF-03C3-474B-BA3E-D05376702631}"/>
    <cellStyle name="20% - Akzent5 2 17 2 2" xfId="22892" xr:uid="{40E1A0FC-4121-4F3A-94CF-750AF65EBB57}"/>
    <cellStyle name="20% - Akzent5 2 17 3" xfId="22891" xr:uid="{C6EB03CE-AC97-4911-AF57-ED2C14C6A701}"/>
    <cellStyle name="20% - Akzent5 2 18" xfId="3408" xr:uid="{36C54323-FB8F-438D-9CE0-43103622B246}"/>
    <cellStyle name="20% - Akzent5 2 18 2" xfId="3409" xr:uid="{70FC9D92-C533-4896-90C7-60EC882C8EB4}"/>
    <cellStyle name="20% - Akzent5 2 18 2 2" xfId="22894" xr:uid="{EEE578C6-6166-4B3B-8726-AA5BDBD202B2}"/>
    <cellStyle name="20% - Akzent5 2 18 3" xfId="22893" xr:uid="{29FA292B-18E1-4874-A569-3A5B98F16664}"/>
    <cellStyle name="20% - Akzent5 2 19" xfId="3410" xr:uid="{59278B58-9414-4AA4-A540-7934730BE622}"/>
    <cellStyle name="20% - Akzent5 2 19 2" xfId="3411" xr:uid="{086A0C00-CB69-4465-A601-25BC3B8036AB}"/>
    <cellStyle name="20% - Akzent5 2 19 2 2" xfId="22896" xr:uid="{0BA1C6CD-EEC0-4A92-95A7-3E5479E7ABBD}"/>
    <cellStyle name="20% - Akzent5 2 19 3" xfId="22895" xr:uid="{9AC6AB7F-95B0-4F16-B9F2-ECA80A8B6BB4}"/>
    <cellStyle name="20% - Akzent5 2 2" xfId="3412" xr:uid="{AB65466D-DA69-458A-B341-78603105591A}"/>
    <cellStyle name="20% - Akzent5 2 2 10" xfId="3413" xr:uid="{17945204-A80A-421D-974A-DCB2DE0AAF75}"/>
    <cellStyle name="20% - Akzent5 2 2 11" xfId="3414" xr:uid="{AA5A031B-FEF0-4CE0-B448-6E0EC7A0F433}"/>
    <cellStyle name="20% - Akzent5 2 2 12" xfId="3415" xr:uid="{CCA8F0C9-A22A-463F-AFA2-A5866D9AD2A8}"/>
    <cellStyle name="20% - Akzent5 2 2 13" xfId="3416" xr:uid="{CA5A098C-940E-438C-90D3-A56C18D6A397}"/>
    <cellStyle name="20% - Akzent5 2 2 13 2" xfId="3417" xr:uid="{71E56CC5-A85E-4D25-B0FF-38BCB2BEBD5E}"/>
    <cellStyle name="20% - Akzent5 2 2 13 2 2" xfId="22899" xr:uid="{7C773319-EB2D-4123-88F9-6E852C31C7DA}"/>
    <cellStyle name="20% - Akzent5 2 2 13 3" xfId="22898" xr:uid="{6EF24693-3198-4BA3-959B-B8A4B6984D24}"/>
    <cellStyle name="20% - Akzent5 2 2 14" xfId="3418" xr:uid="{B7F06314-9BBE-488F-83A1-29B7A1CEEDCC}"/>
    <cellStyle name="20% - Akzent5 2 2 14 2" xfId="3419" xr:uid="{8D57BD15-2CBF-4E72-AC3F-A761606A9FAC}"/>
    <cellStyle name="20% - Akzent5 2 2 14 2 2" xfId="22901" xr:uid="{E6C4553D-1358-4802-8F58-088BFA09919A}"/>
    <cellStyle name="20% - Akzent5 2 2 14 3" xfId="22900" xr:uid="{3C769637-1F01-41D1-9BEC-752365F1CD3F}"/>
    <cellStyle name="20% - Akzent5 2 2 15" xfId="3420" xr:uid="{04278D37-639C-4031-AD9D-23D6960E0E62}"/>
    <cellStyle name="20% - Akzent5 2 2 15 2" xfId="3421" xr:uid="{40F10C49-3D02-420C-98AD-9A3A7E61B16C}"/>
    <cellStyle name="20% - Akzent5 2 2 15 2 2" xfId="22903" xr:uid="{CC1A7051-43A4-4316-94D0-6938218CA0FE}"/>
    <cellStyle name="20% - Akzent5 2 2 15 3" xfId="22902" xr:uid="{2AC027BE-1BB4-437E-B509-3186E404CC87}"/>
    <cellStyle name="20% - Akzent5 2 2 16" xfId="3422" xr:uid="{0ED93EC8-5B36-43D5-81BD-1F50FADBE705}"/>
    <cellStyle name="20% - Akzent5 2 2 16 2" xfId="3423" xr:uid="{87B4AB6B-A07B-4267-AF51-800908CFB69C}"/>
    <cellStyle name="20% - Akzent5 2 2 16 2 2" xfId="22905" xr:uid="{3C3CDF63-5693-43AC-9229-6B827D5B8277}"/>
    <cellStyle name="20% - Akzent5 2 2 16 3" xfId="22904" xr:uid="{69D635EB-1070-4799-A8AA-A67D6BB2963B}"/>
    <cellStyle name="20% - Akzent5 2 2 17" xfId="3424" xr:uid="{CA45ACA9-DE42-4D3D-81DF-BD813A6356E1}"/>
    <cellStyle name="20% - Akzent5 2 2 17 2" xfId="3425" xr:uid="{F0B8D728-8387-4842-883E-0EF623DD9889}"/>
    <cellStyle name="20% - Akzent5 2 2 17 2 2" xfId="22907" xr:uid="{402C740C-A44A-4856-BDCD-5F74C49245B1}"/>
    <cellStyle name="20% - Akzent5 2 2 17 3" xfId="22906" xr:uid="{907C58C0-C83D-4BA6-B4AB-B0AFDEFCD629}"/>
    <cellStyle name="20% - Akzent5 2 2 18" xfId="3426" xr:uid="{7DCA1857-FC0A-4AD3-B1BE-63B60130E597}"/>
    <cellStyle name="20% - Akzent5 2 2 18 2" xfId="3427" xr:uid="{50C3492D-14ED-42A5-8E41-E727D6CFBB5C}"/>
    <cellStyle name="20% - Akzent5 2 2 18 2 2" xfId="22909" xr:uid="{E7712A67-D64D-471E-B8AC-74A2F14D1046}"/>
    <cellStyle name="20% - Akzent5 2 2 18 3" xfId="22908" xr:uid="{3880694D-60DD-4367-BE92-2A1AE6DE404B}"/>
    <cellStyle name="20% - Akzent5 2 2 19" xfId="3428" xr:uid="{4C2C4162-BA7D-4189-A4F6-CCEE910C6025}"/>
    <cellStyle name="20% - Akzent5 2 2 19 2" xfId="3429" xr:uid="{83BC6628-5DED-48BE-AA7C-4817021CDD78}"/>
    <cellStyle name="20% - Akzent5 2 2 19 2 2" xfId="22911" xr:uid="{110EE106-D03E-4C27-BD4A-E2AA7E81468E}"/>
    <cellStyle name="20% - Akzent5 2 2 19 3" xfId="22910" xr:uid="{BE97A7F5-BCF0-4F36-A355-9857BDA6C3BE}"/>
    <cellStyle name="20% - Akzent5 2 2 2" xfId="3430" xr:uid="{32D85A65-54FB-4E0E-9329-35352B0E07CC}"/>
    <cellStyle name="20% - Akzent5 2 2 2 10" xfId="3431" xr:uid="{A96336FD-5A41-4A04-911E-C52D0F12624D}"/>
    <cellStyle name="20% - Akzent5 2 2 2 10 2" xfId="3432" xr:uid="{9DA25CC3-CF61-4880-A8C1-2909ABADEAF9}"/>
    <cellStyle name="20% - Akzent5 2 2 2 10 2 2" xfId="22914" xr:uid="{E860C2FA-2D71-4B0F-9B0A-FCB1D46CEC72}"/>
    <cellStyle name="20% - Akzent5 2 2 2 10 3" xfId="22913" xr:uid="{DC7756A0-9896-4A33-A016-70E44ADF3C05}"/>
    <cellStyle name="20% - Akzent5 2 2 2 11" xfId="3433" xr:uid="{063E15B9-9344-4403-A7DB-BCACC1E10654}"/>
    <cellStyle name="20% - Akzent5 2 2 2 11 2" xfId="22915" xr:uid="{66728B62-AD6B-4312-912B-69575B20AD61}"/>
    <cellStyle name="20% - Akzent5 2 2 2 12" xfId="22912" xr:uid="{368925AB-6A71-4083-B23B-9014F1B5206F}"/>
    <cellStyle name="20% - Akzent5 2 2 2 13" xfId="39925" xr:uid="{C19B767B-5A4E-4714-97AD-027B804F75EA}"/>
    <cellStyle name="20% - Akzent5 2 2 2 2" xfId="3434" xr:uid="{3234D7D8-0C23-4A4F-BE26-AAE8D94CD690}"/>
    <cellStyle name="20% - Akzent5 2 2 2 2 2" xfId="3435" xr:uid="{BC78C47B-BD08-4058-98EC-F707C3C562F5}"/>
    <cellStyle name="20% - Akzent5 2 2 2 2 2 10" xfId="22916" xr:uid="{0A736847-59FF-446E-B960-4602AE727669}"/>
    <cellStyle name="20% - Akzent5 2 2 2 2 2 2" xfId="3436" xr:uid="{FB96E16A-897F-4D11-9948-A2B891EA0042}"/>
    <cellStyle name="20% - Akzent5 2 2 2 2 2 2 2" xfId="3437" xr:uid="{59FA2FD0-7BB6-4D04-A0A7-CA6821CA3D49}"/>
    <cellStyle name="20% - Akzent5 2 2 2 2 2 2 2 2" xfId="3438" xr:uid="{74D31FC9-0889-4066-B685-EDF7D18EBD1A}"/>
    <cellStyle name="20% - Akzent5 2 2 2 2 2 2 2 2 2" xfId="22918" xr:uid="{E29CEA0A-9659-4D90-8F6E-417EB05C11EC}"/>
    <cellStyle name="20% - Akzent5 2 2 2 2 2 2 2 3" xfId="22917" xr:uid="{F4C9AB42-7B16-439F-A996-5199B3AC32D9}"/>
    <cellStyle name="20% - Akzent5 2 2 2 2 2 3" xfId="3439" xr:uid="{80B60348-9D7F-448F-B8AC-F30A73A03A8B}"/>
    <cellStyle name="20% - Akzent5 2 2 2 2 2 3 2" xfId="3440" xr:uid="{F9C4CBE6-25FB-4C28-97F3-34C426BCA538}"/>
    <cellStyle name="20% - Akzent5 2 2 2 2 2 3 2 2" xfId="22920" xr:uid="{762D2C53-120E-4315-B839-7756DEAC1FF2}"/>
    <cellStyle name="20% - Akzent5 2 2 2 2 2 3 3" xfId="22919" xr:uid="{3B182800-8B21-4718-A1F0-A3644C5A2444}"/>
    <cellStyle name="20% - Akzent5 2 2 2 2 2 4" xfId="3441" xr:uid="{FA166FB2-33C7-4EC1-9246-36752712D20F}"/>
    <cellStyle name="20% - Akzent5 2 2 2 2 2 4 2" xfId="3442" xr:uid="{50CF4DDA-09D6-4E0F-99AE-2819EF86D54C}"/>
    <cellStyle name="20% - Akzent5 2 2 2 2 2 4 2 2" xfId="22922" xr:uid="{80066A9C-96A9-423E-A9FC-773CAC608F2F}"/>
    <cellStyle name="20% - Akzent5 2 2 2 2 2 4 3" xfId="22921" xr:uid="{EA828FE7-3233-4B59-9FBA-F29FD9FEF913}"/>
    <cellStyle name="20% - Akzent5 2 2 2 2 2 5" xfId="3443" xr:uid="{03E05781-E0F5-4632-B0FE-DB95B06ED6E2}"/>
    <cellStyle name="20% - Akzent5 2 2 2 2 2 5 2" xfId="3444" xr:uid="{F6E6F10E-4D25-463B-8FE5-89E2405869AF}"/>
    <cellStyle name="20% - Akzent5 2 2 2 2 2 5 2 2" xfId="22924" xr:uid="{EFD4BFE0-93BE-4D3C-8A56-E6292A7FCA45}"/>
    <cellStyle name="20% - Akzent5 2 2 2 2 2 5 3" xfId="22923" xr:uid="{CDF76DD5-ACCB-4C4E-8D76-192CC3DB112F}"/>
    <cellStyle name="20% - Akzent5 2 2 2 2 2 6" xfId="3445" xr:uid="{714B5BE3-7EB9-492C-9806-C11B1AF809A4}"/>
    <cellStyle name="20% - Akzent5 2 2 2 2 2 6 2" xfId="3446" xr:uid="{7875A07B-5600-44E1-89E7-2854B5DEF4AC}"/>
    <cellStyle name="20% - Akzent5 2 2 2 2 2 6 2 2" xfId="22926" xr:uid="{E95C3494-9F38-4E39-8FDA-1845B6ED3992}"/>
    <cellStyle name="20% - Akzent5 2 2 2 2 2 6 3" xfId="22925" xr:uid="{18770B08-95E3-4A0F-B129-08E697574F7C}"/>
    <cellStyle name="20% - Akzent5 2 2 2 2 2 7" xfId="3447" xr:uid="{E38AD636-F616-43CA-8367-A4E8CA1EE3D3}"/>
    <cellStyle name="20% - Akzent5 2 2 2 2 2 7 2" xfId="3448" xr:uid="{E2A9F515-D83C-4401-99C5-C56F4FEFA2A3}"/>
    <cellStyle name="20% - Akzent5 2 2 2 2 2 7 2 2" xfId="22928" xr:uid="{8EA141AD-D886-4DDF-855C-7AD6982EBFA5}"/>
    <cellStyle name="20% - Akzent5 2 2 2 2 2 7 3" xfId="22927" xr:uid="{182C5CF9-156A-4B8F-A4A5-96FD944958EE}"/>
    <cellStyle name="20% - Akzent5 2 2 2 2 2 8" xfId="3449" xr:uid="{64B3BFFB-38C8-421D-B873-93C95A364B23}"/>
    <cellStyle name="20% - Akzent5 2 2 2 2 2 8 2" xfId="3450" xr:uid="{B656F932-8CD2-4F13-A6EE-8A08A61D526F}"/>
    <cellStyle name="20% - Akzent5 2 2 2 2 2 8 2 2" xfId="22930" xr:uid="{5031164B-DAD7-4825-B2B4-F14154A2000D}"/>
    <cellStyle name="20% - Akzent5 2 2 2 2 2 8 3" xfId="22929" xr:uid="{CDFCCC3E-875B-49C1-A3F8-F9E15F71C58D}"/>
    <cellStyle name="20% - Akzent5 2 2 2 2 2 9" xfId="3451" xr:uid="{6AC36E73-648E-45B9-8490-B75F06C5FFF4}"/>
    <cellStyle name="20% - Akzent5 2 2 2 2 2 9 2" xfId="22931" xr:uid="{CDBD28B7-6C57-45B0-902C-02E8BDB3A663}"/>
    <cellStyle name="20% - Akzent5 2 2 2 2 3" xfId="3452" xr:uid="{9FC639D3-3E8E-42F2-A6FB-891084A0029C}"/>
    <cellStyle name="20% - Akzent5 2 2 2 2 3 2" xfId="3453" xr:uid="{1ABA436E-95D7-4887-9D03-82E95660E30B}"/>
    <cellStyle name="20% - Akzent5 2 2 2 2 3 3" xfId="3454" xr:uid="{8DF81E4D-71C3-4BB4-A171-83354399B4E0}"/>
    <cellStyle name="20% - Akzent5 2 2 2 2 3 3 2" xfId="22933" xr:uid="{9FA83C25-DEF5-4ADC-BDFB-3FD5395841C0}"/>
    <cellStyle name="20% - Akzent5 2 2 2 2 3 4" xfId="22932" xr:uid="{0071AC26-E0BE-4939-BE23-F3997040FF21}"/>
    <cellStyle name="20% - Akzent5 2 2 2 2 4" xfId="3455" xr:uid="{95C692D6-7298-4D27-A257-99FE693D6E1A}"/>
    <cellStyle name="20% - Akzent5 2 2 2 2 5" xfId="3456" xr:uid="{E026FCE4-052C-4A53-A48F-F6BB87365D12}"/>
    <cellStyle name="20% - Akzent5 2 2 2 2 6" xfId="3457" xr:uid="{5BA5C2DE-94B0-463A-B1DF-B028A2F5DA45}"/>
    <cellStyle name="20% - Akzent5 2 2 2 2 7" xfId="3458" xr:uid="{6D3DDCDE-6828-4CE8-9586-52817E087609}"/>
    <cellStyle name="20% - Akzent5 2 2 2 2 8" xfId="3459" xr:uid="{02665C46-3A43-40F3-A3DD-30555BB11DAC}"/>
    <cellStyle name="20% - Akzent5 2 2 2 2 9" xfId="40871" xr:uid="{E9F87CA7-55E7-483C-B945-32C70821538A}"/>
    <cellStyle name="20% - Akzent5 2 2 2 3" xfId="3460" xr:uid="{93A3EE63-B787-4238-B01E-EB458E689955}"/>
    <cellStyle name="20% - Akzent5 2 2 2 3 2" xfId="3461" xr:uid="{D0545E90-54E5-484F-B225-06574F40FCAA}"/>
    <cellStyle name="20% - Akzent5 2 2 2 3 2 2" xfId="22935" xr:uid="{F7F350E0-5DB5-48BD-A78D-59226B3EF265}"/>
    <cellStyle name="20% - Akzent5 2 2 2 3 3" xfId="22934" xr:uid="{FE4202AA-BEDB-45DF-87D5-392B56DD5F5C}"/>
    <cellStyle name="20% - Akzent5 2 2 2 3 4" xfId="41731" xr:uid="{99DFD6EF-5FC0-4066-A113-B1BD3F17BF59}"/>
    <cellStyle name="20% - Akzent5 2 2 2 4" xfId="3462" xr:uid="{9798D330-33D7-4AA3-A2E9-A6BA3CE00F70}"/>
    <cellStyle name="20% - Akzent5 2 2 2 4 2" xfId="3463" xr:uid="{5057F073-6248-45DD-91F9-A1FAED7B878E}"/>
    <cellStyle name="20% - Akzent5 2 2 2 4 2 2" xfId="22937" xr:uid="{D2A2C799-5D3E-46CC-9308-37743362BD44}"/>
    <cellStyle name="20% - Akzent5 2 2 2 4 3" xfId="22936" xr:uid="{BEEFB745-066F-44EE-B22F-FCDC78C2AE8E}"/>
    <cellStyle name="20% - Akzent5 2 2 2 5" xfId="3464" xr:uid="{F6E1A19A-DF01-4BEA-8BB8-5669D949F82A}"/>
    <cellStyle name="20% - Akzent5 2 2 2 5 2" xfId="3465" xr:uid="{062C9383-54B9-4E1C-B4BB-2FDBA4E25419}"/>
    <cellStyle name="20% - Akzent5 2 2 2 5 2 2" xfId="3466" xr:uid="{706C98BC-B401-438A-8CDF-43164DC3A1B0}"/>
    <cellStyle name="20% - Akzent5 2 2 2 5 2 2 2" xfId="22939" xr:uid="{6C481C3C-6DDD-43E3-BECD-ED1C34AFF848}"/>
    <cellStyle name="20% - Akzent5 2 2 2 5 2 3" xfId="22938" xr:uid="{8507281B-D55D-4A8A-9722-07FC5ED93A7F}"/>
    <cellStyle name="20% - Akzent5 2 2 2 6" xfId="3467" xr:uid="{E7D40E56-BC24-43FB-A5E8-EE5F1069AA3F}"/>
    <cellStyle name="20% - Akzent5 2 2 2 6 2" xfId="3468" xr:uid="{9618A89C-E5DC-41BE-8EAD-43CF2AD010BE}"/>
    <cellStyle name="20% - Akzent5 2 2 2 6 2 2" xfId="22941" xr:uid="{B1CD414B-73DB-45C0-BDA8-C24D87ED7BCA}"/>
    <cellStyle name="20% - Akzent5 2 2 2 6 3" xfId="22940" xr:uid="{35D1D4E7-0BFB-49EC-88DB-5E1D0A0AC093}"/>
    <cellStyle name="20% - Akzent5 2 2 2 7" xfId="3469" xr:uid="{827BB1B2-0D07-4AB2-890E-27222EE29754}"/>
    <cellStyle name="20% - Akzent5 2 2 2 7 2" xfId="3470" xr:uid="{4DE9AFB4-7B8A-4646-B5B8-EA96EE411ED0}"/>
    <cellStyle name="20% - Akzent5 2 2 2 7 2 2" xfId="22943" xr:uid="{6C2742B3-643C-4F30-8607-B856AC11C37C}"/>
    <cellStyle name="20% - Akzent5 2 2 2 7 3" xfId="22942" xr:uid="{EBEE9F60-3FF6-4EB8-9142-C113DEDD98AD}"/>
    <cellStyle name="20% - Akzent5 2 2 2 8" xfId="3471" xr:uid="{2E6CE5B1-DF45-4B3F-8D3F-A6A09EFA16B0}"/>
    <cellStyle name="20% - Akzent5 2 2 2 8 2" xfId="3472" xr:uid="{7453EF83-8F89-427C-B25C-EC8EF43DD20C}"/>
    <cellStyle name="20% - Akzent5 2 2 2 8 2 2" xfId="22945" xr:uid="{10D9D99A-3FBC-44E2-839B-295AAB443CB1}"/>
    <cellStyle name="20% - Akzent5 2 2 2 8 3" xfId="22944" xr:uid="{8EFFFAF2-8E13-4AF2-BAB8-BC965CC5F4F6}"/>
    <cellStyle name="20% - Akzent5 2 2 2 9" xfId="3473" xr:uid="{F51F441F-9BCD-4394-93E1-7A1347418073}"/>
    <cellStyle name="20% - Akzent5 2 2 2 9 2" xfId="3474" xr:uid="{ABC613D3-A818-40E9-8443-A47922EDDD10}"/>
    <cellStyle name="20% - Akzent5 2 2 2 9 2 2" xfId="22947" xr:uid="{5109875F-CC38-4346-B933-AD099300D682}"/>
    <cellStyle name="20% - Akzent5 2 2 2 9 3" xfId="22946" xr:uid="{B6445BFF-6E31-487D-924B-EA74AA919836}"/>
    <cellStyle name="20% - Akzent5 2 2 20" xfId="3475" xr:uid="{DA54C7DF-AFC8-4CDC-BF29-356EE4CAA69E}"/>
    <cellStyle name="20% - Akzent5 2 2 20 2" xfId="3476" xr:uid="{B6D2E812-308F-4AC3-9611-9EA17D33BA75}"/>
    <cellStyle name="20% - Akzent5 2 2 20 2 2" xfId="22949" xr:uid="{71AC44F7-E1AD-4F86-936F-90161988652F}"/>
    <cellStyle name="20% - Akzent5 2 2 20 3" xfId="22948" xr:uid="{C1C457C7-4199-4AA9-9A40-D70F70BF6DF3}"/>
    <cellStyle name="20% - Akzent5 2 2 21" xfId="3477" xr:uid="{8C6C4A3F-7702-445C-BE63-4557F907B996}"/>
    <cellStyle name="20% - Akzent5 2 2 21 2" xfId="3478" xr:uid="{B3253CCF-F2ED-472A-8669-3D287E1FA77F}"/>
    <cellStyle name="20% - Akzent5 2 2 21 2 2" xfId="22951" xr:uid="{4874FE67-5D63-48AD-9AAC-9AF8459DA961}"/>
    <cellStyle name="20% - Akzent5 2 2 21 3" xfId="22950" xr:uid="{41DFC8D6-DED4-4EAD-9CFC-F6A77855536C}"/>
    <cellStyle name="20% - Akzent5 2 2 22" xfId="3479" xr:uid="{E2D114E7-5629-46AD-AC92-5001D6B5DE42}"/>
    <cellStyle name="20% - Akzent5 2 2 22 2" xfId="22952" xr:uid="{BFBF76A7-B62D-45EA-B963-A27FC0C8F23E}"/>
    <cellStyle name="20% - Akzent5 2 2 23" xfId="22897" xr:uid="{AB219009-76A4-4F04-8C08-B8E9F075467C}"/>
    <cellStyle name="20% - Akzent5 2 2 24" xfId="39295" xr:uid="{210EC2E8-2369-44A0-8147-8ABDD003877E}"/>
    <cellStyle name="20% - Akzent5 2 2 3" xfId="3480" xr:uid="{8F9EA1C8-F6C8-4948-B344-4AD8CD94FA4B}"/>
    <cellStyle name="20% - Akzent5 2 2 3 2" xfId="3481" xr:uid="{4F46E2E9-9C1D-4CA7-B0F8-616F36801028}"/>
    <cellStyle name="20% - Akzent5 2 2 3 2 2" xfId="22954" xr:uid="{13A4BE95-759F-403D-A717-FE4BFA7C6C7F}"/>
    <cellStyle name="20% - Akzent5 2 2 3 3" xfId="22953" xr:uid="{B6615DB3-659C-4E59-9E9B-2C08A19D9B53}"/>
    <cellStyle name="20% - Akzent5 2 2 3 4" xfId="40447" xr:uid="{C1514AA1-57DF-4049-9F4E-AB0C594BB7F1}"/>
    <cellStyle name="20% - Akzent5 2 2 4" xfId="3482" xr:uid="{FCFAAD82-31C0-4BFA-BCA2-25131EE7EE6D}"/>
    <cellStyle name="20% - Akzent5 2 2 4 2" xfId="3483" xr:uid="{DDECBC93-7603-4276-957E-2EEED63C1FF1}"/>
    <cellStyle name="20% - Akzent5 2 2 4 2 2" xfId="22956" xr:uid="{472E3E6E-0069-414B-8113-56A4A934C74E}"/>
    <cellStyle name="20% - Akzent5 2 2 4 3" xfId="22955" xr:uid="{330A9E4E-D814-4E7D-AFD2-73DCF74A8538}"/>
    <cellStyle name="20% - Akzent5 2 2 4 4" xfId="41307" xr:uid="{F20B9AA0-86E9-4A6B-BD33-9FBDF9CED70B}"/>
    <cellStyle name="20% - Akzent5 2 2 5" xfId="3484" xr:uid="{770223C3-6400-448C-BE2E-E6723B234DE8}"/>
    <cellStyle name="20% - Akzent5 2 2 5 2" xfId="3485" xr:uid="{2ABC6F9E-8DB4-49AF-8434-E5EEB1831ABF}"/>
    <cellStyle name="20% - Akzent5 2 2 5 3" xfId="3486" xr:uid="{076E939A-5358-4D65-AEAD-BC7D3C7E3139}"/>
    <cellStyle name="20% - Akzent5 2 2 5 3 2" xfId="22958" xr:uid="{EEBBC9D8-5E3C-41F7-90E7-F9AA91D49B6C}"/>
    <cellStyle name="20% - Akzent5 2 2 5 4" xfId="22957" xr:uid="{4D1D946A-71A4-4347-8097-6EF801218130}"/>
    <cellStyle name="20% - Akzent5 2 2 6" xfId="3487" xr:uid="{BB287E37-0E43-47CC-977B-DA7D51DB06E9}"/>
    <cellStyle name="20% - Akzent5 2 2 7" xfId="3488" xr:uid="{649A13E2-6091-4E0D-A094-934C92A6C17E}"/>
    <cellStyle name="20% - Akzent5 2 2 7 2" xfId="3489" xr:uid="{F1F1D4DE-40FE-49A4-AD1A-FF68042CEFE7}"/>
    <cellStyle name="20% - Akzent5 2 2 7 3" xfId="3490" xr:uid="{544355F8-7A07-4CB4-B3FF-A04132CB440C}"/>
    <cellStyle name="20% - Akzent5 2 2 7 3 2" xfId="22960" xr:uid="{E60F17C0-F6D8-470A-964A-5783DD296475}"/>
    <cellStyle name="20% - Akzent5 2 2 7 4" xfId="22959" xr:uid="{3E098576-EBE4-452A-87D2-80D6D202F430}"/>
    <cellStyle name="20% - Akzent5 2 2 8" xfId="3491" xr:uid="{06286841-727D-45A1-A1B9-BEDA3991F60B}"/>
    <cellStyle name="20% - Akzent5 2 2 9" xfId="3492" xr:uid="{4C23ECC2-3FC5-4692-AE26-5776B391ED09}"/>
    <cellStyle name="20% - Akzent5 2 20" xfId="3493" xr:uid="{F5582034-2E8E-4D0D-B7C1-37EA06E968C2}"/>
    <cellStyle name="20% - Akzent5 2 20 2" xfId="3494" xr:uid="{26614EEF-2A5E-4D77-BB0D-66EE6C994286}"/>
    <cellStyle name="20% - Akzent5 2 20 2 2" xfId="22962" xr:uid="{A4D53D1B-53BC-4AF1-B042-26F4EC27AEC2}"/>
    <cellStyle name="20% - Akzent5 2 20 3" xfId="22961" xr:uid="{03483AE7-4198-44AC-9BA3-92A22B7E8B24}"/>
    <cellStyle name="20% - Akzent5 2 21" xfId="3495" xr:uid="{39B0D952-0A0F-4E3D-AB4D-043A409843CC}"/>
    <cellStyle name="20% - Akzent5 2 21 2" xfId="3496" xr:uid="{811FE2B6-6389-41D1-9855-B517F256A672}"/>
    <cellStyle name="20% - Akzent5 2 21 2 2" xfId="22964" xr:uid="{22257849-F265-4584-A833-456EBF7B4104}"/>
    <cellStyle name="20% - Akzent5 2 21 3" xfId="22963" xr:uid="{B16A2D09-A81D-4AC6-A588-B34948E3D13B}"/>
    <cellStyle name="20% - Akzent5 2 22" xfId="3497" xr:uid="{D68140A9-3678-4513-9B69-BEBC9A375925}"/>
    <cellStyle name="20% - Akzent5 2 22 2" xfId="3498" xr:uid="{2D245E40-6BDD-49D3-8605-18F5BC8AD238}"/>
    <cellStyle name="20% - Akzent5 2 22 2 2" xfId="22966" xr:uid="{B84B9519-D4FC-4E4A-B568-CA7608727C26}"/>
    <cellStyle name="20% - Akzent5 2 22 3" xfId="22965" xr:uid="{189D4561-DB08-4E56-A857-4A772895FD66}"/>
    <cellStyle name="20% - Akzent5 2 23" xfId="3499" xr:uid="{CED44F1D-D5C1-4527-B47F-71FFA14FCB66}"/>
    <cellStyle name="20% - Akzent5 2 23 2" xfId="3500" xr:uid="{F3182EA5-B463-4D64-9B1D-4E1711157084}"/>
    <cellStyle name="20% - Akzent5 2 23 2 2" xfId="22968" xr:uid="{7F4B165D-B460-4BE8-B7D4-9F552AE93D80}"/>
    <cellStyle name="20% - Akzent5 2 23 3" xfId="22967" xr:uid="{A9AB8285-FE84-45D4-BD9B-DA9AE8EC645A}"/>
    <cellStyle name="20% - Akzent5 2 24" xfId="3501" xr:uid="{72A4A0D0-C68C-483A-90C7-24C75255F15C}"/>
    <cellStyle name="20% - Akzent5 2 25" xfId="22876" xr:uid="{08BDB768-0FD0-4E02-958E-C832B98A02E3}"/>
    <cellStyle name="20% - Akzent5 2 26" xfId="39294" xr:uid="{61357CE0-0407-4BA0-BC6F-FC2EB615238B}"/>
    <cellStyle name="20% - Akzent5 2 27" xfId="3391" xr:uid="{692F0CC2-ECBC-4913-B7A9-B92A12898B27}"/>
    <cellStyle name="20% - Akzent5 2 3" xfId="3502" xr:uid="{DA24869C-FC17-409B-B479-13D7E4514C34}"/>
    <cellStyle name="20% - Akzent5 2 3 10" xfId="3503" xr:uid="{70CA8323-E6FD-4114-BC7E-38D800AE7FB6}"/>
    <cellStyle name="20% - Akzent5 2 3 10 2" xfId="3504" xr:uid="{10D9CBBC-C222-4675-9197-21751924E896}"/>
    <cellStyle name="20% - Akzent5 2 3 10 2 2" xfId="22971" xr:uid="{09AE1703-DDDB-4EE1-A820-C0C8BC9CCA79}"/>
    <cellStyle name="20% - Akzent5 2 3 10 3" xfId="22970" xr:uid="{DBCE8DDA-FA5D-41E5-9978-67F817097B59}"/>
    <cellStyle name="20% - Akzent5 2 3 11" xfId="3505" xr:uid="{B6256596-A014-4E2D-903E-9CF8989083C4}"/>
    <cellStyle name="20% - Akzent5 2 3 11 2" xfId="3506" xr:uid="{4890A094-B429-412D-A544-EA26B0033C97}"/>
    <cellStyle name="20% - Akzent5 2 3 11 2 2" xfId="22973" xr:uid="{0D255F8B-6276-4443-8A71-6EA4B4444AE4}"/>
    <cellStyle name="20% - Akzent5 2 3 11 3" xfId="22972" xr:uid="{A48BAB99-C018-4AA4-AB93-CD591E620F5A}"/>
    <cellStyle name="20% - Akzent5 2 3 12" xfId="3507" xr:uid="{5981A596-5626-44A4-87D2-648A23D932F6}"/>
    <cellStyle name="20% - Akzent5 2 3 12 2" xfId="3508" xr:uid="{FC7D5B01-2D99-4C40-B98B-B50249A0D72A}"/>
    <cellStyle name="20% - Akzent5 2 3 12 2 2" xfId="22975" xr:uid="{018301B7-43EC-409A-B30C-FB18D43A56EB}"/>
    <cellStyle name="20% - Akzent5 2 3 12 3" xfId="22974" xr:uid="{5CA3049B-F175-4F61-B7F5-EA48FE931E5E}"/>
    <cellStyle name="20% - Akzent5 2 3 13" xfId="3509" xr:uid="{4ECC6A4F-7242-409C-B036-3AE60061D688}"/>
    <cellStyle name="20% - Akzent5 2 3 13 2" xfId="3510" xr:uid="{5BDE4701-C2DF-4BBB-9637-435B19EE3B8A}"/>
    <cellStyle name="20% - Akzent5 2 3 13 2 2" xfId="22977" xr:uid="{DBDD8E74-6045-47DE-881E-8013ECD914F0}"/>
    <cellStyle name="20% - Akzent5 2 3 13 3" xfId="22976" xr:uid="{5BB013A8-4A69-423B-AD02-8B7BAF286333}"/>
    <cellStyle name="20% - Akzent5 2 3 14" xfId="3511" xr:uid="{41F421C6-8314-48B2-8974-8C94E3F110F8}"/>
    <cellStyle name="20% - Akzent5 2 3 14 2" xfId="3512" xr:uid="{FA4EE0E2-5C57-465A-945E-6F0AA4A30681}"/>
    <cellStyle name="20% - Akzent5 2 3 14 2 2" xfId="22979" xr:uid="{822626DD-2384-47A5-89DC-DC128A480EA6}"/>
    <cellStyle name="20% - Akzent5 2 3 14 3" xfId="22978" xr:uid="{9691489E-8A52-4440-8B52-CD491CEBC60D}"/>
    <cellStyle name="20% - Akzent5 2 3 15" xfId="3513" xr:uid="{E34C5FDB-66F1-4EC1-9D94-DC106EE27D9B}"/>
    <cellStyle name="20% - Akzent5 2 3 15 2" xfId="3514" xr:uid="{B206CFA9-A330-4249-BCC8-886E6870367D}"/>
    <cellStyle name="20% - Akzent5 2 3 15 2 2" xfId="22981" xr:uid="{761A79CF-0449-4073-8B6B-B3F5D04541D3}"/>
    <cellStyle name="20% - Akzent5 2 3 15 3" xfId="22980" xr:uid="{0ACF3B57-A1C6-4D53-97CD-2977E6244825}"/>
    <cellStyle name="20% - Akzent5 2 3 16" xfId="3515" xr:uid="{74C8547E-2327-42AD-92C9-6E29A07EAC6D}"/>
    <cellStyle name="20% - Akzent5 2 3 16 2" xfId="3516" xr:uid="{3F6E0D13-E1EB-4B24-8218-4DEB402FE349}"/>
    <cellStyle name="20% - Akzent5 2 3 16 2 2" xfId="22983" xr:uid="{51AD6510-4253-4E2C-B28A-B93293571FC9}"/>
    <cellStyle name="20% - Akzent5 2 3 16 3" xfId="22982" xr:uid="{45055970-D77C-435B-8C28-AA25191F9480}"/>
    <cellStyle name="20% - Akzent5 2 3 17" xfId="3517" xr:uid="{C9824C5D-AC04-40EF-ACF7-5DA21D9C0B93}"/>
    <cellStyle name="20% - Akzent5 2 3 17 2" xfId="3518" xr:uid="{23372DA0-00B4-4BE4-95FC-31714B0C9FF4}"/>
    <cellStyle name="20% - Akzent5 2 3 17 2 2" xfId="22985" xr:uid="{E2F04214-225F-4F36-82B5-E7B2CC12F5B2}"/>
    <cellStyle name="20% - Akzent5 2 3 17 3" xfId="22984" xr:uid="{83BF1420-24DA-4646-A753-DA3E978C763D}"/>
    <cellStyle name="20% - Akzent5 2 3 18" xfId="3519" xr:uid="{3F500C6C-868B-4D08-85C1-580E44247A47}"/>
    <cellStyle name="20% - Akzent5 2 3 18 2" xfId="3520" xr:uid="{F2FEB928-49E9-45F9-96E7-57B6567B8721}"/>
    <cellStyle name="20% - Akzent5 2 3 18 2 2" xfId="22987" xr:uid="{C875440E-E073-4327-B40E-343DA61A32C0}"/>
    <cellStyle name="20% - Akzent5 2 3 18 3" xfId="22986" xr:uid="{7C55D395-A2F4-4217-B6FF-667990E69A5B}"/>
    <cellStyle name="20% - Akzent5 2 3 19" xfId="3521" xr:uid="{B0BAEDE0-9044-4B19-9B63-13B68191AD1F}"/>
    <cellStyle name="20% - Akzent5 2 3 19 2" xfId="3522" xr:uid="{8EF2DF8F-365B-4CCF-A7C6-EDB3C3F9A3C2}"/>
    <cellStyle name="20% - Akzent5 2 3 19 2 2" xfId="22989" xr:uid="{26E84204-29B2-42CD-AF78-032E36AD703B}"/>
    <cellStyle name="20% - Akzent5 2 3 19 3" xfId="22988" xr:uid="{5804CADD-AC1C-47DF-BE42-651D2364B8E0}"/>
    <cellStyle name="20% - Akzent5 2 3 2" xfId="3523" xr:uid="{82CC6440-5DDE-47A8-81A2-2ED2D2370E6B}"/>
    <cellStyle name="20% - Akzent5 2 3 2 2" xfId="3524" xr:uid="{286FB50B-A360-4449-9564-4EC6860BC909}"/>
    <cellStyle name="20% - Akzent5 2 3 2 2 2" xfId="22991" xr:uid="{250321B6-0BB3-42E1-B30D-78C311440BE1}"/>
    <cellStyle name="20% - Akzent5 2 3 2 3" xfId="22990" xr:uid="{DDF61431-17AE-4DD8-9A88-50B86C1B521D}"/>
    <cellStyle name="20% - Akzent5 2 3 2 4" xfId="40870" xr:uid="{83BD7529-E534-41EE-8FA8-B758E3ECBF3E}"/>
    <cellStyle name="20% - Akzent5 2 3 20" xfId="3525" xr:uid="{435FD9D3-1AC3-4F90-A2F6-1DBC8266B591}"/>
    <cellStyle name="20% - Akzent5 2 3 20 2" xfId="3526" xr:uid="{628D6D1F-858B-4A67-8886-78201927AA38}"/>
    <cellStyle name="20% - Akzent5 2 3 20 2 2" xfId="22993" xr:uid="{F6177E3C-795F-4FC6-893C-DFE2BCBB8291}"/>
    <cellStyle name="20% - Akzent5 2 3 20 3" xfId="22992" xr:uid="{F76C177C-9991-4191-95FE-289A0BAF2F81}"/>
    <cellStyle name="20% - Akzent5 2 3 21" xfId="3527" xr:uid="{E1F6369A-A40F-49C5-93DF-93F6CB3E6115}"/>
    <cellStyle name="20% - Akzent5 2 3 21 2" xfId="3528" xr:uid="{5DACB510-B3AE-4486-ADD6-0F448AF9D498}"/>
    <cellStyle name="20% - Akzent5 2 3 21 2 2" xfId="22995" xr:uid="{8E8EB757-3D70-4644-ACDF-E6BA17CD8C7C}"/>
    <cellStyle name="20% - Akzent5 2 3 21 3" xfId="22994" xr:uid="{7BCFB332-3289-453D-8C68-A0F32EDD624E}"/>
    <cellStyle name="20% - Akzent5 2 3 22" xfId="3529" xr:uid="{386C287A-65A4-4302-A71B-58658CD97E75}"/>
    <cellStyle name="20% - Akzent5 2 3 22 2" xfId="22996" xr:uid="{C982D6C1-34E2-4D8D-87CA-697465A79A3A}"/>
    <cellStyle name="20% - Akzent5 2 3 23" xfId="22969" xr:uid="{FBB7DC6A-BCB0-485C-888F-8D743238F0CC}"/>
    <cellStyle name="20% - Akzent5 2 3 24" xfId="39924" xr:uid="{476CD1B1-0210-4C28-B4BD-063A39DBFC67}"/>
    <cellStyle name="20% - Akzent5 2 3 3" xfId="3530" xr:uid="{74439006-31F9-41BE-A6D3-3C4BBCB48D99}"/>
    <cellStyle name="20% - Akzent5 2 3 3 2" xfId="3531" xr:uid="{ED3B12BD-30EE-4660-A4DE-937C70A775B6}"/>
    <cellStyle name="20% - Akzent5 2 3 3 2 2" xfId="22998" xr:uid="{4286693B-7C10-4BC8-8BAA-0A05A35837BD}"/>
    <cellStyle name="20% - Akzent5 2 3 3 3" xfId="22997" xr:uid="{CCA9267F-C925-4E32-A91E-2B954E02CAE1}"/>
    <cellStyle name="20% - Akzent5 2 3 3 4" xfId="41730" xr:uid="{9FF979BE-61CF-4BC1-AAF0-947502E4D4BC}"/>
    <cellStyle name="20% - Akzent5 2 3 4" xfId="3532" xr:uid="{ED42C41C-B4A3-4B66-A377-DA6366417382}"/>
    <cellStyle name="20% - Akzent5 2 3 4 2" xfId="3533" xr:uid="{98528BD7-7566-497E-A588-04C2E203B659}"/>
    <cellStyle name="20% - Akzent5 2 3 4 2 2" xfId="23000" xr:uid="{8E94CD9C-E662-4366-B12B-ADD5071D2875}"/>
    <cellStyle name="20% - Akzent5 2 3 4 3" xfId="22999" xr:uid="{7472E768-438E-486B-98F3-DE4A7238F3D4}"/>
    <cellStyle name="20% - Akzent5 2 3 5" xfId="3534" xr:uid="{0DF2A997-A035-43A0-89BA-D858294FDE59}"/>
    <cellStyle name="20% - Akzent5 2 3 5 2" xfId="3535" xr:uid="{EEEB51B4-9081-4D64-B462-C164B27C4351}"/>
    <cellStyle name="20% - Akzent5 2 3 5 2 2" xfId="23002" xr:uid="{AC05001D-531A-4995-8711-1AD3F0163D9B}"/>
    <cellStyle name="20% - Akzent5 2 3 5 3" xfId="23001" xr:uid="{FB60E148-3387-4F1C-905C-96EC04885A69}"/>
    <cellStyle name="20% - Akzent5 2 3 6" xfId="3536" xr:uid="{B685F9AE-230D-4B78-8B6E-9E440D8CD4D1}"/>
    <cellStyle name="20% - Akzent5 2 3 6 2" xfId="3537" xr:uid="{6CDAFDB8-E6A1-4048-BE4C-43BB5F829DFA}"/>
    <cellStyle name="20% - Akzent5 2 3 6 2 2" xfId="23004" xr:uid="{4E91E6F1-7ABE-402C-9667-4D2915F79E8E}"/>
    <cellStyle name="20% - Akzent5 2 3 6 3" xfId="23003" xr:uid="{7586C1FD-1BAF-4156-BC3B-BBB709F1183D}"/>
    <cellStyle name="20% - Akzent5 2 3 7" xfId="3538" xr:uid="{C99159ED-27F9-4E6E-9A0A-E63CB211E5C4}"/>
    <cellStyle name="20% - Akzent5 2 3 7 2" xfId="3539" xr:uid="{406F3B78-B3EA-402D-8AA9-8AB582A3D5E4}"/>
    <cellStyle name="20% - Akzent5 2 3 7 2 2" xfId="23006" xr:uid="{5E22F677-A826-4DC1-BEC6-94CCCC8670DD}"/>
    <cellStyle name="20% - Akzent5 2 3 7 3" xfId="23005" xr:uid="{F63CCC60-5A60-423F-AB2C-76A3D98CD270}"/>
    <cellStyle name="20% - Akzent5 2 3 8" xfId="3540" xr:uid="{542A2DFF-3A7A-43E6-AB31-472C637BDFB6}"/>
    <cellStyle name="20% - Akzent5 2 3 8 2" xfId="3541" xr:uid="{B3FCA87D-0AFA-4DF6-B70F-14E2993ECA54}"/>
    <cellStyle name="20% - Akzent5 2 3 8 2 2" xfId="23008" xr:uid="{52155134-8E49-41E7-915B-81FB33F6E5B2}"/>
    <cellStyle name="20% - Akzent5 2 3 8 3" xfId="23007" xr:uid="{C0C2E5AC-3A86-4274-931F-210DE6B2129B}"/>
    <cellStyle name="20% - Akzent5 2 3 9" xfId="3542" xr:uid="{5AA972B1-9C90-4B04-A457-637851FE037D}"/>
    <cellStyle name="20% - Akzent5 2 3 9 2" xfId="3543" xr:uid="{9FA210EF-C80D-46D3-AD48-F92F05ADE52B}"/>
    <cellStyle name="20% - Akzent5 2 3 9 2 2" xfId="23010" xr:uid="{CD5F73CE-B205-4C51-B43B-0B96852372C7}"/>
    <cellStyle name="20% - Akzent5 2 3 9 3" xfId="23009" xr:uid="{883D46D6-E397-4592-9794-E9A28451DBE5}"/>
    <cellStyle name="20% - Akzent5 2 4" xfId="3544" xr:uid="{06988DAA-96A8-4B45-A4DA-A1D5E897C76C}"/>
    <cellStyle name="20% - Akzent5 2 4 2" xfId="3545" xr:uid="{C82D1AFF-6BA5-4710-8432-94712C57130C}"/>
    <cellStyle name="20% - Akzent5 2 4 2 2" xfId="3546" xr:uid="{B5F1A4A5-756C-4360-9A03-36BB69E3F15C}"/>
    <cellStyle name="20% - Akzent5 2 4 2 3" xfId="3547" xr:uid="{4CA8150D-7F65-4EFF-8EAA-D9A095682AB2}"/>
    <cellStyle name="20% - Akzent5 2 4 2 3 2" xfId="23012" xr:uid="{2656812A-EDD5-4D6E-902C-1699322FCDDD}"/>
    <cellStyle name="20% - Akzent5 2 4 2 4" xfId="23011" xr:uid="{9ABC0DC6-75AB-4D6A-9355-50BB81B9E389}"/>
    <cellStyle name="20% - Akzent5 2 4 3" xfId="3548" xr:uid="{300F8A4C-9994-41AA-AAAF-99496FDC1038}"/>
    <cellStyle name="20% - Akzent5 2 4 4" xfId="3549" xr:uid="{D778F080-8467-4B84-AF10-B2036BDFAD9A}"/>
    <cellStyle name="20% - Akzent5 2 4 5" xfId="40446" xr:uid="{6612D2C2-17DC-40BB-94B7-A9971A764A21}"/>
    <cellStyle name="20% - Akzent5 2 5" xfId="3550" xr:uid="{521E24F3-B450-4C34-AE84-BB9EF804FA75}"/>
    <cellStyle name="20% - Akzent5 2 5 2" xfId="41306" xr:uid="{9D127B72-4211-4D29-9A2D-DEBBAFAE2527}"/>
    <cellStyle name="20% - Akzent5 2 6" xfId="3551" xr:uid="{C7946358-C8AD-4E4B-8ED2-CC0C6974F538}"/>
    <cellStyle name="20% - Akzent5 2 6 2" xfId="3552" xr:uid="{8820A257-4971-4716-88DC-28CBF475A830}"/>
    <cellStyle name="20% - Akzent5 2 6 2 2" xfId="3553" xr:uid="{79E479BA-9399-46BA-9095-DCD1A3A227A0}"/>
    <cellStyle name="20% - Akzent5 2 6 2 2 2" xfId="23014" xr:uid="{4FE17787-AF44-46DF-8992-00B539C977A9}"/>
    <cellStyle name="20% - Akzent5 2 6 2 3" xfId="23013" xr:uid="{53AB692E-EDC0-4AE1-92D7-842302EBB35D}"/>
    <cellStyle name="20% - Akzent5 2 7" xfId="3554" xr:uid="{18D88D81-F921-4D1E-B14A-AF304DE8785C}"/>
    <cellStyle name="20% - Akzent5 2 7 2" xfId="3555" xr:uid="{9EAE0419-CD20-4443-82D0-E94BBD2B9BA2}"/>
    <cellStyle name="20% - Akzent5 2 7 2 2" xfId="23016" xr:uid="{2536931C-BB4E-4820-8B2F-4622FCE2706C}"/>
    <cellStyle name="20% - Akzent5 2 7 3" xfId="23015" xr:uid="{FC449D50-F8C6-4EBB-819D-6623A76F3D15}"/>
    <cellStyle name="20% - Akzent5 2 8" xfId="3556" xr:uid="{32CCFB61-E282-4FD7-AD93-474218A55314}"/>
    <cellStyle name="20% - Akzent5 2 8 2" xfId="3557" xr:uid="{0A350A2E-EC4C-40DF-84C8-E5E04FF15F8D}"/>
    <cellStyle name="20% - Akzent5 2 8 2 2" xfId="3558" xr:uid="{486A055C-901C-495F-9463-AA84C698C40A}"/>
    <cellStyle name="20% - Akzent5 2 8 2 2 2" xfId="23018" xr:uid="{10EE09E6-6B61-4710-A3D2-98FE6FB467AD}"/>
    <cellStyle name="20% - Akzent5 2 8 2 3" xfId="23017" xr:uid="{725C2798-2D60-4E15-81A9-DA6A05C7B449}"/>
    <cellStyle name="20% - Akzent5 2 9" xfId="3559" xr:uid="{A693D4FC-E534-4D8C-B253-0760700001B7}"/>
    <cellStyle name="20% - Akzent5 2 9 2" xfId="3560" xr:uid="{582A6D13-AC18-45DB-A987-3E295FD55019}"/>
    <cellStyle name="20% - Akzent5 2 9 2 2" xfId="23020" xr:uid="{C0942CBD-A531-42D5-BF4C-747ED4DAE19B}"/>
    <cellStyle name="20% - Akzent5 2 9 3" xfId="23019" xr:uid="{7B677882-8A22-4CFD-88E5-0D5F25F9ECA3}"/>
    <cellStyle name="20% - Akzent5 20" xfId="3561" xr:uid="{FAEB908E-10B4-4373-8FD1-23FC658E0DAE}"/>
    <cellStyle name="20% - Akzent5 20 2" xfId="3562" xr:uid="{9822DED6-2A87-4CF5-85ED-FCE7457F18F3}"/>
    <cellStyle name="20% - Akzent5 20 2 2" xfId="23022" xr:uid="{F295B65D-EB56-4EEA-AA31-33661A1552AC}"/>
    <cellStyle name="20% - Akzent5 20 3" xfId="3563" xr:uid="{BD0F568B-6A57-41FE-B0F2-58CBBF366293}"/>
    <cellStyle name="20% - Akzent5 20 3 2" xfId="23023" xr:uid="{DD14209A-A30B-4B21-968C-BD31E68C3351}"/>
    <cellStyle name="20% - Akzent5 20 4" xfId="23021" xr:uid="{308F3157-421C-4721-8080-B76FBA6D41CF}"/>
    <cellStyle name="20% - Akzent5 21" xfId="3564" xr:uid="{537AACCB-9B2A-4530-A7D6-E454BDC7B1E2}"/>
    <cellStyle name="20% - Akzent5 21 2" xfId="3565" xr:uid="{1A1E0271-8A98-4990-A1E5-E9FDC13D99BF}"/>
    <cellStyle name="20% - Akzent5 21 2 2" xfId="23025" xr:uid="{4F76E544-6D25-40EB-9F42-6FEA54F25E69}"/>
    <cellStyle name="20% - Akzent5 21 3" xfId="3566" xr:uid="{BF535F37-D35B-426F-8750-F4B07EE2C7CC}"/>
    <cellStyle name="20% - Akzent5 21 3 2" xfId="23026" xr:uid="{E9CB76C9-DB21-44A6-8F5D-0ECF9A9B90DE}"/>
    <cellStyle name="20% - Akzent5 21 4" xfId="23024" xr:uid="{863C78C1-789A-406F-8260-04CDF59C2429}"/>
    <cellStyle name="20% - Akzent5 22" xfId="3567" xr:uid="{11BE891C-332A-4D71-BA9E-4232B8AF2F3C}"/>
    <cellStyle name="20% - Akzent5 22 2" xfId="3568" xr:uid="{DF4752D4-CF8D-4592-A8F6-0151D9E976C6}"/>
    <cellStyle name="20% - Akzent5 22 2 2" xfId="23028" xr:uid="{CAFD1F7F-D51E-4959-9661-7760CE7DA8AF}"/>
    <cellStyle name="20% - Akzent5 22 3" xfId="3569" xr:uid="{21ED836D-FE64-4B6A-9CCB-98496361A96F}"/>
    <cellStyle name="20% - Akzent5 22 3 2" xfId="23029" xr:uid="{E589D221-8640-482B-AA1B-28FBCDA23935}"/>
    <cellStyle name="20% - Akzent5 22 4" xfId="23027" xr:uid="{518EC4CC-3206-4BED-9B37-EDF151CC0CE0}"/>
    <cellStyle name="20% - Akzent5 23" xfId="3570" xr:uid="{18FDD835-1ED8-4A19-B9B5-913A7FA29B75}"/>
    <cellStyle name="20% - Akzent5 23 2" xfId="3571" xr:uid="{B9DEDD21-38B7-4A45-A10D-747042B61727}"/>
    <cellStyle name="20% - Akzent5 23 2 2" xfId="23031" xr:uid="{A247F0E9-1ECC-4058-8E73-6DBB9BBAD9EF}"/>
    <cellStyle name="20% - Akzent5 23 3" xfId="3572" xr:uid="{D2F52BFD-DF72-4544-8C37-0623058022D0}"/>
    <cellStyle name="20% - Akzent5 23 3 2" xfId="23032" xr:uid="{0E92F9D6-8380-401A-B5EE-7B3940EEE1F3}"/>
    <cellStyle name="20% - Akzent5 23 4" xfId="23030" xr:uid="{7B4E163A-374F-49DC-A674-075914032DDA}"/>
    <cellStyle name="20% - Akzent5 24" xfId="3573" xr:uid="{3132EA49-26FF-46EC-A124-A098D0E49886}"/>
    <cellStyle name="20% - Akzent5 24 2" xfId="3574" xr:uid="{2D138BA0-8133-435D-91E0-77801BFBE958}"/>
    <cellStyle name="20% - Akzent5 24 2 2" xfId="23034" xr:uid="{67B36DD2-D1AE-476B-92D5-B8C37AC4F773}"/>
    <cellStyle name="20% - Akzent5 24 3" xfId="3575" xr:uid="{8B9650F3-EA9E-4C2F-B0F1-588E912165C3}"/>
    <cellStyle name="20% - Akzent5 24 3 2" xfId="23035" xr:uid="{A1B5A03C-37EB-409B-B237-A514F6BEBA30}"/>
    <cellStyle name="20% - Akzent5 24 4" xfId="23033" xr:uid="{B28CF7D5-FEF4-4942-8731-A8A6AFD47DB4}"/>
    <cellStyle name="20% - Akzent5 25" xfId="3576" xr:uid="{075CD703-C401-4834-9836-C2F3D0D8625B}"/>
    <cellStyle name="20% - Akzent5 25 2" xfId="3577" xr:uid="{F1F92FB6-13B9-416A-B297-3C0F5ABFD9DD}"/>
    <cellStyle name="20% - Akzent5 25 2 2" xfId="23037" xr:uid="{320DC3AB-7F79-4EC0-8237-9C3E54E31241}"/>
    <cellStyle name="20% - Akzent5 25 3" xfId="3578" xr:uid="{8F499E7C-9E14-4CC4-8101-0AA856CA6756}"/>
    <cellStyle name="20% - Akzent5 25 3 2" xfId="23038" xr:uid="{326C7FC3-654B-4F8A-BA5F-5DBB73F8FC86}"/>
    <cellStyle name="20% - Akzent5 25 4" xfId="23036" xr:uid="{BD16A835-FF89-4933-B00B-18D21E25DC0C}"/>
    <cellStyle name="20% - Akzent5 26" xfId="3579" xr:uid="{6FC5D83F-E9A2-4848-A8EA-ACE6F56F90D0}"/>
    <cellStyle name="20% - Akzent5 26 2" xfId="3580" xr:uid="{4BC5360A-4089-4780-BCD3-7B294BC9BC2A}"/>
    <cellStyle name="20% - Akzent5 26 2 2" xfId="23040" xr:uid="{B9584C95-FEEF-4EF6-95C9-6B74886223CE}"/>
    <cellStyle name="20% - Akzent5 26 3" xfId="3581" xr:uid="{FAEFA0AA-8E0B-48A8-B3CD-9F76579FBA3A}"/>
    <cellStyle name="20% - Akzent5 26 3 2" xfId="23041" xr:uid="{09963196-0ABF-452C-8275-83107699E858}"/>
    <cellStyle name="20% - Akzent5 26 4" xfId="23039" xr:uid="{51563143-86FE-4022-93B7-103FBADCA3FB}"/>
    <cellStyle name="20% - Akzent5 27" xfId="3582" xr:uid="{C736B11A-42D3-407A-B706-D42505DDCE0F}"/>
    <cellStyle name="20% - Akzent5 27 2" xfId="3583" xr:uid="{00279618-0CD9-45C6-877B-A880919ED451}"/>
    <cellStyle name="20% - Akzent5 27 2 2" xfId="23043" xr:uid="{5D0461E3-AD5F-4501-A54E-73B97A914B3E}"/>
    <cellStyle name="20% - Akzent5 27 3" xfId="3584" xr:uid="{137DC933-4A3A-428B-997F-33DC5D70F727}"/>
    <cellStyle name="20% - Akzent5 27 3 2" xfId="23044" xr:uid="{075E0F2E-2EBF-41CA-830E-38FDDC445D44}"/>
    <cellStyle name="20% - Akzent5 27 4" xfId="23042" xr:uid="{A94EC8D1-4ED4-4911-8BB8-71FCCC463822}"/>
    <cellStyle name="20% - Akzent5 28" xfId="3585" xr:uid="{707F7E9E-B910-44C7-8C78-CF8BEEA1BE64}"/>
    <cellStyle name="20% - Akzent5 28 2" xfId="3586" xr:uid="{E7BBC444-13AA-4B8D-883B-49652711B61F}"/>
    <cellStyle name="20% - Akzent5 28 2 2" xfId="23046" xr:uid="{66C523DF-56B1-4E9A-801C-2CE45C1167BA}"/>
    <cellStyle name="20% - Akzent5 28 3" xfId="3587" xr:uid="{227211B3-D188-4154-8930-ABE86F7BB1BB}"/>
    <cellStyle name="20% - Akzent5 28 3 2" xfId="23047" xr:uid="{D9B6E954-4976-4E58-A8CF-B55A15331A99}"/>
    <cellStyle name="20% - Akzent5 28 4" xfId="23045" xr:uid="{6FC1AFEE-E849-4DC0-8A3D-8A599338EE97}"/>
    <cellStyle name="20% - Akzent5 29" xfId="3588" xr:uid="{D9B79827-72DF-40F3-8395-7CF65794C1BF}"/>
    <cellStyle name="20% - Akzent5 29 2" xfId="3589" xr:uid="{A5112134-E052-4B21-939C-FA985AA7ADE2}"/>
    <cellStyle name="20% - Akzent5 29 2 2" xfId="23049" xr:uid="{14FEF7BC-487A-4732-808C-4D7871C631F5}"/>
    <cellStyle name="20% - Akzent5 29 3" xfId="3590" xr:uid="{FE858BB4-AAAD-442C-86EB-917AA4F420F5}"/>
    <cellStyle name="20% - Akzent5 29 3 2" xfId="23050" xr:uid="{CBDF8288-CFCE-42E0-9948-86876935C4A0}"/>
    <cellStyle name="20% - Akzent5 29 4" xfId="23048" xr:uid="{5048BCA9-3C3E-4B90-AB39-070249D7885E}"/>
    <cellStyle name="20% - Akzent5 3" xfId="121" xr:uid="{94F966B6-B1AA-4EB2-9E91-4969412047BA}"/>
    <cellStyle name="20% - Akzent5 3 10" xfId="3592" xr:uid="{96FDC8E5-9F3F-4E39-BB0E-FC83D0652092}"/>
    <cellStyle name="20% - Akzent5 3 10 2" xfId="3593" xr:uid="{36BFA3B9-E710-4CAF-99AA-C7D2DF89EBDC}"/>
    <cellStyle name="20% - Akzent5 3 10 2 2" xfId="23053" xr:uid="{68C46EE4-5258-4FB9-8D61-1D5D3A015DE0}"/>
    <cellStyle name="20% - Akzent5 3 10 3" xfId="23052" xr:uid="{F98B88B9-ECE4-4B9E-88B2-F1F272154224}"/>
    <cellStyle name="20% - Akzent5 3 11" xfId="3594" xr:uid="{E796E0FB-2402-4645-8C4E-970FE5A7EDB4}"/>
    <cellStyle name="20% - Akzent5 3 11 2" xfId="3595" xr:uid="{E4068332-BEC8-46F1-BB0D-F69ECFD962E7}"/>
    <cellStyle name="20% - Akzent5 3 11 2 2" xfId="23055" xr:uid="{3A7FD62B-8692-4565-AC8C-12C3ECC158A8}"/>
    <cellStyle name="20% - Akzent5 3 11 3" xfId="23054" xr:uid="{7F78353C-E2CA-41C1-AB25-72D8395DA5A3}"/>
    <cellStyle name="20% - Akzent5 3 12" xfId="3596" xr:uid="{F30CE9E9-1AF4-4CE9-9499-91CB50BA486E}"/>
    <cellStyle name="20% - Akzent5 3 12 2" xfId="3597" xr:uid="{24E136CD-A689-48F1-813E-EEC4EEA6B770}"/>
    <cellStyle name="20% - Akzent5 3 12 2 2" xfId="23057" xr:uid="{B90787A1-E09D-4094-8A10-6E5FAEE2BEA3}"/>
    <cellStyle name="20% - Akzent5 3 12 3" xfId="23056" xr:uid="{C312CFC2-A19F-4DB8-8CA1-1E1101B35115}"/>
    <cellStyle name="20% - Akzent5 3 13" xfId="3598" xr:uid="{69AB2C38-AE59-484B-BC5D-AEB5948DE4CB}"/>
    <cellStyle name="20% - Akzent5 3 13 2" xfId="3599" xr:uid="{B8A9C041-EB9B-4465-B1AC-C2D618268853}"/>
    <cellStyle name="20% - Akzent5 3 13 2 2" xfId="23059" xr:uid="{D2CFD6D6-9135-4DE9-9B8E-0CBD10A1ED4B}"/>
    <cellStyle name="20% - Akzent5 3 13 3" xfId="23058" xr:uid="{8DE5C487-92E3-421D-B311-97873F45BD39}"/>
    <cellStyle name="20% - Akzent5 3 14" xfId="3600" xr:uid="{547F0DD2-25AE-41FB-876D-84B265508562}"/>
    <cellStyle name="20% - Akzent5 3 14 2" xfId="3601" xr:uid="{D457847D-175E-480F-B01E-97AC24D9830E}"/>
    <cellStyle name="20% - Akzent5 3 14 2 2" xfId="23061" xr:uid="{C21A0D79-63B5-4135-82C2-14873B1D4F01}"/>
    <cellStyle name="20% - Akzent5 3 14 3" xfId="23060" xr:uid="{06853787-2A67-45DF-8FF8-5537A0B0B7F9}"/>
    <cellStyle name="20% - Akzent5 3 15" xfId="3602" xr:uid="{7CFE8E0E-08D5-48AC-B37B-4B60508D07DB}"/>
    <cellStyle name="20% - Akzent5 3 15 2" xfId="3603" xr:uid="{1815BC9E-A9CF-4753-B2D5-3C4EC98ED38C}"/>
    <cellStyle name="20% - Akzent5 3 15 2 2" xfId="23063" xr:uid="{3C45C722-669F-4487-900F-6889FCBFF4F7}"/>
    <cellStyle name="20% - Akzent5 3 15 3" xfId="23062" xr:uid="{C66CC4A1-B134-4411-B86A-2AF67EBB54D1}"/>
    <cellStyle name="20% - Akzent5 3 16" xfId="3604" xr:uid="{1A6E62A1-FFB4-4178-8557-396A11F7B526}"/>
    <cellStyle name="20% - Akzent5 3 16 2" xfId="3605" xr:uid="{0C52E64D-5999-48EB-AF1C-32042E91BCB7}"/>
    <cellStyle name="20% - Akzent5 3 16 2 2" xfId="23065" xr:uid="{CFB8FFF8-17E9-4C91-92CC-FAF1BA04357C}"/>
    <cellStyle name="20% - Akzent5 3 16 3" xfId="23064" xr:uid="{05EE5FA7-4EA3-4CA1-894C-2CEA245C4778}"/>
    <cellStyle name="20% - Akzent5 3 17" xfId="3606" xr:uid="{1A070148-C692-4B1D-9E8C-AE7CE70E81F0}"/>
    <cellStyle name="20% - Akzent5 3 17 2" xfId="3607" xr:uid="{29717224-2611-4742-8B35-A602440AA39C}"/>
    <cellStyle name="20% - Akzent5 3 17 2 2" xfId="23067" xr:uid="{5F9BC52B-5B11-44FA-B629-B8AA04BE9A14}"/>
    <cellStyle name="20% - Akzent5 3 17 3" xfId="23066" xr:uid="{C9C4A225-2AFC-46BA-A93E-5FE3D5B341B5}"/>
    <cellStyle name="20% - Akzent5 3 18" xfId="3608" xr:uid="{270915CF-3A71-4BAE-A707-CD5A542F0CD3}"/>
    <cellStyle name="20% - Akzent5 3 18 2" xfId="3609" xr:uid="{9721081F-DB87-4AEC-BF6B-4C55B36688DD}"/>
    <cellStyle name="20% - Akzent5 3 18 2 2" xfId="23069" xr:uid="{3CED5099-5506-48EE-8D39-A89F1B27686D}"/>
    <cellStyle name="20% - Akzent5 3 18 3" xfId="23068" xr:uid="{52F41268-1FD0-4AAE-8A0C-33D6F3DA0609}"/>
    <cellStyle name="20% - Akzent5 3 19" xfId="3610" xr:uid="{E65C1836-FA8A-4F8B-BA60-68B8CB2F7871}"/>
    <cellStyle name="20% - Akzent5 3 19 2" xfId="3611" xr:uid="{5AB3FD1F-595B-4D8F-89B8-F1E21C55732A}"/>
    <cellStyle name="20% - Akzent5 3 19 2 2" xfId="23071" xr:uid="{9186F7E4-AFE2-4F26-96D0-50F64F8A9031}"/>
    <cellStyle name="20% - Akzent5 3 19 3" xfId="23070" xr:uid="{9AB43FD3-BFC9-473D-A9D5-AD72542A9F9A}"/>
    <cellStyle name="20% - Akzent5 3 2" xfId="3612" xr:uid="{FCE2E183-167F-4791-92FA-AEEB1EAC356D}"/>
    <cellStyle name="20% - Akzent5 3 2 2" xfId="3613" xr:uid="{27221313-E827-4D41-BB61-9C7BF9C3752D}"/>
    <cellStyle name="20% - Akzent5 3 2 2 2" xfId="3614" xr:uid="{7DECF809-E9DA-4C4E-AEA5-1EFEF28F1928}"/>
    <cellStyle name="20% - Akzent5 3 2 2 3" xfId="3615" xr:uid="{10809412-9292-48B1-907C-5BDDAFCB2754}"/>
    <cellStyle name="20% - Akzent5 3 2 2 3 2" xfId="23073" xr:uid="{04B34023-64BC-4B02-8B6E-1B0639D1A05C}"/>
    <cellStyle name="20% - Akzent5 3 2 2 4" xfId="23072" xr:uid="{D2615D4D-CFEA-41A2-AE80-24E04BE38552}"/>
    <cellStyle name="20% - Akzent5 3 2 2 5" xfId="40873" xr:uid="{BAECC33B-5F07-4D36-814E-D0DEC3D65077}"/>
    <cellStyle name="20% - Akzent5 3 2 3" xfId="3616" xr:uid="{C8816047-3766-4C03-8158-BCAC16EF61BB}"/>
    <cellStyle name="20% - Akzent5 3 2 3 2" xfId="41733" xr:uid="{D1358A2F-7510-4B01-80D4-74008310B20F}"/>
    <cellStyle name="20% - Akzent5 3 2 4" xfId="3617" xr:uid="{F56C38EB-F1C1-4AC1-8471-949103789531}"/>
    <cellStyle name="20% - Akzent5 3 2 5" xfId="39927" xr:uid="{715411CC-5DF2-44F4-996B-31A2AC1C81D1}"/>
    <cellStyle name="20% - Akzent5 3 20" xfId="3618" xr:uid="{A7CA98CB-DB66-482B-8E7F-F06AF7280798}"/>
    <cellStyle name="20% - Akzent5 3 20 2" xfId="3619" xr:uid="{E17D57A9-C502-4C03-8B87-E2A700E30DCA}"/>
    <cellStyle name="20% - Akzent5 3 20 2 2" xfId="23075" xr:uid="{53A69D71-0387-4102-B078-4957775EA919}"/>
    <cellStyle name="20% - Akzent5 3 20 3" xfId="23074" xr:uid="{A6662673-2922-493D-B5DE-2E7BD8A58ADB}"/>
    <cellStyle name="20% - Akzent5 3 21" xfId="3620" xr:uid="{14F0202D-BBE1-48A1-8A29-B1C1C72061B5}"/>
    <cellStyle name="20% - Akzent5 3 21 2" xfId="3621" xr:uid="{8DDB4ECA-39BB-4382-B43E-CB700D8D2B9D}"/>
    <cellStyle name="20% - Akzent5 3 21 2 2" xfId="23077" xr:uid="{5B18634D-88FF-47AB-86FB-5D430EB12DC5}"/>
    <cellStyle name="20% - Akzent5 3 21 3" xfId="23076" xr:uid="{F7D4F1E2-78DA-4E3C-BD9F-F077ACAEDF45}"/>
    <cellStyle name="20% - Akzent5 3 22" xfId="3622" xr:uid="{FD2DB775-9DCF-4CAD-B018-400D59F03BA1}"/>
    <cellStyle name="20% - Akzent5 3 22 2" xfId="23078" xr:uid="{63EC960B-530E-4A0F-B427-610506F137C7}"/>
    <cellStyle name="20% - Akzent5 3 23" xfId="3623" xr:uid="{0DAD4CF8-D3AC-431A-BBCA-B5F8D64E5E16}"/>
    <cellStyle name="20% - Akzent5 3 23 2" xfId="23079" xr:uid="{90E564B4-3A58-4F8F-BC3C-564885971415}"/>
    <cellStyle name="20% - Akzent5 3 24" xfId="23051" xr:uid="{E8AF29CF-5A91-4EA3-979A-1174460AFD2E}"/>
    <cellStyle name="20% - Akzent5 3 25" xfId="39296" xr:uid="{7C92E83E-39DC-4D03-990C-6BC2B10CFA6D}"/>
    <cellStyle name="20% - Akzent5 3 26" xfId="3591" xr:uid="{8D5540A2-F4D6-48EB-B7D3-29626700E0BE}"/>
    <cellStyle name="20% - Akzent5 3 3" xfId="3624" xr:uid="{0672DDE6-5963-43B6-8BA4-51DFEDA75D96}"/>
    <cellStyle name="20% - Akzent5 3 3 2" xfId="40872" xr:uid="{4CE2E406-0892-4036-A221-EEA134A688B1}"/>
    <cellStyle name="20% - Akzent5 3 3 3" xfId="41732" xr:uid="{C4BEF2F4-A988-485D-9DEE-584C04B236B4}"/>
    <cellStyle name="20% - Akzent5 3 3 4" xfId="39926" xr:uid="{DEFE52CA-997A-4460-93E8-D2B61DAC9696}"/>
    <cellStyle name="20% - Akzent5 3 4" xfId="3625" xr:uid="{8D9AEF92-972B-4C4D-BCC3-40FFCF675CAA}"/>
    <cellStyle name="20% - Akzent5 3 4 2" xfId="40448" xr:uid="{C8E9CA4B-5144-44A3-B63B-07E67CE5CE06}"/>
    <cellStyle name="20% - Akzent5 3 5" xfId="3626" xr:uid="{9F8F6994-BE8E-416E-BEA5-A4D6D26B42F0}"/>
    <cellStyle name="20% - Akzent5 3 5 2" xfId="3627" xr:uid="{6748A277-8EFA-46F4-A901-4A46224DFA74}"/>
    <cellStyle name="20% - Akzent5 3 5 2 2" xfId="3628" xr:uid="{1AA61F7A-4762-432E-83AB-4DD34C100A6E}"/>
    <cellStyle name="20% - Akzent5 3 5 2 2 2" xfId="23081" xr:uid="{9025B2F6-45E0-4BF2-8B87-99CCB158362F}"/>
    <cellStyle name="20% - Akzent5 3 5 2 3" xfId="23080" xr:uid="{39FD5D67-337C-4D3C-BF43-16087E1A6CBA}"/>
    <cellStyle name="20% - Akzent5 3 5 3" xfId="41308" xr:uid="{575698E9-E5B9-4B06-8E8E-B2BBE2A9F712}"/>
    <cellStyle name="20% - Akzent5 3 6" xfId="3629" xr:uid="{650126D0-6618-4DC1-91CC-36A4618E3354}"/>
    <cellStyle name="20% - Akzent5 3 6 2" xfId="3630" xr:uid="{1CD54B53-F6DD-4D3D-BBE1-C6AC9B8F43BF}"/>
    <cellStyle name="20% - Akzent5 3 6 2 2" xfId="23083" xr:uid="{DA9151BF-AB11-4245-A5E8-16830DB6E484}"/>
    <cellStyle name="20% - Akzent5 3 6 3" xfId="23082" xr:uid="{14B4B200-9F2B-46CF-8284-FF9C33D0D5F3}"/>
    <cellStyle name="20% - Akzent5 3 7" xfId="3631" xr:uid="{46E0437F-FC41-4499-89FE-93BA7B32C49A}"/>
    <cellStyle name="20% - Akzent5 3 7 2" xfId="3632" xr:uid="{9FA48E29-F6A3-45A0-8401-42DA85DC1463}"/>
    <cellStyle name="20% - Akzent5 3 7 2 2" xfId="23085" xr:uid="{4C2F3127-18CC-42EC-BBDB-0B5B0C3E6CE8}"/>
    <cellStyle name="20% - Akzent5 3 7 3" xfId="23084" xr:uid="{935286DB-A08C-4D28-8234-14BC5BDB08C8}"/>
    <cellStyle name="20% - Akzent5 3 8" xfId="3633" xr:uid="{D053B946-59B2-4EEF-9A86-E5A92173662A}"/>
    <cellStyle name="20% - Akzent5 3 8 2" xfId="3634" xr:uid="{2BA377EF-F43D-4D85-BEE5-8DE4527BB08A}"/>
    <cellStyle name="20% - Akzent5 3 8 2 2" xfId="23087" xr:uid="{E2174CE9-F9FA-471E-AC65-1B6EC9172F2B}"/>
    <cellStyle name="20% - Akzent5 3 8 3" xfId="23086" xr:uid="{C16DF1C6-8C86-4077-AA59-D44DCBC6F55D}"/>
    <cellStyle name="20% - Akzent5 3 9" xfId="3635" xr:uid="{322B1F2B-F206-4DA1-AA45-943332058FDC}"/>
    <cellStyle name="20% - Akzent5 3 9 2" xfId="3636" xr:uid="{49626144-179C-4107-87F8-8E9E8F677956}"/>
    <cellStyle name="20% - Akzent5 3 9 2 2" xfId="23089" xr:uid="{D156DCDB-1AB6-4D5C-826C-7C7F4B82717F}"/>
    <cellStyle name="20% - Akzent5 3 9 3" xfId="23088" xr:uid="{23CE2AE7-F733-4C1E-B1BD-55304A2A4B08}"/>
    <cellStyle name="20% - Akzent5 30" xfId="3637" xr:uid="{3E703C24-D2D8-4C48-9532-DE84908D0675}"/>
    <cellStyle name="20% - Akzent5 30 2" xfId="3638" xr:uid="{0B22BD57-A000-4681-AE92-AE8A5BF1BEA5}"/>
    <cellStyle name="20% - Akzent5 30 2 2" xfId="23091" xr:uid="{2DEEE1CD-7A99-4011-BE4A-D4963D502260}"/>
    <cellStyle name="20% - Akzent5 30 3" xfId="3639" xr:uid="{CC85A71E-36E4-4BE1-9941-DBE10A2E268C}"/>
    <cellStyle name="20% - Akzent5 30 3 2" xfId="23092" xr:uid="{E6A9EB81-7685-40BE-82DC-EA99F2B253C2}"/>
    <cellStyle name="20% - Akzent5 30 4" xfId="23090" xr:uid="{BE448EF9-EFED-4DED-997B-A07E6D093E7F}"/>
    <cellStyle name="20% - Akzent5 31" xfId="3640" xr:uid="{31B72CCF-489F-4A12-A7A8-D919DEBCCCB7}"/>
    <cellStyle name="20% - Akzent5 31 2" xfId="3641" xr:uid="{34A4FE71-37BE-4E10-B3BE-AD40AFFC0179}"/>
    <cellStyle name="20% - Akzent5 31 2 2" xfId="23094" xr:uid="{4DF08FC5-70CB-4887-AC4D-0E21B63024C0}"/>
    <cellStyle name="20% - Akzent5 31 3" xfId="3642" xr:uid="{0D4EA57B-FD11-4D57-8CC9-71610FF71B6F}"/>
    <cellStyle name="20% - Akzent5 31 3 2" xfId="23095" xr:uid="{31E6C2FF-F0D3-4D44-B718-4FCEEC01CE5E}"/>
    <cellStyle name="20% - Akzent5 31 4" xfId="23093" xr:uid="{0AD2FDE9-0A1D-4735-AA73-DAA08AE12801}"/>
    <cellStyle name="20% - Akzent5 32" xfId="3643" xr:uid="{C43CA124-11D9-4442-B288-3D6FF33BDC68}"/>
    <cellStyle name="20% - Akzent5 32 2" xfId="3644" xr:uid="{09034DB0-BE4A-4123-B548-28A4A5A78E56}"/>
    <cellStyle name="20% - Akzent5 32 2 2" xfId="23097" xr:uid="{483C3223-DB31-4986-B225-D4FAE70B72DF}"/>
    <cellStyle name="20% - Akzent5 32 3" xfId="3645" xr:uid="{C7708F73-1946-42C9-B39E-E1577385997F}"/>
    <cellStyle name="20% - Akzent5 32 3 2" xfId="23098" xr:uid="{F424B41F-9CE2-4FAF-A702-FDE06477620B}"/>
    <cellStyle name="20% - Akzent5 32 4" xfId="23096" xr:uid="{82745E2F-33B4-4322-B0C5-81E1D7D35745}"/>
    <cellStyle name="20% - Akzent5 33" xfId="3646" xr:uid="{9291E679-22EB-4036-B7C8-2A4248AA311A}"/>
    <cellStyle name="20% - Akzent5 33 2" xfId="3647" xr:uid="{0661BC4C-6005-438D-9DCC-75532960CB13}"/>
    <cellStyle name="20% - Akzent5 33 2 2" xfId="23100" xr:uid="{32D775C7-7AB2-482C-A5F1-9271997DCE01}"/>
    <cellStyle name="20% - Akzent5 33 3" xfId="3648" xr:uid="{2CE5076E-BA10-4D56-A0CF-7770A4AE8628}"/>
    <cellStyle name="20% - Akzent5 33 3 2" xfId="23101" xr:uid="{7912680B-49C9-45E8-9284-2BF16E243B2E}"/>
    <cellStyle name="20% - Akzent5 33 4" xfId="23099" xr:uid="{FE2F0F5D-365B-47D9-8CD0-A248330FCBFB}"/>
    <cellStyle name="20% - Akzent5 34" xfId="3649" xr:uid="{9CACBA88-BF68-410D-A240-AFB9725C8947}"/>
    <cellStyle name="20% - Akzent5 34 2" xfId="3650" xr:uid="{CA23AC88-A019-4E17-B677-529DBD4EA971}"/>
    <cellStyle name="20% - Akzent5 34 2 2" xfId="23103" xr:uid="{DF8214A8-0BB1-48B0-8832-C478B7330CBA}"/>
    <cellStyle name="20% - Akzent5 34 3" xfId="3651" xr:uid="{08BB2847-BB99-4B9A-A02F-D87BF93E4632}"/>
    <cellStyle name="20% - Akzent5 34 3 2" xfId="23104" xr:uid="{32077E30-8A4C-417B-AB21-37C8B53A9C30}"/>
    <cellStyle name="20% - Akzent5 34 4" xfId="23102" xr:uid="{304739F4-47BE-41EB-9A1D-454FC5217097}"/>
    <cellStyle name="20% - Akzent5 35" xfId="3652" xr:uid="{9669A83E-A9E3-414C-AAE3-F96C8B597949}"/>
    <cellStyle name="20% - Akzent5 35 2" xfId="3653" xr:uid="{E31D0B5B-2F6E-44F7-929C-7EEFC4025C02}"/>
    <cellStyle name="20% - Akzent5 35 2 2" xfId="23106" xr:uid="{9C808BE5-3A65-4873-B8BB-592A80CD2DF9}"/>
    <cellStyle name="20% - Akzent5 35 3" xfId="3654" xr:uid="{CD0CA5D3-C34F-4E1D-BB34-E59BC8456949}"/>
    <cellStyle name="20% - Akzent5 35 3 2" xfId="23107" xr:uid="{DBA9957A-A14B-40C6-8531-5F0B0A53D703}"/>
    <cellStyle name="20% - Akzent5 35 4" xfId="23105" xr:uid="{9C7ECE02-B987-4319-B953-406EF690BD07}"/>
    <cellStyle name="20% - Akzent5 36" xfId="3655" xr:uid="{C2A48799-FBED-47DF-950C-C91A338512E5}"/>
    <cellStyle name="20% - Akzent5 36 2" xfId="3656" xr:uid="{0B1B8FDA-2594-4CC8-B97E-41A8D042348E}"/>
    <cellStyle name="20% - Akzent5 36 2 2" xfId="23109" xr:uid="{46FFDA22-DCF7-415E-BB11-E2235140D92D}"/>
    <cellStyle name="20% - Akzent5 36 3" xfId="3657" xr:uid="{F106FDC0-9A9A-4B85-9B2E-0AE01D41A6AB}"/>
    <cellStyle name="20% - Akzent5 36 3 2" xfId="23110" xr:uid="{8DB9EBA6-BA44-48EC-A063-508C3953DD8F}"/>
    <cellStyle name="20% - Akzent5 36 4" xfId="23108" xr:uid="{FE1DD9A2-88A7-43E4-BFBA-F91CAD95AC76}"/>
    <cellStyle name="20% - Akzent5 37" xfId="3658" xr:uid="{F586AFF5-ABB4-454D-8AFB-D518019A267E}"/>
    <cellStyle name="20% - Akzent5 37 2" xfId="3659" xr:uid="{714EEAD9-805E-453D-8BCA-62AA7C607BE1}"/>
    <cellStyle name="20% - Akzent5 37 2 2" xfId="23112" xr:uid="{859723F7-2A5A-4CDD-9BD2-7FE7189304BF}"/>
    <cellStyle name="20% - Akzent5 37 3" xfId="23111" xr:uid="{97E6633C-867C-4FCC-81E9-41D8DCC82527}"/>
    <cellStyle name="20% - Akzent5 38" xfId="3660" xr:uid="{1526EAC0-04E6-4397-9F3C-CD90018702CD}"/>
    <cellStyle name="20% - Akzent5 38 2" xfId="3661" xr:uid="{203D6614-E22F-4745-9FFC-25873909389E}"/>
    <cellStyle name="20% - Akzent5 38 2 2" xfId="23114" xr:uid="{24679006-C86D-439F-B089-79746C9779D0}"/>
    <cellStyle name="20% - Akzent5 38 3" xfId="23113" xr:uid="{0E668CD0-8AEE-4D7C-AF3D-E9F40CE9290B}"/>
    <cellStyle name="20% - Akzent5 39" xfId="3662" xr:uid="{AE9C718F-DED0-48C0-AEC9-2CF420C91F87}"/>
    <cellStyle name="20% - Akzent5 39 2" xfId="3663" xr:uid="{75F071F4-7F66-4EA9-B4CC-EDAD48076987}"/>
    <cellStyle name="20% - Akzent5 39 2 2" xfId="23116" xr:uid="{D7AC53DF-CC79-4D04-AC3B-7497071FFE32}"/>
    <cellStyle name="20% - Akzent5 39 3" xfId="23115" xr:uid="{67F50147-1106-4920-82F4-E860E9B6CE98}"/>
    <cellStyle name="20% - Akzent5 4" xfId="135" xr:uid="{FC3EF0D2-EEDE-432F-8793-D05CF386DF66}"/>
    <cellStyle name="20% - Akzent5 4 10" xfId="3665" xr:uid="{F64CB618-A648-4B2F-A96A-F7F964A321B5}"/>
    <cellStyle name="20% - Akzent5 4 10 2" xfId="3666" xr:uid="{D012455E-7BDB-4896-9DAE-387CE8C55154}"/>
    <cellStyle name="20% - Akzent5 4 10 2 2" xfId="23119" xr:uid="{F1E167C9-949A-4097-B01C-ECE07D52656C}"/>
    <cellStyle name="20% - Akzent5 4 10 3" xfId="23118" xr:uid="{900E282B-1D9B-4E91-A6AF-A8DE0CCC7C80}"/>
    <cellStyle name="20% - Akzent5 4 11" xfId="3667" xr:uid="{485C58ED-0283-4145-9A6E-B069140F66FD}"/>
    <cellStyle name="20% - Akzent5 4 11 2" xfId="3668" xr:uid="{9D101F67-9F90-4C5E-8FE0-6627D4688F54}"/>
    <cellStyle name="20% - Akzent5 4 11 2 2" xfId="23121" xr:uid="{85CC338E-F8A4-4305-9C32-CCA6EC758F30}"/>
    <cellStyle name="20% - Akzent5 4 11 3" xfId="23120" xr:uid="{F52D0B22-F52B-42F4-8971-AD6E84E82454}"/>
    <cellStyle name="20% - Akzent5 4 12" xfId="3669" xr:uid="{17F3F209-C1C8-4792-B740-9A687204ED0B}"/>
    <cellStyle name="20% - Akzent5 4 12 2" xfId="3670" xr:uid="{DF7F9E33-16E1-4E87-A68F-7ABEB8E11D87}"/>
    <cellStyle name="20% - Akzent5 4 12 2 2" xfId="23123" xr:uid="{49A3BC27-9F83-473A-AF23-BC796D919D68}"/>
    <cellStyle name="20% - Akzent5 4 12 3" xfId="23122" xr:uid="{054E21AA-8D59-43E5-99E2-8D2114FBD307}"/>
    <cellStyle name="20% - Akzent5 4 13" xfId="3671" xr:uid="{CC8E58B7-DFC1-4A55-A70D-E467C4D0EB26}"/>
    <cellStyle name="20% - Akzent5 4 13 2" xfId="3672" xr:uid="{F91F6264-4F55-4512-A5C2-ADCEBB67F741}"/>
    <cellStyle name="20% - Akzent5 4 13 2 2" xfId="23125" xr:uid="{E8F2DE0B-0692-4B8B-BABD-0E2AEA4B94AE}"/>
    <cellStyle name="20% - Akzent5 4 13 3" xfId="23124" xr:uid="{83C76195-65D5-4725-8E1B-56CD0E7A4288}"/>
    <cellStyle name="20% - Akzent5 4 14" xfId="3673" xr:uid="{525253F2-3C6F-48F3-AC60-0C03F1F7DF5A}"/>
    <cellStyle name="20% - Akzent5 4 14 2" xfId="3674" xr:uid="{90F4A5B4-E807-4811-9299-5E94FCB9E8BE}"/>
    <cellStyle name="20% - Akzent5 4 14 2 2" xfId="23127" xr:uid="{B164D9EB-BC72-41EE-B795-B49ECD42471E}"/>
    <cellStyle name="20% - Akzent5 4 14 3" xfId="23126" xr:uid="{FBB9C39F-F510-42FB-8DE6-DB1489BAC8D3}"/>
    <cellStyle name="20% - Akzent5 4 15" xfId="3675" xr:uid="{8534D974-6179-469B-91D6-E8A6E21818D0}"/>
    <cellStyle name="20% - Akzent5 4 15 2" xfId="3676" xr:uid="{9F266223-66E1-4AE0-BE3D-6755210A8DB7}"/>
    <cellStyle name="20% - Akzent5 4 15 2 2" xfId="23129" xr:uid="{EF758445-DBD9-4B3C-9191-BD40EEF2F00B}"/>
    <cellStyle name="20% - Akzent5 4 15 3" xfId="23128" xr:uid="{E4042305-F8D4-4501-A0AA-0DE9B357F2C3}"/>
    <cellStyle name="20% - Akzent5 4 16" xfId="3677" xr:uid="{570A468C-E332-48E6-B68E-2695D6BE71F5}"/>
    <cellStyle name="20% - Akzent5 4 16 2" xfId="3678" xr:uid="{7438199B-EC2A-4CC2-989A-5088D3FF23EF}"/>
    <cellStyle name="20% - Akzent5 4 16 2 2" xfId="23131" xr:uid="{CBCA43C0-363D-4F2D-8F6A-8FF3398C18F7}"/>
    <cellStyle name="20% - Akzent5 4 16 3" xfId="23130" xr:uid="{1BD45EEC-DE4C-445C-A5C1-67464EFF624E}"/>
    <cellStyle name="20% - Akzent5 4 17" xfId="3679" xr:uid="{C5837889-A14E-44C0-A4E8-5CF4E4E4C488}"/>
    <cellStyle name="20% - Akzent5 4 17 2" xfId="3680" xr:uid="{5F5C139B-795A-49FE-ADED-4209DF696675}"/>
    <cellStyle name="20% - Akzent5 4 17 2 2" xfId="23133" xr:uid="{D7CC2140-4D57-43DD-9596-4747B1CD692F}"/>
    <cellStyle name="20% - Akzent5 4 17 3" xfId="23132" xr:uid="{5663DC3F-4B6B-4C56-B940-9E372E970135}"/>
    <cellStyle name="20% - Akzent5 4 18" xfId="3681" xr:uid="{B79CE504-4380-4299-AE03-88D86B7B174A}"/>
    <cellStyle name="20% - Akzent5 4 18 2" xfId="3682" xr:uid="{D63D2D14-0F74-43FB-986E-A92CD5A84148}"/>
    <cellStyle name="20% - Akzent5 4 18 2 2" xfId="23135" xr:uid="{DADE42E8-AC54-4C54-A9C2-692390B0E8FE}"/>
    <cellStyle name="20% - Akzent5 4 18 3" xfId="23134" xr:uid="{BBE0BAC7-B7D7-4CA6-86C1-E29C8F83BD72}"/>
    <cellStyle name="20% - Akzent5 4 19" xfId="3683" xr:uid="{449F8FDB-DBBA-443C-A9E6-9771F55338A9}"/>
    <cellStyle name="20% - Akzent5 4 19 2" xfId="3684" xr:uid="{D3AE1ED7-AC3F-4436-B544-A1C982416159}"/>
    <cellStyle name="20% - Akzent5 4 19 2 2" xfId="23137" xr:uid="{C0E8A63C-54AC-49CA-9FF4-074EF349E780}"/>
    <cellStyle name="20% - Akzent5 4 19 3" xfId="23136" xr:uid="{9726CCDE-5A7A-47CB-B3BE-D6859D33788C}"/>
    <cellStyle name="20% - Akzent5 4 2" xfId="3685" xr:uid="{6201D8D5-3A54-4CFE-A467-37D57E0DC85E}"/>
    <cellStyle name="20% - Akzent5 4 2 2" xfId="3686" xr:uid="{6A54999C-7A9F-4AF8-805D-DC68E70456AA}"/>
    <cellStyle name="20% - Akzent5 4 2 2 2" xfId="3687" xr:uid="{F547AC65-58FA-4D6C-A2CB-45DDBD9FE7D9}"/>
    <cellStyle name="20% - Akzent5 4 2 2 2 2" xfId="23139" xr:uid="{D340D2E8-265B-47FF-B838-79BF68F4615C}"/>
    <cellStyle name="20% - Akzent5 4 2 2 3" xfId="23138" xr:uid="{90C4DD03-3FA6-434E-A5DC-E2D1F53FD0AB}"/>
    <cellStyle name="20% - Akzent5 4 2 2 4" xfId="40875" xr:uid="{CAD62A89-FEA6-4D7A-A371-A699B6001393}"/>
    <cellStyle name="20% - Akzent5 4 2 3" xfId="41735" xr:uid="{B6AEA4E0-8F71-4AA6-ABD1-9DA81A397A1C}"/>
    <cellStyle name="20% - Akzent5 4 2 4" xfId="39929" xr:uid="{585AB7F1-077A-4B01-9F0F-063DBFD54A63}"/>
    <cellStyle name="20% - Akzent5 4 20" xfId="3688" xr:uid="{C2349828-E4BB-4955-B6B8-625A4F90ABD5}"/>
    <cellStyle name="20% - Akzent5 4 20 2" xfId="3689" xr:uid="{C26F2E89-C500-4C34-9598-EAFDCB350990}"/>
    <cellStyle name="20% - Akzent5 4 20 2 2" xfId="23141" xr:uid="{2A651C0A-C5F2-4CCB-A764-79E1C2FF8F0B}"/>
    <cellStyle name="20% - Akzent5 4 20 3" xfId="23140" xr:uid="{256318E8-11D0-459F-B790-92D7997252D7}"/>
    <cellStyle name="20% - Akzent5 4 21" xfId="3690" xr:uid="{2404FE98-394D-4471-83B5-FE9B1E18D1C8}"/>
    <cellStyle name="20% - Akzent5 4 21 2" xfId="3691" xr:uid="{9683FF93-3D27-4CE0-BF79-EED2FEE5DE1F}"/>
    <cellStyle name="20% - Akzent5 4 21 2 2" xfId="23143" xr:uid="{71B3E66C-4C0D-4785-BA1A-C942C50C7CA1}"/>
    <cellStyle name="20% - Akzent5 4 21 3" xfId="23142" xr:uid="{78EEF9DD-8743-46A2-B8C8-33DEEF816ABF}"/>
    <cellStyle name="20% - Akzent5 4 22" xfId="3692" xr:uid="{7E126791-599D-4BCB-B2E4-30667BCAA019}"/>
    <cellStyle name="20% - Akzent5 4 22 2" xfId="23144" xr:uid="{1B70BB92-C1F7-4961-AC59-EE72D94FD252}"/>
    <cellStyle name="20% - Akzent5 4 23" xfId="3693" xr:uid="{E7954DCA-DEFE-49CE-8AB3-EDE5137636BD}"/>
    <cellStyle name="20% - Akzent5 4 23 2" xfId="23145" xr:uid="{EF6C0EFF-F430-4FFF-A906-651CB8D630F5}"/>
    <cellStyle name="20% - Akzent5 4 24" xfId="23117" xr:uid="{CBDE5046-1FDB-49D4-BA69-9DE980CE639B}"/>
    <cellStyle name="20% - Akzent5 4 25" xfId="39297" xr:uid="{1B647F8A-2925-49C5-9887-1188FC65B007}"/>
    <cellStyle name="20% - Akzent5 4 26" xfId="3664" xr:uid="{69DE8B89-7F05-434E-9939-AADB7D1C2C06}"/>
    <cellStyle name="20% - Akzent5 4 3" xfId="3694" xr:uid="{F16C9FA2-F251-46A3-9BDB-1C3196E30BB0}"/>
    <cellStyle name="20% - Akzent5 4 3 2" xfId="3695" xr:uid="{8F3FC938-7087-4648-BD46-F9090B342983}"/>
    <cellStyle name="20% - Akzent5 4 3 2 2" xfId="23147" xr:uid="{D21223CA-D132-473F-8608-6685D0DFFF15}"/>
    <cellStyle name="20% - Akzent5 4 3 2 3" xfId="40874" xr:uid="{519A851C-7B6E-4CAA-A786-F13E6AC9B275}"/>
    <cellStyle name="20% - Akzent5 4 3 3" xfId="23146" xr:uid="{A282709B-CBD0-46C7-870A-194817D79A30}"/>
    <cellStyle name="20% - Akzent5 4 3 3 2" xfId="41734" xr:uid="{E763C4E5-C8D5-4697-847B-89F6AB20434B}"/>
    <cellStyle name="20% - Akzent5 4 3 4" xfId="39928" xr:uid="{8A1254B4-7864-46A0-87DC-5D68B239E92C}"/>
    <cellStyle name="20% - Akzent5 4 4" xfId="3696" xr:uid="{381AEFB4-0DBE-4151-A0DA-1D25032920BD}"/>
    <cellStyle name="20% - Akzent5 4 4 2" xfId="3697" xr:uid="{B09F9201-76C4-48C2-8895-AD552A4190C3}"/>
    <cellStyle name="20% - Akzent5 4 4 2 2" xfId="23149" xr:uid="{44934CAB-648B-4A71-8AAC-4D8042CD77B2}"/>
    <cellStyle name="20% - Akzent5 4 4 3" xfId="23148" xr:uid="{70C1885D-D86F-4D69-9D6B-10F63BC5244A}"/>
    <cellStyle name="20% - Akzent5 4 4 4" xfId="40449" xr:uid="{B10228AF-F7FF-4FD7-BC50-C36630027018}"/>
    <cellStyle name="20% - Akzent5 4 5" xfId="3698" xr:uid="{DD14187F-7648-4A1A-95ED-61C5AE24E86D}"/>
    <cellStyle name="20% - Akzent5 4 5 2" xfId="3699" xr:uid="{8851AC01-7D69-4436-B98C-E3CA6ADD08C5}"/>
    <cellStyle name="20% - Akzent5 4 5 2 2" xfId="23151" xr:uid="{121EAB42-A679-4E43-939B-4711E0694290}"/>
    <cellStyle name="20% - Akzent5 4 5 3" xfId="23150" xr:uid="{1C0053A4-B4E5-431B-AECA-8A402C294430}"/>
    <cellStyle name="20% - Akzent5 4 5 4" xfId="41309" xr:uid="{45DA3AD1-C0FF-4DC2-A804-25391CCE4D62}"/>
    <cellStyle name="20% - Akzent5 4 6" xfId="3700" xr:uid="{96CED8CD-DAD1-4395-AA72-E6D82C9AB5B6}"/>
    <cellStyle name="20% - Akzent5 4 6 2" xfId="3701" xr:uid="{F690E5E8-64BF-4AAD-9CF5-69A0F4A9C568}"/>
    <cellStyle name="20% - Akzent5 4 6 2 2" xfId="23153" xr:uid="{549FDB77-75B3-4D09-A174-7A2B093E2157}"/>
    <cellStyle name="20% - Akzent5 4 6 3" xfId="23152" xr:uid="{B2F4F056-C532-4B51-9101-56235838984A}"/>
    <cellStyle name="20% - Akzent5 4 7" xfId="3702" xr:uid="{785205D6-EF9A-4FA0-8E0A-7D62F8438664}"/>
    <cellStyle name="20% - Akzent5 4 7 2" xfId="3703" xr:uid="{DA5C70E0-872F-40B7-9D90-9068BA725351}"/>
    <cellStyle name="20% - Akzent5 4 7 2 2" xfId="23155" xr:uid="{E2ECD544-24BB-40C4-97DF-F62E974CF1C7}"/>
    <cellStyle name="20% - Akzent5 4 7 3" xfId="23154" xr:uid="{6DF20D78-9C02-42AC-B451-2D42EC14DDF8}"/>
    <cellStyle name="20% - Akzent5 4 8" xfId="3704" xr:uid="{9C296396-0C49-480E-8013-3FAC011D075E}"/>
    <cellStyle name="20% - Akzent5 4 8 2" xfId="3705" xr:uid="{4664B0A1-C3E8-4531-A0FE-842DC8900D09}"/>
    <cellStyle name="20% - Akzent5 4 8 2 2" xfId="23157" xr:uid="{2BF531B4-EC17-441C-AAF6-F1FE2F6ACEE0}"/>
    <cellStyle name="20% - Akzent5 4 8 3" xfId="23156" xr:uid="{DC0CB154-99C7-4D12-96C2-753E92F41C17}"/>
    <cellStyle name="20% - Akzent5 4 9" xfId="3706" xr:uid="{BC24F5AA-4369-499A-9034-6191B95594B7}"/>
    <cellStyle name="20% - Akzent5 4 9 2" xfId="3707" xr:uid="{643DE58A-2D77-4F70-B9BC-FF95DA9D07A8}"/>
    <cellStyle name="20% - Akzent5 4 9 2 2" xfId="23159" xr:uid="{3C497DE2-049E-4E91-93B9-088B25CAC6C1}"/>
    <cellStyle name="20% - Akzent5 4 9 3" xfId="23158" xr:uid="{9B8D25D2-833E-482B-AE72-7B287893AD2C}"/>
    <cellStyle name="20% - Akzent5 40" xfId="3708" xr:uid="{FB73944A-5205-40B2-9E81-CB6AD59B682F}"/>
    <cellStyle name="20% - Akzent5 40 2" xfId="3709" xr:uid="{0584D07C-6C5D-49E0-B7B6-D61F7F78D145}"/>
    <cellStyle name="20% - Akzent5 40 2 2" xfId="23161" xr:uid="{AA9090B2-87C6-4C3C-93CD-6E86948211DD}"/>
    <cellStyle name="20% - Akzent5 40 3" xfId="23160" xr:uid="{5B4B85A9-F7FA-4189-AAD7-7BB7FFF26BAE}"/>
    <cellStyle name="20% - Akzent5 41" xfId="3710" xr:uid="{521714E7-8ACE-421A-BD9B-A913B1757ACA}"/>
    <cellStyle name="20% - Akzent5 41 2" xfId="3711" xr:uid="{1A926D45-24BB-4A65-92F5-C055336CEA1E}"/>
    <cellStyle name="20% - Akzent5 41 2 2" xfId="23163" xr:uid="{FB8298BC-BE4F-4E07-87BB-E2094A510F69}"/>
    <cellStyle name="20% - Akzent5 41 3" xfId="23162" xr:uid="{31FC98D9-6873-4222-960C-7BCF34C0894D}"/>
    <cellStyle name="20% - Akzent5 42" xfId="3712" xr:uid="{153EE038-69E4-4B25-9A25-282E3020DA66}"/>
    <cellStyle name="20% - Akzent5 42 2" xfId="3713" xr:uid="{9E03F910-7160-47E4-97D4-E3266DF5A127}"/>
    <cellStyle name="20% - Akzent5 42 2 2" xfId="23165" xr:uid="{BE584987-1A00-4F87-9984-2830D81E7A05}"/>
    <cellStyle name="20% - Akzent5 42 3" xfId="23164" xr:uid="{966C43B4-1F11-48F9-9122-069883F657D4}"/>
    <cellStyle name="20% - Akzent5 43" xfId="3714" xr:uid="{AACAA8BB-44A9-4A83-AF9B-3CE48961BA8A}"/>
    <cellStyle name="20% - Akzent5 43 2" xfId="3715" xr:uid="{0E8E1893-2735-4533-A076-D6EC9AF04630}"/>
    <cellStyle name="20% - Akzent5 43 2 2" xfId="23167" xr:uid="{BB037300-BE86-4E16-BA44-5F43FCC8CC74}"/>
    <cellStyle name="20% - Akzent5 43 3" xfId="23166" xr:uid="{201AA958-9096-4A47-B12D-57686AC4B13E}"/>
    <cellStyle name="20% - Akzent5 44" xfId="3716" xr:uid="{0DCD270A-6793-4AC6-ADBC-B08F85F2021A}"/>
    <cellStyle name="20% - Akzent5 44 2" xfId="3717" xr:uid="{960C7E72-CFA2-41C6-A774-CD2662AF6141}"/>
    <cellStyle name="20% - Akzent5 44 2 2" xfId="23169" xr:uid="{4D10B679-464D-41C0-BF40-9681A0F1A664}"/>
    <cellStyle name="20% - Akzent5 44 3" xfId="23168" xr:uid="{A048F9D5-2881-40FF-B826-01ECE1E07B02}"/>
    <cellStyle name="20% - Akzent5 45" xfId="3718" xr:uid="{E24A6DE6-6684-451C-B438-D122420A5C87}"/>
    <cellStyle name="20% - Akzent5 45 2" xfId="3719" xr:uid="{C45251C7-4657-4B79-88DE-B476C1F3D370}"/>
    <cellStyle name="20% - Akzent5 45 2 2" xfId="23171" xr:uid="{20E53BC8-818B-4218-B80B-03C03F6C13EB}"/>
    <cellStyle name="20% - Akzent5 45 3" xfId="23170" xr:uid="{61A0FD3F-4EA4-4E08-867A-8D36DD9B8DE6}"/>
    <cellStyle name="20% - Akzent5 46" xfId="3720" xr:uid="{4CF77D69-28DA-4F1A-8EAF-070D475E2F5D}"/>
    <cellStyle name="20% - Akzent5 46 2" xfId="3721" xr:uid="{DC0F9AD1-502E-4E4D-94F9-23411B511419}"/>
    <cellStyle name="20% - Akzent5 46 2 2" xfId="23173" xr:uid="{4A07E10D-E998-4784-AFF7-2972CFD86162}"/>
    <cellStyle name="20% - Akzent5 46 3" xfId="23172" xr:uid="{314269FA-AB25-4991-867B-7FE3019E2A06}"/>
    <cellStyle name="20% - Akzent5 47" xfId="3722" xr:uid="{F0F0A22E-3608-4A4E-9B8F-3EFCB1F89473}"/>
    <cellStyle name="20% - Akzent5 47 2" xfId="3723" xr:uid="{240BA9D6-0934-42AD-BCB7-B28D17451926}"/>
    <cellStyle name="20% - Akzent5 47 2 2" xfId="23175" xr:uid="{A1BC7C28-2FEF-49C7-8D1D-F4C812B97BB3}"/>
    <cellStyle name="20% - Akzent5 47 3" xfId="23174" xr:uid="{091354FB-3C42-47A1-8734-E61FDF50F510}"/>
    <cellStyle name="20% - Akzent5 48" xfId="3724" xr:uid="{C081B47F-95D5-4E92-845D-EE4E7EDD6CEA}"/>
    <cellStyle name="20% - Akzent5 48 2" xfId="3725" xr:uid="{35F8D4B8-D6EA-44F0-B6FB-CC37B27017BE}"/>
    <cellStyle name="20% - Akzent5 48 2 2" xfId="23177" xr:uid="{C9291AFA-25EC-4C95-9360-FA078A29AF97}"/>
    <cellStyle name="20% - Akzent5 48 3" xfId="23176" xr:uid="{8709D629-9EB7-4EF7-BC9A-4677A735BE80}"/>
    <cellStyle name="20% - Akzent5 49" xfId="3726" xr:uid="{FCF69488-940C-4238-89B8-467F7B0FCC6C}"/>
    <cellStyle name="20% - Akzent5 49 2" xfId="3727" xr:uid="{6647050C-6AD0-449E-90B0-EA6A256FF1EB}"/>
    <cellStyle name="20% - Akzent5 49 2 2" xfId="23179" xr:uid="{9FB0FDEB-818B-4DAE-B403-E22B40510A4F}"/>
    <cellStyle name="20% - Akzent5 49 3" xfId="23178" xr:uid="{4DD8ADA3-7F85-48F5-B2B3-34A1462E942B}"/>
    <cellStyle name="20% - Akzent5 5" xfId="3728" xr:uid="{B416F6A6-F520-4758-BAFC-B0EFF4D6443D}"/>
    <cellStyle name="20% - Akzent5 5 10" xfId="3729" xr:uid="{129B44B3-9A46-4B36-9042-9D1E1AE672D5}"/>
    <cellStyle name="20% - Akzent5 5 10 2" xfId="3730" xr:uid="{C268E3F6-3041-4D2B-AD31-6B416E71469A}"/>
    <cellStyle name="20% - Akzent5 5 10 2 2" xfId="23182" xr:uid="{18E3ABD1-EC64-4783-B1BA-28E8AD17B3B1}"/>
    <cellStyle name="20% - Akzent5 5 10 3" xfId="23181" xr:uid="{C3DD185E-07A7-4581-9809-FB02A71B049E}"/>
    <cellStyle name="20% - Akzent5 5 11" xfId="3731" xr:uid="{47177259-D2F3-46A0-8C6B-64ECA99C4027}"/>
    <cellStyle name="20% - Akzent5 5 11 2" xfId="3732" xr:uid="{8721744D-08A8-4D9A-B6B1-309791EDF72F}"/>
    <cellStyle name="20% - Akzent5 5 11 2 2" xfId="23184" xr:uid="{EB933283-7B2B-4232-844D-384C9441C136}"/>
    <cellStyle name="20% - Akzent5 5 11 3" xfId="23183" xr:uid="{206A095B-C0A5-44C9-BEC0-98D56C8B8DB6}"/>
    <cellStyle name="20% - Akzent5 5 12" xfId="3733" xr:uid="{7E3DA90C-FE85-4E4C-98DD-8A6574832CD4}"/>
    <cellStyle name="20% - Akzent5 5 12 2" xfId="3734" xr:uid="{4922C60C-04DE-4CF5-B415-087FF8B42091}"/>
    <cellStyle name="20% - Akzent5 5 12 2 2" xfId="23186" xr:uid="{44AD7EF1-C9B5-493D-AB49-7D8B9951C2C4}"/>
    <cellStyle name="20% - Akzent5 5 12 3" xfId="23185" xr:uid="{94AF9F7B-F47C-4E40-B229-E495CD6C451B}"/>
    <cellStyle name="20% - Akzent5 5 13" xfId="3735" xr:uid="{984B34D7-3B1E-49DC-B2DF-F47AE1A1F9AA}"/>
    <cellStyle name="20% - Akzent5 5 13 2" xfId="3736" xr:uid="{0BA6EAA3-C943-4BE9-9298-656812FF7EDB}"/>
    <cellStyle name="20% - Akzent5 5 13 2 2" xfId="23188" xr:uid="{2456FB94-C641-4FE9-81C2-D4F6A1CA331E}"/>
    <cellStyle name="20% - Akzent5 5 13 3" xfId="23187" xr:uid="{E09CAD8D-2212-4C68-9BE1-71C904F4DD55}"/>
    <cellStyle name="20% - Akzent5 5 14" xfId="3737" xr:uid="{578EE35E-6993-4BFE-A8F0-4037AC54830A}"/>
    <cellStyle name="20% - Akzent5 5 14 2" xfId="3738" xr:uid="{235450E3-C9D1-4804-BD3A-8AF74D477775}"/>
    <cellStyle name="20% - Akzent5 5 14 2 2" xfId="23190" xr:uid="{116DF15F-C886-4BEF-91FD-84D5C5B3A710}"/>
    <cellStyle name="20% - Akzent5 5 14 3" xfId="23189" xr:uid="{BD02F9FC-D9F8-4DC2-9A0E-52641BA7ED5E}"/>
    <cellStyle name="20% - Akzent5 5 15" xfId="3739" xr:uid="{B2AE9A4A-2F66-43B6-86D4-44A0D07BB054}"/>
    <cellStyle name="20% - Akzent5 5 15 2" xfId="3740" xr:uid="{AE3BA2EF-36EA-4F5F-A692-53A422D746B4}"/>
    <cellStyle name="20% - Akzent5 5 15 2 2" xfId="23192" xr:uid="{AE5A3E1F-CD75-48E7-8444-98F9DD66A8A4}"/>
    <cellStyle name="20% - Akzent5 5 15 3" xfId="23191" xr:uid="{A5E267D0-63CB-4FA1-9C39-DD680ACE203D}"/>
    <cellStyle name="20% - Akzent5 5 16" xfId="3741" xr:uid="{615522D7-D0E8-4005-9421-5C4947B2ED7E}"/>
    <cellStyle name="20% - Akzent5 5 16 2" xfId="3742" xr:uid="{2F8F4AD6-A3F9-401B-810F-6496F47F53BE}"/>
    <cellStyle name="20% - Akzent5 5 16 2 2" xfId="23194" xr:uid="{DE9FF009-631A-435D-8DA2-0F5F6366CEE6}"/>
    <cellStyle name="20% - Akzent5 5 16 3" xfId="23193" xr:uid="{FFFAFB69-FBFA-4885-AFC1-A15644A5A115}"/>
    <cellStyle name="20% - Akzent5 5 17" xfId="3743" xr:uid="{A5D542A9-1810-450B-B750-580725E80CB9}"/>
    <cellStyle name="20% - Akzent5 5 17 2" xfId="3744" xr:uid="{51A81ED7-8EB4-4F44-A5C5-7D37C44A960A}"/>
    <cellStyle name="20% - Akzent5 5 17 2 2" xfId="23196" xr:uid="{009E9B7F-94F6-4D0A-AB0C-E8BC7C190146}"/>
    <cellStyle name="20% - Akzent5 5 17 3" xfId="23195" xr:uid="{06A8FAD8-DDBE-403B-9F3F-4FF982E3BBF8}"/>
    <cellStyle name="20% - Akzent5 5 18" xfId="3745" xr:uid="{A5EB3236-3A94-43B2-9A40-338F17BA7922}"/>
    <cellStyle name="20% - Akzent5 5 18 2" xfId="3746" xr:uid="{4FAB9A38-255C-44FD-A83E-BCE37418B298}"/>
    <cellStyle name="20% - Akzent5 5 18 2 2" xfId="23198" xr:uid="{94A874C6-A321-4CB8-8511-9599764F8EC6}"/>
    <cellStyle name="20% - Akzent5 5 18 3" xfId="23197" xr:uid="{4A125102-3AAF-4362-B50B-47A263EB4661}"/>
    <cellStyle name="20% - Akzent5 5 19" xfId="3747" xr:uid="{74E57E0A-C433-462B-B329-1F56565EF56E}"/>
    <cellStyle name="20% - Akzent5 5 19 2" xfId="3748" xr:uid="{2E5640C7-2316-40BD-BB85-C96BC7BB318E}"/>
    <cellStyle name="20% - Akzent5 5 19 2 2" xfId="23200" xr:uid="{85A69CD7-22A1-4EF3-9BBC-8B28B95B9963}"/>
    <cellStyle name="20% - Akzent5 5 19 3" xfId="23199" xr:uid="{99AC025F-378F-475A-BDE6-10A6EC6EB238}"/>
    <cellStyle name="20% - Akzent5 5 2" xfId="3749" xr:uid="{709F8C02-4F20-4138-9669-127EE66C8A5F}"/>
    <cellStyle name="20% - Akzent5 5 2 2" xfId="3750" xr:uid="{C5903553-B2CD-4B12-96B4-F42B63FEC947}"/>
    <cellStyle name="20% - Akzent5 5 2 2 2" xfId="23202" xr:uid="{38140632-ED35-48C7-B2EA-6B69769A3EF7}"/>
    <cellStyle name="20% - Akzent5 5 2 3" xfId="23201" xr:uid="{89AA7B53-9B7F-4B86-8B55-D26E7560245A}"/>
    <cellStyle name="20% - Akzent5 5 20" xfId="3751" xr:uid="{107D6168-E9A8-4C7C-8A53-EA7B1E825CC5}"/>
    <cellStyle name="20% - Akzent5 5 20 2" xfId="3752" xr:uid="{E8B693D9-1F17-4B14-A868-D1E54CA6ED6C}"/>
    <cellStyle name="20% - Akzent5 5 20 2 2" xfId="23204" xr:uid="{A3BD4A42-B8E9-4BAC-ABCD-C0FE02764B75}"/>
    <cellStyle name="20% - Akzent5 5 20 3" xfId="23203" xr:uid="{E0CBE142-3D0C-4165-AD30-5D7C60D60A2C}"/>
    <cellStyle name="20% - Akzent5 5 21" xfId="3753" xr:uid="{B1FC0E57-E95D-44E7-9DFC-FC2C825C0D0F}"/>
    <cellStyle name="20% - Akzent5 5 21 2" xfId="3754" xr:uid="{D83AD82C-396B-4C45-8B6A-3058BBCF1076}"/>
    <cellStyle name="20% - Akzent5 5 21 2 2" xfId="23206" xr:uid="{9739D728-B594-429D-AB86-124A366C1F42}"/>
    <cellStyle name="20% - Akzent5 5 21 3" xfId="23205" xr:uid="{CC9DC1D4-C66B-4927-A1A0-1ACCE7595CAA}"/>
    <cellStyle name="20% - Akzent5 5 22" xfId="3755" xr:uid="{86CD7CE8-60F4-42B5-9EBC-9E72FA8B8868}"/>
    <cellStyle name="20% - Akzent5 5 22 2" xfId="23207" xr:uid="{DFE22AC0-DBA7-4ADD-8703-A2E602FFD096}"/>
    <cellStyle name="20% - Akzent5 5 23" xfId="3756" xr:uid="{94403A4E-963A-4789-AC9E-F81EF1A601B9}"/>
    <cellStyle name="20% - Akzent5 5 23 2" xfId="23208" xr:uid="{F00923CC-A932-44F5-BC50-FC1892D0EED7}"/>
    <cellStyle name="20% - Akzent5 5 24" xfId="23180" xr:uid="{7DF0A9C2-BB28-4C18-B27F-9673D9250243}"/>
    <cellStyle name="20% - Akzent5 5 25" xfId="39293" xr:uid="{B3E9F60D-030D-4319-BEA1-174D77E7A00C}"/>
    <cellStyle name="20% - Akzent5 5 3" xfId="3757" xr:uid="{9A53393A-1632-4E5F-8F81-9BE96E5BDBEA}"/>
    <cellStyle name="20% - Akzent5 5 3 2" xfId="3758" xr:uid="{334F52CB-B5E1-4819-AD60-E9AF9D435C42}"/>
    <cellStyle name="20% - Akzent5 5 3 2 2" xfId="23210" xr:uid="{018E3F11-E706-4FE8-B55F-835A3AFB29C7}"/>
    <cellStyle name="20% - Akzent5 5 3 3" xfId="23209" xr:uid="{39534B86-734F-4B61-B909-F63122A602A6}"/>
    <cellStyle name="20% - Akzent5 5 4" xfId="3759" xr:uid="{F3E47DAF-2484-41FE-B4C3-544340704108}"/>
    <cellStyle name="20% - Akzent5 5 4 2" xfId="3760" xr:uid="{E9113848-A0D1-4DE8-B4A2-1953588C4990}"/>
    <cellStyle name="20% - Akzent5 5 4 2 2" xfId="23212" xr:uid="{9997D9C8-AD43-4905-91DE-DB2D7F00DA1A}"/>
    <cellStyle name="20% - Akzent5 5 4 3" xfId="23211" xr:uid="{A8BBB1FF-419D-4930-AF0E-970C834C0704}"/>
    <cellStyle name="20% - Akzent5 5 5" xfId="3761" xr:uid="{6B3A7B12-80A5-4E95-AAF7-78B1A3F8DF6D}"/>
    <cellStyle name="20% - Akzent5 5 5 2" xfId="3762" xr:uid="{E32753B5-22BB-414D-9A42-C48F183AE269}"/>
    <cellStyle name="20% - Akzent5 5 5 2 2" xfId="23214" xr:uid="{814754B1-09B3-44EC-9F87-1C742B4F1463}"/>
    <cellStyle name="20% - Akzent5 5 5 3" xfId="23213" xr:uid="{E46E5715-2638-4258-9B05-498C1CDFD56F}"/>
    <cellStyle name="20% - Akzent5 5 6" xfId="3763" xr:uid="{4899C0AC-F07F-4BC1-9DBF-8A51C1636A2B}"/>
    <cellStyle name="20% - Akzent5 5 6 2" xfId="3764" xr:uid="{C58EC4DD-E01E-4A75-B4FD-0016E8AFE8AE}"/>
    <cellStyle name="20% - Akzent5 5 6 2 2" xfId="23216" xr:uid="{E19123B6-7D82-4B15-92D5-17B88524828D}"/>
    <cellStyle name="20% - Akzent5 5 6 3" xfId="23215" xr:uid="{A96A065B-B032-4407-837E-B255EFA6660F}"/>
    <cellStyle name="20% - Akzent5 5 7" xfId="3765" xr:uid="{62504B1F-9E97-46F9-B1C9-FE3646A58F93}"/>
    <cellStyle name="20% - Akzent5 5 7 2" xfId="3766" xr:uid="{05369DB1-04F1-4860-8034-F2F72BB67BBB}"/>
    <cellStyle name="20% - Akzent5 5 7 2 2" xfId="23218" xr:uid="{FD8ECADB-50B7-4669-A318-2FD6621916E1}"/>
    <cellStyle name="20% - Akzent5 5 7 3" xfId="23217" xr:uid="{6D7C9C69-AB42-43A5-8A14-E0AD8C76A258}"/>
    <cellStyle name="20% - Akzent5 5 8" xfId="3767" xr:uid="{DB0AFFC2-078F-4578-8F15-BFBB1C02C4E3}"/>
    <cellStyle name="20% - Akzent5 5 8 2" xfId="3768" xr:uid="{DF38AA3F-D8C1-4A08-8131-4B30A3CD4983}"/>
    <cellStyle name="20% - Akzent5 5 8 2 2" xfId="23220" xr:uid="{9156AFE2-9045-494F-9646-275637050D2F}"/>
    <cellStyle name="20% - Akzent5 5 8 3" xfId="23219" xr:uid="{2FE0310F-DE76-4816-8017-FF8C4689C056}"/>
    <cellStyle name="20% - Akzent5 5 9" xfId="3769" xr:uid="{3503220B-B093-4FD7-8345-FAF5984A6AF2}"/>
    <cellStyle name="20% - Akzent5 5 9 2" xfId="3770" xr:uid="{F6DFD0FF-F6D8-4730-A350-2861573FF365}"/>
    <cellStyle name="20% - Akzent5 5 9 2 2" xfId="23222" xr:uid="{836FE49F-BC8E-4CA4-AD84-04D8780D4D93}"/>
    <cellStyle name="20% - Akzent5 5 9 3" xfId="23221" xr:uid="{5EDEE943-32A2-449F-86CE-4AA6F6BD0C32}"/>
    <cellStyle name="20% - Akzent5 50" xfId="3771" xr:uid="{A3761CB8-0348-41B2-992F-213BA5D8F96F}"/>
    <cellStyle name="20% - Akzent5 50 2" xfId="3772" xr:uid="{F189D70B-4EED-4762-8635-0C1E6B3A862A}"/>
    <cellStyle name="20% - Akzent5 50 2 2" xfId="23224" xr:uid="{215F0CAD-766B-40CA-926D-00C92A6883F4}"/>
    <cellStyle name="20% - Akzent5 50 3" xfId="23223" xr:uid="{FF44DFC5-A800-4AEA-A3DC-C528871882C1}"/>
    <cellStyle name="20% - Akzent5 51" xfId="3773" xr:uid="{524D4FB7-70C0-49C2-8491-D86E6FDCBA66}"/>
    <cellStyle name="20% - Akzent5 51 2" xfId="3774" xr:uid="{CC6EE106-3EA3-4A7A-9699-BFEF5A35AE07}"/>
    <cellStyle name="20% - Akzent5 51 2 2" xfId="23226" xr:uid="{1A169480-1913-4A93-B49B-24A74685E544}"/>
    <cellStyle name="20% - Akzent5 51 3" xfId="23225" xr:uid="{BD7D5A4C-D06E-42C2-8011-DA4B14689BAB}"/>
    <cellStyle name="20% - Akzent5 52" xfId="3775" xr:uid="{418CCF52-0319-4EDC-A3A3-E172966D3FD5}"/>
    <cellStyle name="20% - Akzent5 52 2" xfId="3776" xr:uid="{1D10D527-5E75-4B39-8FCD-0D122F8DD8C2}"/>
    <cellStyle name="20% - Akzent5 52 2 2" xfId="23228" xr:uid="{631D5846-3ABB-4F25-B8F0-AE832C2D2E08}"/>
    <cellStyle name="20% - Akzent5 52 3" xfId="23227" xr:uid="{0AA1E42E-204B-42EE-B2F8-2E9AEC3513E6}"/>
    <cellStyle name="20% - Akzent5 53" xfId="3777" xr:uid="{127B1E5C-4DD4-408C-B090-D8923C374F56}"/>
    <cellStyle name="20% - Akzent5 53 2" xfId="3778" xr:uid="{6E289CBF-2403-44F9-AAF4-BA106D502825}"/>
    <cellStyle name="20% - Akzent5 53 2 2" xfId="23230" xr:uid="{7E949C5A-BB23-4B75-8C42-1AF4F9983988}"/>
    <cellStyle name="20% - Akzent5 53 3" xfId="23229" xr:uid="{6D290057-763C-4FBC-ADB3-1210ACC504F8}"/>
    <cellStyle name="20% - Akzent5 54" xfId="3779" xr:uid="{0BBD519E-4088-474A-8027-B7803AB1D4EF}"/>
    <cellStyle name="20% - Akzent5 54 2" xfId="3780" xr:uid="{009FCD53-6AF9-4522-BE34-CA45E0A851DE}"/>
    <cellStyle name="20% - Akzent5 54 2 2" xfId="23232" xr:uid="{D47C6327-7F3E-4E6C-AC5F-E8A5F5C21963}"/>
    <cellStyle name="20% - Akzent5 54 3" xfId="23231" xr:uid="{1CCB2FDC-1E8A-463D-B8B7-BDD5ED8B954F}"/>
    <cellStyle name="20% - Akzent5 55" xfId="3781" xr:uid="{4F01D204-1E85-45D0-B671-D74C47B54699}"/>
    <cellStyle name="20% - Akzent5 55 2" xfId="3782" xr:uid="{2C1D7E48-B998-4155-ABE9-1929C0917844}"/>
    <cellStyle name="20% - Akzent5 55 2 2" xfId="23234" xr:uid="{D88EC707-B437-42AA-AA9F-A3F434FA6C45}"/>
    <cellStyle name="20% - Akzent5 55 3" xfId="23233" xr:uid="{8EFDC358-03E5-48E9-8B66-FDC7DC24C142}"/>
    <cellStyle name="20% - Akzent5 56" xfId="3783" xr:uid="{9156D6D4-74EF-4539-9BE8-8E8C9B6D30DB}"/>
    <cellStyle name="20% - Akzent5 56 2" xfId="3784" xr:uid="{BF79C14F-7BA8-44AD-9AF9-7C015FEC58FB}"/>
    <cellStyle name="20% - Akzent5 56 2 2" xfId="23236" xr:uid="{FD300018-CFA8-4A62-BF43-D1A544225E73}"/>
    <cellStyle name="20% - Akzent5 56 3" xfId="23235" xr:uid="{A29DBC54-90DD-40C8-95B6-EED01CD4D840}"/>
    <cellStyle name="20% - Akzent5 57" xfId="3785" xr:uid="{83F1E769-DB17-4EE4-B50B-2BCA5347BBB7}"/>
    <cellStyle name="20% - Akzent5 57 2" xfId="3786" xr:uid="{4BFE7E27-1450-4084-8D6C-4324D9B07DD3}"/>
    <cellStyle name="20% - Akzent5 57 2 2" xfId="23238" xr:uid="{DBF718D7-BBAE-4F87-AF29-BE7C59431785}"/>
    <cellStyle name="20% - Akzent5 57 3" xfId="23237" xr:uid="{C758A4C1-914A-4A79-A018-ACC31F77515F}"/>
    <cellStyle name="20% - Akzent5 58" xfId="3787" xr:uid="{E17EBF97-D026-4A24-B745-F82DBD7B640E}"/>
    <cellStyle name="20% - Akzent5 58 2" xfId="3788" xr:uid="{83EF0B77-71E9-4ACF-BA6F-934AA126842A}"/>
    <cellStyle name="20% - Akzent5 58 2 2" xfId="23240" xr:uid="{1A598643-3AF9-4AFE-9E09-E909D20BB614}"/>
    <cellStyle name="20% - Akzent5 58 3" xfId="23239" xr:uid="{18A4BFC7-61E3-4964-A084-776DDE3A1A8C}"/>
    <cellStyle name="20% - Akzent5 59" xfId="3789" xr:uid="{48D5489A-D480-4C7E-98ED-E9AA9CC8301B}"/>
    <cellStyle name="20% - Akzent5 59 2" xfId="3790" xr:uid="{37CBBD55-1A2B-4985-A990-C77A2B4390FF}"/>
    <cellStyle name="20% - Akzent5 59 2 2" xfId="23242" xr:uid="{EF30D55C-7867-4D42-B0EC-27647327036C}"/>
    <cellStyle name="20% - Akzent5 59 3" xfId="23241" xr:uid="{54B7C501-E2AC-4E4A-A08D-84A9A0B4BB50}"/>
    <cellStyle name="20% - Akzent5 6" xfId="3791" xr:uid="{D71667B2-54ED-45F2-ACF7-DD9C41E0CE0C}"/>
    <cellStyle name="20% - Akzent5 6 10" xfId="3792" xr:uid="{5D60A490-3A60-45BC-AF86-CFA04BD8F296}"/>
    <cellStyle name="20% - Akzent5 6 10 2" xfId="3793" xr:uid="{34D5EA0E-27B0-4312-8EB6-AFC0D914421F}"/>
    <cellStyle name="20% - Akzent5 6 10 2 2" xfId="23245" xr:uid="{02EFB61C-6085-485C-AA21-1008A4F36F3F}"/>
    <cellStyle name="20% - Akzent5 6 10 3" xfId="23244" xr:uid="{1A1FB32C-995E-49C9-8B5D-3A7F489F2274}"/>
    <cellStyle name="20% - Akzent5 6 11" xfId="3794" xr:uid="{36D10E7A-EF81-4314-B974-ED608E41A2AC}"/>
    <cellStyle name="20% - Akzent5 6 11 2" xfId="3795" xr:uid="{15C9AC6F-A954-47F2-BE96-F4117C11FB19}"/>
    <cellStyle name="20% - Akzent5 6 11 2 2" xfId="23247" xr:uid="{9BE98C0F-5B22-4F9E-8867-A9BA64921B79}"/>
    <cellStyle name="20% - Akzent5 6 11 3" xfId="23246" xr:uid="{62FD22A3-FDDE-4091-8D93-9261728041F1}"/>
    <cellStyle name="20% - Akzent5 6 12" xfId="3796" xr:uid="{3E286510-57E1-40C8-B6A9-8074620152D5}"/>
    <cellStyle name="20% - Akzent5 6 12 2" xfId="3797" xr:uid="{4F8DDAFB-15AD-40D3-8AF8-DCCFEECA2343}"/>
    <cellStyle name="20% - Akzent5 6 12 2 2" xfId="23249" xr:uid="{B4C548EC-66EE-405A-AE6C-8D00354BD36A}"/>
    <cellStyle name="20% - Akzent5 6 12 3" xfId="23248" xr:uid="{2B1FDEC4-A0BE-48E2-AD03-F4D86D41B773}"/>
    <cellStyle name="20% - Akzent5 6 13" xfId="3798" xr:uid="{DF55A46D-56A1-4382-9739-5D313585A495}"/>
    <cellStyle name="20% - Akzent5 6 13 2" xfId="3799" xr:uid="{A579F104-37B2-4049-B695-A434AF356D64}"/>
    <cellStyle name="20% - Akzent5 6 13 2 2" xfId="23251" xr:uid="{FF0A9F72-D7A5-47DC-B879-D98DF4E8CBE5}"/>
    <cellStyle name="20% - Akzent5 6 13 3" xfId="23250" xr:uid="{A2DC71C0-02D9-45AC-ACFF-FE5950676672}"/>
    <cellStyle name="20% - Akzent5 6 14" xfId="3800" xr:uid="{11FC7A8F-4A01-43B4-BFED-B68177C9961D}"/>
    <cellStyle name="20% - Akzent5 6 14 2" xfId="3801" xr:uid="{9B645CAB-9A65-4EAE-B9B0-DB35976E6779}"/>
    <cellStyle name="20% - Akzent5 6 14 2 2" xfId="23253" xr:uid="{960AAA60-F1D0-4832-B470-4D43EDF39492}"/>
    <cellStyle name="20% - Akzent5 6 14 3" xfId="23252" xr:uid="{2C4597B4-D94B-4A8F-8369-FFC4912D2944}"/>
    <cellStyle name="20% - Akzent5 6 15" xfId="3802" xr:uid="{6F080E1D-42F6-450A-B31B-BB88EBA54833}"/>
    <cellStyle name="20% - Akzent5 6 15 2" xfId="3803" xr:uid="{C1A7D578-04DF-4541-A675-775F07B4581D}"/>
    <cellStyle name="20% - Akzent5 6 15 2 2" xfId="23255" xr:uid="{884D49B1-FABA-45ED-B4E2-46802C5E6E2C}"/>
    <cellStyle name="20% - Akzent5 6 15 3" xfId="23254" xr:uid="{A6958D9C-4BEA-45C2-974E-E60C2595E2B0}"/>
    <cellStyle name="20% - Akzent5 6 16" xfId="3804" xr:uid="{EEE10AF0-9DEF-4706-8CD7-B5291827C8BF}"/>
    <cellStyle name="20% - Akzent5 6 16 2" xfId="3805" xr:uid="{FC91DF4E-0AB2-4768-9DA8-6B0D87DE3919}"/>
    <cellStyle name="20% - Akzent5 6 16 2 2" xfId="23257" xr:uid="{F3761F7C-ECB4-40E5-B9F8-C8A92890F82D}"/>
    <cellStyle name="20% - Akzent5 6 16 3" xfId="23256" xr:uid="{E4100460-21F3-4FB0-9583-D8767EBC521A}"/>
    <cellStyle name="20% - Akzent5 6 17" xfId="3806" xr:uid="{6AEF6202-8034-48CB-90E3-04D32044F12F}"/>
    <cellStyle name="20% - Akzent5 6 17 2" xfId="3807" xr:uid="{353DC2C5-B2ED-4957-8636-80C64239D05D}"/>
    <cellStyle name="20% - Akzent5 6 17 2 2" xfId="23259" xr:uid="{7DEACC71-A693-4EA3-A600-B6F7E6198213}"/>
    <cellStyle name="20% - Akzent5 6 17 3" xfId="23258" xr:uid="{73A8D5EC-9906-4596-940F-81C24FD49573}"/>
    <cellStyle name="20% - Akzent5 6 18" xfId="3808" xr:uid="{602F6B92-CFE8-4AAB-A939-A6ACB934A206}"/>
    <cellStyle name="20% - Akzent5 6 18 2" xfId="3809" xr:uid="{21F3B08D-C07D-4B20-AC48-F26AC19CB195}"/>
    <cellStyle name="20% - Akzent5 6 18 2 2" xfId="23261" xr:uid="{2C9954AA-DC24-4092-96E9-7A90DC2A90FF}"/>
    <cellStyle name="20% - Akzent5 6 18 3" xfId="23260" xr:uid="{4E1FB1B5-1A05-4F67-B209-24613295389D}"/>
    <cellStyle name="20% - Akzent5 6 19" xfId="3810" xr:uid="{F1044230-6DBD-4EF1-8B49-06D90EF04465}"/>
    <cellStyle name="20% - Akzent5 6 19 2" xfId="3811" xr:uid="{4892AE6E-472A-4BAD-97E5-1735145551D2}"/>
    <cellStyle name="20% - Akzent5 6 19 2 2" xfId="23263" xr:uid="{9804B469-7038-45DF-BC99-45D24487D7E0}"/>
    <cellStyle name="20% - Akzent5 6 19 3" xfId="23262" xr:uid="{D97F4859-223D-4E5C-BBBD-663E0ED56FC2}"/>
    <cellStyle name="20% - Akzent5 6 2" xfId="3812" xr:uid="{C5D4D671-8688-41DA-8C4F-3A1751FEB020}"/>
    <cellStyle name="20% - Akzent5 6 20" xfId="3813" xr:uid="{AEC3C9C2-D474-447A-AD6C-5C77C7E19A2E}"/>
    <cellStyle name="20% - Akzent5 6 20 2" xfId="3814" xr:uid="{1CF83C83-E636-4BB9-BE1F-5FDFA5B01A01}"/>
    <cellStyle name="20% - Akzent5 6 20 2 2" xfId="23265" xr:uid="{658285FE-0A92-42F8-BC11-FF8AEE374F33}"/>
    <cellStyle name="20% - Akzent5 6 20 3" xfId="23264" xr:uid="{90E0C566-8F4F-4429-BF63-5976D4D70879}"/>
    <cellStyle name="20% - Akzent5 6 21" xfId="3815" xr:uid="{7A5EE3C9-6BE3-4C33-BB56-31790826245A}"/>
    <cellStyle name="20% - Akzent5 6 21 2" xfId="3816" xr:uid="{17750E4C-F8AD-45F9-BF8A-0F5E43B3D3BE}"/>
    <cellStyle name="20% - Akzent5 6 21 2 2" xfId="23267" xr:uid="{F8BDA1B1-CF4B-40CC-9655-8BDAEB2D1684}"/>
    <cellStyle name="20% - Akzent5 6 21 3" xfId="23266" xr:uid="{619693FE-699A-4349-8A8E-86C9F70C16C5}"/>
    <cellStyle name="20% - Akzent5 6 22" xfId="3817" xr:uid="{6AB6AFAF-0620-4C85-8BAF-BD3253D23405}"/>
    <cellStyle name="20% - Akzent5 6 22 2" xfId="23268" xr:uid="{1D19D36C-BCCF-4DEE-A514-993DE1E66701}"/>
    <cellStyle name="20% - Akzent5 6 23" xfId="3818" xr:uid="{8A93787C-5C70-417A-B5A2-DBDAE59258F7}"/>
    <cellStyle name="20% - Akzent5 6 23 2" xfId="23269" xr:uid="{B5455B13-4F5F-4FCB-B907-A81949AC6C7A}"/>
    <cellStyle name="20% - Akzent5 6 24" xfId="23243" xr:uid="{2B6F12F0-D79B-439B-8DC6-60CC1FEE0BE5}"/>
    <cellStyle name="20% - Akzent5 6 3" xfId="3819" xr:uid="{D2E74670-E77E-43AE-B62F-CD1EB779D5B9}"/>
    <cellStyle name="20% - Akzent5 6 3 2" xfId="3820" xr:uid="{D5FEA4B2-9D77-47E5-813A-DE89D63A8230}"/>
    <cellStyle name="20% - Akzent5 6 3 2 2" xfId="23271" xr:uid="{E8C55A41-F697-49D2-A33B-489FFF7E297A}"/>
    <cellStyle name="20% - Akzent5 6 3 3" xfId="23270" xr:uid="{94AB51E0-0D00-4D72-9DC2-2ABAA7F26367}"/>
    <cellStyle name="20% - Akzent5 6 4" xfId="3821" xr:uid="{C07C916C-2718-4B70-8F45-80B7767E6520}"/>
    <cellStyle name="20% - Akzent5 6 4 2" xfId="3822" xr:uid="{36EBD7DC-AA1B-480E-81EE-C48F24E693E1}"/>
    <cellStyle name="20% - Akzent5 6 4 2 2" xfId="23273" xr:uid="{908C8A48-2BF4-4510-8937-4E49080CB606}"/>
    <cellStyle name="20% - Akzent5 6 4 3" xfId="23272" xr:uid="{AE2E7CC3-0730-420A-9D67-CD0660D22A1C}"/>
    <cellStyle name="20% - Akzent5 6 5" xfId="3823" xr:uid="{EAEA8879-51EB-4111-BC06-97709741A0DC}"/>
    <cellStyle name="20% - Akzent5 6 5 2" xfId="3824" xr:uid="{3B0A2AAF-0246-4A29-85BB-E2993CBAE8F1}"/>
    <cellStyle name="20% - Akzent5 6 5 2 2" xfId="23275" xr:uid="{D1F10DDD-A1AC-4CC1-BC04-C5522191E0B2}"/>
    <cellStyle name="20% - Akzent5 6 5 3" xfId="23274" xr:uid="{A6546CF3-3840-42B2-B75E-5FE5F0E2EB5D}"/>
    <cellStyle name="20% - Akzent5 6 6" xfId="3825" xr:uid="{19F88525-62DA-43A4-B330-CE7C4CBF6137}"/>
    <cellStyle name="20% - Akzent5 6 6 2" xfId="3826" xr:uid="{28B7A735-ED25-4E55-8028-2C755FEFC3F7}"/>
    <cellStyle name="20% - Akzent5 6 6 2 2" xfId="23277" xr:uid="{7A96FBCA-5492-4CE6-B08B-367EA6013585}"/>
    <cellStyle name="20% - Akzent5 6 6 3" xfId="23276" xr:uid="{500391EA-0E3D-42DB-8C34-334E7C109000}"/>
    <cellStyle name="20% - Akzent5 6 7" xfId="3827" xr:uid="{A226ED7C-EEEA-4721-AD6E-5E2DCF5D446F}"/>
    <cellStyle name="20% - Akzent5 6 7 2" xfId="3828" xr:uid="{94977499-6B7D-4692-B246-1BA4B9FD5F23}"/>
    <cellStyle name="20% - Akzent5 6 7 2 2" xfId="23279" xr:uid="{6AAE23A5-FF5B-44B7-931E-F6B0E0042B5C}"/>
    <cellStyle name="20% - Akzent5 6 7 3" xfId="23278" xr:uid="{4F3372AA-281F-4A61-B1A6-159FC0DEBA19}"/>
    <cellStyle name="20% - Akzent5 6 8" xfId="3829" xr:uid="{EA264970-94CB-4E82-82B0-B7456303F253}"/>
    <cellStyle name="20% - Akzent5 6 8 2" xfId="3830" xr:uid="{EBF7D7DC-1415-4464-A453-EF65E2971DBE}"/>
    <cellStyle name="20% - Akzent5 6 8 2 2" xfId="23281" xr:uid="{402F00D4-932C-481A-A985-B4A99523EE17}"/>
    <cellStyle name="20% - Akzent5 6 8 3" xfId="23280" xr:uid="{C433A3D5-EDF6-498B-8A90-B69DCA43BF48}"/>
    <cellStyle name="20% - Akzent5 6 9" xfId="3831" xr:uid="{5E94333D-C42F-4DCE-9AFC-8BDA88CB1FF0}"/>
    <cellStyle name="20% - Akzent5 6 9 2" xfId="3832" xr:uid="{BB3EF2F4-974B-48A2-A951-D5AE5D3F589F}"/>
    <cellStyle name="20% - Akzent5 6 9 2 2" xfId="23283" xr:uid="{BD450767-1DD2-4ECF-AE7A-3CC07CFF2705}"/>
    <cellStyle name="20% - Akzent5 6 9 3" xfId="23282" xr:uid="{65BFCBC4-8D23-4BBF-8059-B597CA4933C2}"/>
    <cellStyle name="20% - Akzent5 60" xfId="3833" xr:uid="{D188E7EE-B71C-4183-BC2F-0A7789A88F99}"/>
    <cellStyle name="20% - Akzent5 60 2" xfId="3834" xr:uid="{B730613C-2D5E-4249-8885-1F1BADE2287A}"/>
    <cellStyle name="20% - Akzent5 60 2 2" xfId="23285" xr:uid="{204AC93C-B9DB-4115-B047-08303F4DB5F7}"/>
    <cellStyle name="20% - Akzent5 60 3" xfId="23284" xr:uid="{2CDC0F3E-C485-4740-A244-A778E1CFFFDD}"/>
    <cellStyle name="20% - Akzent5 61" xfId="3835" xr:uid="{8A9D3938-2D9C-4C62-8837-7FA493240234}"/>
    <cellStyle name="20% - Akzent5 61 2" xfId="3836" xr:uid="{E3EF3786-4E62-4125-ADDC-A21ED8A05F5B}"/>
    <cellStyle name="20% - Akzent5 61 2 2" xfId="23287" xr:uid="{97D7CEDF-8FBF-4F6B-B3C1-81207B0C5A55}"/>
    <cellStyle name="20% - Akzent5 61 3" xfId="23286" xr:uid="{6BB19A8D-A702-4B1C-9B8A-D75A65CFE18E}"/>
    <cellStyle name="20% - Akzent5 62" xfId="3837" xr:uid="{4E39B788-994D-42E7-B0C6-BC0E9AD12AB1}"/>
    <cellStyle name="20% - Akzent5 62 2" xfId="3838" xr:uid="{ED7B2BA5-5C4C-41C9-A380-941F0EB69347}"/>
    <cellStyle name="20% - Akzent5 62 2 2" xfId="23289" xr:uid="{5CE772A2-F303-455D-BD9D-141732EACDEC}"/>
    <cellStyle name="20% - Akzent5 62 3" xfId="23288" xr:uid="{646F0676-ACE7-4607-9D11-E84CED62A7F9}"/>
    <cellStyle name="20% - Akzent5 63" xfId="3839" xr:uid="{DFA7CC69-7E04-4489-AAD7-72E5E94094AC}"/>
    <cellStyle name="20% - Akzent5 63 2" xfId="3840" xr:uid="{7763BEAE-FD57-43C0-BBC8-DF1A8C3D2F8D}"/>
    <cellStyle name="20% - Akzent5 63 2 2" xfId="23291" xr:uid="{DC34D5A5-7D9E-4B83-ACFA-32A9B466D57B}"/>
    <cellStyle name="20% - Akzent5 63 3" xfId="23290" xr:uid="{1C2CBE12-5108-4412-9AE0-1D7EEB0E0B04}"/>
    <cellStyle name="20% - Akzent5 64" xfId="3841" xr:uid="{5E3F3EB3-9E52-4D1B-B33A-219582C121E9}"/>
    <cellStyle name="20% - Akzent5 64 2" xfId="3842" xr:uid="{C9BFC6C3-C710-4F28-BA76-B969F5DFC503}"/>
    <cellStyle name="20% - Akzent5 64 2 2" xfId="23293" xr:uid="{D3D8A781-4476-4504-A173-96FE496184F4}"/>
    <cellStyle name="20% - Akzent5 64 3" xfId="23292" xr:uid="{831D3DBB-B57F-4A3C-A59F-1EFB9C312B1C}"/>
    <cellStyle name="20% - Akzent5 65" xfId="3843" xr:uid="{C12B58EB-5B7A-41B8-BCA2-441E727454F0}"/>
    <cellStyle name="20% - Akzent5 65 2" xfId="3844" xr:uid="{0CB3E509-F5FB-4E99-8725-147F1407CD23}"/>
    <cellStyle name="20% - Akzent5 65 2 2" xfId="23295" xr:uid="{C50CD80B-978D-4910-8490-609DEE2E1C10}"/>
    <cellStyle name="20% - Akzent5 65 3" xfId="23294" xr:uid="{871B27D7-6CE9-4ADC-AAD7-D122C49F8C85}"/>
    <cellStyle name="20% - Akzent5 66" xfId="3845" xr:uid="{E3F0ACCB-E069-4BE3-B0D6-8160843959F7}"/>
    <cellStyle name="20% - Akzent5 66 2" xfId="3846" xr:uid="{F4A9EFD1-2F58-4A4F-9F76-3D833BD96DFB}"/>
    <cellStyle name="20% - Akzent5 66 2 2" xfId="23297" xr:uid="{B73E702A-8B6F-4DE7-880F-3F0473166174}"/>
    <cellStyle name="20% - Akzent5 66 3" xfId="23296" xr:uid="{8A23EEB0-34EB-41A1-AF3A-FD0547794B69}"/>
    <cellStyle name="20% - Akzent5 67" xfId="3847" xr:uid="{32E5DD44-73BA-43B7-8AD5-4AF394DC407B}"/>
    <cellStyle name="20% - Akzent5 67 2" xfId="3848" xr:uid="{D668451F-455B-4B98-B80E-8FC97909DEF6}"/>
    <cellStyle name="20% - Akzent5 67 2 2" xfId="23299" xr:uid="{000B02D8-F6B8-4BAA-8E2E-0A0E53577182}"/>
    <cellStyle name="20% - Akzent5 67 3" xfId="23298" xr:uid="{3BB6A839-B65A-4F64-A600-20808417EF46}"/>
    <cellStyle name="20% - Akzent5 68" xfId="3849" xr:uid="{84C3E619-1171-4228-A124-31D3C1B0697E}"/>
    <cellStyle name="20% - Akzent5 68 2" xfId="3850" xr:uid="{32953458-655B-483A-9246-0DF01276171A}"/>
    <cellStyle name="20% - Akzent5 68 2 2" xfId="23301" xr:uid="{4C626BC3-7BAC-45C0-88C5-6A76E9006F2F}"/>
    <cellStyle name="20% - Akzent5 68 3" xfId="23300" xr:uid="{7155DF4E-37C3-4B27-BB56-0669AEFEDD8B}"/>
    <cellStyle name="20% - Akzent5 69" xfId="3851" xr:uid="{DB34CD7D-7B1B-4B59-ADF4-1EBE8C1CCBE7}"/>
    <cellStyle name="20% - Akzent5 69 2" xfId="3852" xr:uid="{FD6945E4-9538-4832-BCA8-E42C3507077D}"/>
    <cellStyle name="20% - Akzent5 69 2 2" xfId="23303" xr:uid="{639E9B20-6092-4EC9-8B6F-D0BE3E88B649}"/>
    <cellStyle name="20% - Akzent5 69 3" xfId="23302" xr:uid="{24C95080-31C3-4468-8AF9-6BFCD0D533C1}"/>
    <cellStyle name="20% - Akzent5 7" xfId="3853" xr:uid="{4594B0EE-8ED6-4BD9-8AA6-B89B4AD34C82}"/>
    <cellStyle name="20% - Akzent5 7 10" xfId="3854" xr:uid="{80E0A0D1-4B6E-4E94-A963-D656135BB424}"/>
    <cellStyle name="20% - Akzent5 7 10 2" xfId="3855" xr:uid="{5ABBFA98-BC75-48EF-BF10-CAD4BC6AD946}"/>
    <cellStyle name="20% - Akzent5 7 10 2 2" xfId="23306" xr:uid="{8F787A41-DE90-488B-BC2F-33FA05E78C22}"/>
    <cellStyle name="20% - Akzent5 7 10 3" xfId="23305" xr:uid="{C4B90F3D-CEBD-40DE-B898-45C50556D96E}"/>
    <cellStyle name="20% - Akzent5 7 11" xfId="3856" xr:uid="{E8581661-F446-434B-9EC7-69EB011AA9C9}"/>
    <cellStyle name="20% - Akzent5 7 11 2" xfId="3857" xr:uid="{B3973ADA-41B4-4010-8FD4-95B3E587BD4E}"/>
    <cellStyle name="20% - Akzent5 7 11 2 2" xfId="23308" xr:uid="{E66211CD-4FAB-496B-99C5-D8E3E8F7EE14}"/>
    <cellStyle name="20% - Akzent5 7 11 3" xfId="23307" xr:uid="{DB7D0ECB-5E82-4F86-8520-09BC14365282}"/>
    <cellStyle name="20% - Akzent5 7 12" xfId="3858" xr:uid="{EA6FB823-9835-4158-B903-1DAFE34988B0}"/>
    <cellStyle name="20% - Akzent5 7 12 2" xfId="3859" xr:uid="{F2941E2A-5673-47CB-B266-8B1A64A58E06}"/>
    <cellStyle name="20% - Akzent5 7 12 2 2" xfId="23310" xr:uid="{589FFCC9-2BB1-40C4-BDDD-538F62D1C53A}"/>
    <cellStyle name="20% - Akzent5 7 12 3" xfId="23309" xr:uid="{885481EF-EE47-482E-A2EB-F33FDD0B1174}"/>
    <cellStyle name="20% - Akzent5 7 13" xfId="3860" xr:uid="{CDD935B3-86C4-4789-A9C8-7717CC4D5416}"/>
    <cellStyle name="20% - Akzent5 7 13 2" xfId="3861" xr:uid="{2F2F7548-3886-4717-BCE0-4F06DB682EE9}"/>
    <cellStyle name="20% - Akzent5 7 13 2 2" xfId="23312" xr:uid="{7A70B3DE-653A-4676-8652-5DE3A7286B1E}"/>
    <cellStyle name="20% - Akzent5 7 13 3" xfId="23311" xr:uid="{FEE641C9-9B84-4825-901B-BC171B09B04C}"/>
    <cellStyle name="20% - Akzent5 7 14" xfId="3862" xr:uid="{E5BD54EB-63CB-405D-853E-0A43E028A349}"/>
    <cellStyle name="20% - Akzent5 7 14 2" xfId="3863" xr:uid="{90802BE1-027D-4B7C-BF88-3188AF9A50B9}"/>
    <cellStyle name="20% - Akzent5 7 14 2 2" xfId="23314" xr:uid="{C6A486A0-0394-46FB-BC58-FD44F51ADA5B}"/>
    <cellStyle name="20% - Akzent5 7 14 3" xfId="23313" xr:uid="{8AADFDA2-5B13-44C0-AA15-93855157AE81}"/>
    <cellStyle name="20% - Akzent5 7 15" xfId="3864" xr:uid="{CE830B6F-A1E0-4E1D-8745-E85A8BC8EE89}"/>
    <cellStyle name="20% - Akzent5 7 15 2" xfId="3865" xr:uid="{E5280427-29BC-42EC-A5AA-393B669E0715}"/>
    <cellStyle name="20% - Akzent5 7 15 2 2" xfId="23316" xr:uid="{949ADBC1-DDB5-49EB-B3E1-14CDF7EC26AE}"/>
    <cellStyle name="20% - Akzent5 7 15 3" xfId="23315" xr:uid="{F21AD7C5-3479-4AE4-BADB-DEA3FBB7CF88}"/>
    <cellStyle name="20% - Akzent5 7 16" xfId="3866" xr:uid="{C879EE60-2823-4D4F-93A9-5F743C532499}"/>
    <cellStyle name="20% - Akzent5 7 16 2" xfId="3867" xr:uid="{C8512816-ABDD-4130-82AA-BAFAC68A24F9}"/>
    <cellStyle name="20% - Akzent5 7 16 2 2" xfId="23318" xr:uid="{BFE964FD-8592-4FA3-A6E5-3DCA1DE19804}"/>
    <cellStyle name="20% - Akzent5 7 16 3" xfId="23317" xr:uid="{4FF8CB3D-E749-4F42-A0F4-93A1084C32E6}"/>
    <cellStyle name="20% - Akzent5 7 17" xfId="3868" xr:uid="{B9102591-D387-4E19-A15B-CB47CE431AF4}"/>
    <cellStyle name="20% - Akzent5 7 17 2" xfId="3869" xr:uid="{59EB56A2-327B-44B2-AEB8-C94456DB80D3}"/>
    <cellStyle name="20% - Akzent5 7 17 2 2" xfId="23320" xr:uid="{A873E789-9923-44F4-A80D-4AC30F326273}"/>
    <cellStyle name="20% - Akzent5 7 17 3" xfId="23319" xr:uid="{3FA5F8B1-14AF-4ECE-A5C7-5058D774675A}"/>
    <cellStyle name="20% - Akzent5 7 18" xfId="3870" xr:uid="{CA556112-A55C-45BB-AD03-DAD816D58782}"/>
    <cellStyle name="20% - Akzent5 7 18 2" xfId="3871" xr:uid="{2FA0891B-2A55-434B-B8AA-AEE1AAE55AE8}"/>
    <cellStyle name="20% - Akzent5 7 18 2 2" xfId="23322" xr:uid="{D77C0B84-5D46-4A92-B9BD-1F100662C36C}"/>
    <cellStyle name="20% - Akzent5 7 18 3" xfId="23321" xr:uid="{E7D6668B-E28D-422A-B111-1DAD4010D4FD}"/>
    <cellStyle name="20% - Akzent5 7 19" xfId="3872" xr:uid="{3B428BAB-9040-4A5E-89E9-EEF38E38B79A}"/>
    <cellStyle name="20% - Akzent5 7 19 2" xfId="3873" xr:uid="{63D6FCAA-F61D-41D7-8AC9-64E96C69324B}"/>
    <cellStyle name="20% - Akzent5 7 19 2 2" xfId="23324" xr:uid="{A7B7C2B6-6EAB-4036-899E-3396E0FDE858}"/>
    <cellStyle name="20% - Akzent5 7 19 3" xfId="23323" xr:uid="{3EE5C145-3CE0-4FF1-A13D-C7FE0CD744BF}"/>
    <cellStyle name="20% - Akzent5 7 2" xfId="3874" xr:uid="{298453B7-86C8-4952-90F6-C1CF190ED8F5}"/>
    <cellStyle name="20% - Akzent5 7 2 2" xfId="3875" xr:uid="{6F8B08D7-755A-4CEB-B4A0-63CC490A374B}"/>
    <cellStyle name="20% - Akzent5 7 2 2 2" xfId="23326" xr:uid="{A8DE70C3-9EAF-4905-9F1E-E77E7BEE2404}"/>
    <cellStyle name="20% - Akzent5 7 2 3" xfId="23325" xr:uid="{7D8C306D-DDDE-4D89-825C-D096D961BEDF}"/>
    <cellStyle name="20% - Akzent5 7 20" xfId="3876" xr:uid="{9F673FE6-84D2-43DF-ADAC-87124A39859A}"/>
    <cellStyle name="20% - Akzent5 7 20 2" xfId="3877" xr:uid="{2E25C032-ED0F-46C0-AD53-22D3DD5DB41C}"/>
    <cellStyle name="20% - Akzent5 7 20 2 2" xfId="23328" xr:uid="{982A5750-AAC6-4ADA-A57F-7D35154402FE}"/>
    <cellStyle name="20% - Akzent5 7 20 3" xfId="23327" xr:uid="{A79A4BF5-CA27-4A18-8315-04E5B373D688}"/>
    <cellStyle name="20% - Akzent5 7 21" xfId="3878" xr:uid="{D0744731-3D0C-455E-9C33-0AAE851DDB3F}"/>
    <cellStyle name="20% - Akzent5 7 21 2" xfId="3879" xr:uid="{6607276D-155B-4B23-95DA-8658DF5C6810}"/>
    <cellStyle name="20% - Akzent5 7 21 2 2" xfId="23330" xr:uid="{E33DF3A7-B6A8-4EA3-9D9D-9A3500D31C42}"/>
    <cellStyle name="20% - Akzent5 7 21 3" xfId="23329" xr:uid="{C4084200-4FDA-4C58-A007-E4392EBD0699}"/>
    <cellStyle name="20% - Akzent5 7 22" xfId="3880" xr:uid="{CCD58FEB-8914-47C2-A201-BEBDEA75230C}"/>
    <cellStyle name="20% - Akzent5 7 23" xfId="23304" xr:uid="{2427BF9D-1F27-47ED-AD1C-00760D968CD3}"/>
    <cellStyle name="20% - Akzent5 7 3" xfId="3881" xr:uid="{F09A8F8A-6C71-4EB1-A471-2A904C9C9672}"/>
    <cellStyle name="20% - Akzent5 7 3 2" xfId="3882" xr:uid="{24DA4FF4-F585-4767-BFAC-06CF3379A0E5}"/>
    <cellStyle name="20% - Akzent5 7 3 2 2" xfId="23332" xr:uid="{A054292A-FE72-46AD-BBD2-4EFE560E5DE7}"/>
    <cellStyle name="20% - Akzent5 7 3 3" xfId="23331" xr:uid="{5D4100DD-0445-438A-B3D8-BC057E7BF25F}"/>
    <cellStyle name="20% - Akzent5 7 4" xfId="3883" xr:uid="{0766D591-8860-42E9-BD81-E1AB854C9F35}"/>
    <cellStyle name="20% - Akzent5 7 4 2" xfId="3884" xr:uid="{455B8EAB-4BC5-46DE-A3C0-C8177CEF69F7}"/>
    <cellStyle name="20% - Akzent5 7 4 2 2" xfId="23334" xr:uid="{B1DF7820-1354-4547-B765-1748A8D2867E}"/>
    <cellStyle name="20% - Akzent5 7 4 3" xfId="23333" xr:uid="{617D446A-E531-4C9A-AB79-460142D87113}"/>
    <cellStyle name="20% - Akzent5 7 5" xfId="3885" xr:uid="{C11E2EFA-0A08-4BA2-8AEA-12F6E667EBE6}"/>
    <cellStyle name="20% - Akzent5 7 5 2" xfId="3886" xr:uid="{B68967AA-CF0F-4D8B-AA2A-171C334529C2}"/>
    <cellStyle name="20% - Akzent5 7 5 2 2" xfId="23336" xr:uid="{C8F0F3E4-7580-4B2B-867B-79EB4C2B7A72}"/>
    <cellStyle name="20% - Akzent5 7 5 3" xfId="23335" xr:uid="{64E7A050-6BA7-4418-B702-7372F8100496}"/>
    <cellStyle name="20% - Akzent5 7 6" xfId="3887" xr:uid="{3B505925-1599-47F3-BC2F-CEF9A7C25F9F}"/>
    <cellStyle name="20% - Akzent5 7 6 2" xfId="3888" xr:uid="{10849BF9-476E-40CA-9D89-DE557C0E823C}"/>
    <cellStyle name="20% - Akzent5 7 6 2 2" xfId="23338" xr:uid="{F2B6E467-D603-47EB-B2E6-2D12EE6FE48C}"/>
    <cellStyle name="20% - Akzent5 7 6 3" xfId="23337" xr:uid="{CF31312D-934B-4F03-807D-91EC269A7E58}"/>
    <cellStyle name="20% - Akzent5 7 7" xfId="3889" xr:uid="{9C7AA01A-0458-4C92-8B9C-754C3E4F5873}"/>
    <cellStyle name="20% - Akzent5 7 7 2" xfId="3890" xr:uid="{AB4BF4EA-568E-48EE-A872-EEE2E434F9E9}"/>
    <cellStyle name="20% - Akzent5 7 7 2 2" xfId="23340" xr:uid="{69FDFD4A-1C82-4D8C-8641-E58316A72AF0}"/>
    <cellStyle name="20% - Akzent5 7 7 3" xfId="23339" xr:uid="{747C93D9-DC6D-4B38-BA74-8E3F03B985EE}"/>
    <cellStyle name="20% - Akzent5 7 8" xfId="3891" xr:uid="{91053C93-9E4C-4460-A20A-4122F9A8E232}"/>
    <cellStyle name="20% - Akzent5 7 8 2" xfId="3892" xr:uid="{41571704-70EA-46C2-955A-BAF9DF699C51}"/>
    <cellStyle name="20% - Akzent5 7 8 2 2" xfId="23342" xr:uid="{22FDB384-21CC-469C-B327-160C8EC81006}"/>
    <cellStyle name="20% - Akzent5 7 8 3" xfId="23341" xr:uid="{0DFCB3F3-87CD-43BD-9A85-4F17066FCF09}"/>
    <cellStyle name="20% - Akzent5 7 9" xfId="3893" xr:uid="{BC4FCBB8-8CED-4D0D-94F5-A8CF08F8CC85}"/>
    <cellStyle name="20% - Akzent5 7 9 2" xfId="3894" xr:uid="{E964A955-105D-40B3-B9E5-3F91C7A750F6}"/>
    <cellStyle name="20% - Akzent5 7 9 2 2" xfId="23344" xr:uid="{B93310D6-415B-4CB3-8E1E-FC48FA15DAD8}"/>
    <cellStyle name="20% - Akzent5 7 9 3" xfId="23343" xr:uid="{8DDB5AF6-7E6C-4EAC-9973-FEED4E0A0A59}"/>
    <cellStyle name="20% - Akzent5 70" xfId="3895" xr:uid="{9CC50F1E-358D-4705-BE8A-E95D14BE5981}"/>
    <cellStyle name="20% - Akzent5 70 2" xfId="23345" xr:uid="{DAB6ED01-636A-4DDA-ADC2-EDE6FE582146}"/>
    <cellStyle name="20% - Akzent5 71" xfId="3220" xr:uid="{9395646D-1C45-41D6-8DAB-9B82D2A441A3}"/>
    <cellStyle name="20% - Akzent5 8" xfId="3896" xr:uid="{FBDD7BBE-E203-491D-A8D8-A6C08105D317}"/>
    <cellStyle name="20% - Akzent5 8 10" xfId="3897" xr:uid="{6FC80C1D-16B3-420B-8C6A-40CA3FC1F10D}"/>
    <cellStyle name="20% - Akzent5 8 10 2" xfId="3898" xr:uid="{D2CA9B7B-72BC-431E-95F1-82BC77ACE1A8}"/>
    <cellStyle name="20% - Akzent5 8 10 2 2" xfId="23348" xr:uid="{2E8F0D40-3000-4147-B8BA-DD5B5E395FEC}"/>
    <cellStyle name="20% - Akzent5 8 10 3" xfId="23347" xr:uid="{5F77798D-3EFB-45BE-BF2A-F312087C89C7}"/>
    <cellStyle name="20% - Akzent5 8 11" xfId="3899" xr:uid="{A1B16D8B-BDD2-40E9-A78B-F3E72FCA6AEA}"/>
    <cellStyle name="20% - Akzent5 8 11 2" xfId="3900" xr:uid="{D88A2F72-2659-4817-9A6D-5FF5FDA4618E}"/>
    <cellStyle name="20% - Akzent5 8 11 2 2" xfId="23350" xr:uid="{8AECF1B1-BF45-4C62-AA5C-77CAC2B3C82C}"/>
    <cellStyle name="20% - Akzent5 8 11 3" xfId="23349" xr:uid="{DAF47FFE-C3A7-4AD9-B99B-FB1081DAE19C}"/>
    <cellStyle name="20% - Akzent5 8 12" xfId="3901" xr:uid="{32ECA0E7-307A-497B-8B6D-6B142D630D8E}"/>
    <cellStyle name="20% - Akzent5 8 12 2" xfId="3902" xr:uid="{027F470B-546F-4364-89E9-021B66B16C47}"/>
    <cellStyle name="20% - Akzent5 8 12 2 2" xfId="23352" xr:uid="{7AAEA423-0ECA-4EA0-9F69-289584BAC1C2}"/>
    <cellStyle name="20% - Akzent5 8 12 3" xfId="23351" xr:uid="{1C880BB5-0460-4DB3-A87B-DC46E5439A69}"/>
    <cellStyle name="20% - Akzent5 8 13" xfId="3903" xr:uid="{0A480B89-D182-4472-BCD8-354C73D2A54B}"/>
    <cellStyle name="20% - Akzent5 8 13 2" xfId="3904" xr:uid="{4760F3CC-6434-41A8-9568-65DC1B7E7EC5}"/>
    <cellStyle name="20% - Akzent5 8 13 2 2" xfId="23354" xr:uid="{722A3649-E2E2-4C41-B91C-AD3498885959}"/>
    <cellStyle name="20% - Akzent5 8 13 3" xfId="23353" xr:uid="{0D256F8C-A0E0-4ACD-9EDE-7B91BF1CC73E}"/>
    <cellStyle name="20% - Akzent5 8 14" xfId="3905" xr:uid="{10CBD468-7E6E-4A9C-BB37-BE847618FAC3}"/>
    <cellStyle name="20% - Akzent5 8 14 2" xfId="3906" xr:uid="{B194B9EE-FE91-4FB0-B983-51EDADD14187}"/>
    <cellStyle name="20% - Akzent5 8 14 2 2" xfId="23356" xr:uid="{7433A178-45EE-40A1-9E1F-F485329BDF08}"/>
    <cellStyle name="20% - Akzent5 8 14 3" xfId="23355" xr:uid="{C2FF4017-FF5F-4A98-8701-3D4293931671}"/>
    <cellStyle name="20% - Akzent5 8 15" xfId="3907" xr:uid="{D4D8AC7A-3EA2-436A-B18A-BDFCCC2DD00C}"/>
    <cellStyle name="20% - Akzent5 8 15 2" xfId="3908" xr:uid="{072A5719-D63C-4C62-B96F-C3D2EC7D4A85}"/>
    <cellStyle name="20% - Akzent5 8 15 2 2" xfId="23358" xr:uid="{69625916-DB7F-473B-821A-70919EEF5DE3}"/>
    <cellStyle name="20% - Akzent5 8 15 3" xfId="23357" xr:uid="{A2C5CD2D-6487-4C72-A3B5-367B79E7FE48}"/>
    <cellStyle name="20% - Akzent5 8 16" xfId="3909" xr:uid="{C31FA733-AD63-4B6B-BF0B-7E3A908CACCF}"/>
    <cellStyle name="20% - Akzent5 8 16 2" xfId="3910" xr:uid="{F4BF074D-D146-46E7-A944-D60EACC652AC}"/>
    <cellStyle name="20% - Akzent5 8 16 2 2" xfId="23360" xr:uid="{74A23C5B-AFE7-4984-A102-D2A8D189AF7D}"/>
    <cellStyle name="20% - Akzent5 8 16 3" xfId="23359" xr:uid="{C3F761E4-AB04-4796-B55E-9E9F1651707A}"/>
    <cellStyle name="20% - Akzent5 8 17" xfId="3911" xr:uid="{5B5249E9-6DFE-4A04-B993-B8DE6957FF98}"/>
    <cellStyle name="20% - Akzent5 8 17 2" xfId="3912" xr:uid="{9C4934C9-182D-4498-A1B0-C81312587FE9}"/>
    <cellStyle name="20% - Akzent5 8 17 2 2" xfId="23362" xr:uid="{2443B3E7-E6B1-498B-8611-619C5CB84936}"/>
    <cellStyle name="20% - Akzent5 8 17 3" xfId="23361" xr:uid="{31A3B431-1614-4C53-A2C0-A213FF94CAD9}"/>
    <cellStyle name="20% - Akzent5 8 18" xfId="3913" xr:uid="{57C948F5-0713-4C11-AF8F-69F368979A98}"/>
    <cellStyle name="20% - Akzent5 8 18 2" xfId="3914" xr:uid="{353B6380-C7E4-4953-9502-4A5F337A979C}"/>
    <cellStyle name="20% - Akzent5 8 18 2 2" xfId="23364" xr:uid="{F5455D33-995D-4D7A-B85A-3BE6768632B7}"/>
    <cellStyle name="20% - Akzent5 8 18 3" xfId="23363" xr:uid="{DF6D32EC-347C-460D-9F3C-28B81FC24015}"/>
    <cellStyle name="20% - Akzent5 8 19" xfId="3915" xr:uid="{B96FE53E-9A9B-4C69-BA3D-536AA50A2183}"/>
    <cellStyle name="20% - Akzent5 8 19 2" xfId="3916" xr:uid="{58EEA9EC-9C1F-4F36-917C-9CA7946C3F01}"/>
    <cellStyle name="20% - Akzent5 8 19 2 2" xfId="23366" xr:uid="{88D35ED4-CBB4-4197-A55E-63A07387B32B}"/>
    <cellStyle name="20% - Akzent5 8 19 3" xfId="23365" xr:uid="{B684A947-FAF2-443F-BC79-2CCE4688236D}"/>
    <cellStyle name="20% - Akzent5 8 2" xfId="3917" xr:uid="{BF730451-B50C-45F0-B1D1-48E2D8189BE7}"/>
    <cellStyle name="20% - Akzent5 8 2 2" xfId="3918" xr:uid="{D87E9068-42D8-415B-9363-4939CC0D86E4}"/>
    <cellStyle name="20% - Akzent5 8 2 2 2" xfId="23368" xr:uid="{0A66EED5-F308-43C6-9F19-CCFF2F0BBF2F}"/>
    <cellStyle name="20% - Akzent5 8 2 3" xfId="23367" xr:uid="{4B46877C-9782-4639-844F-6093745DD4F8}"/>
    <cellStyle name="20% - Akzent5 8 20" xfId="3919" xr:uid="{1A781070-7778-48E5-BFC9-01AB5AB57478}"/>
    <cellStyle name="20% - Akzent5 8 20 2" xfId="3920" xr:uid="{7C14D794-07A9-4338-AEAE-7E1A3288046D}"/>
    <cellStyle name="20% - Akzent5 8 20 2 2" xfId="23370" xr:uid="{238E6380-842B-4799-8994-2F047C047092}"/>
    <cellStyle name="20% - Akzent5 8 20 3" xfId="23369" xr:uid="{AE341E77-2750-4370-B363-D3C6DA40E2AC}"/>
    <cellStyle name="20% - Akzent5 8 21" xfId="3921" xr:uid="{BE55F6FE-9831-4910-8C00-11BC0098696C}"/>
    <cellStyle name="20% - Akzent5 8 21 2" xfId="3922" xr:uid="{D4737D31-485C-4DC5-A0E2-BFAF4CBA4A39}"/>
    <cellStyle name="20% - Akzent5 8 21 2 2" xfId="23372" xr:uid="{A0640BDA-5446-483C-B29B-99BECD168E29}"/>
    <cellStyle name="20% - Akzent5 8 21 3" xfId="23371" xr:uid="{50A958B8-98E4-4EAD-9E4E-F87C70FF87E4}"/>
    <cellStyle name="20% - Akzent5 8 22" xfId="3923" xr:uid="{57B7547E-6CEB-455B-895B-EBDFCD1D9D9B}"/>
    <cellStyle name="20% - Akzent5 8 23" xfId="23346" xr:uid="{6C306DBF-85BE-44A8-A3E7-C70F17F4C1F0}"/>
    <cellStyle name="20% - Akzent5 8 3" xfId="3924" xr:uid="{E8E51CE9-D32B-42BA-9408-EECA7ECB9BFE}"/>
    <cellStyle name="20% - Akzent5 8 3 2" xfId="3925" xr:uid="{CFFBE0B3-37E9-435C-B33E-6D24EB7F84C4}"/>
    <cellStyle name="20% - Akzent5 8 3 2 2" xfId="23374" xr:uid="{BF769059-6DB1-4AB1-A40B-A316EE74FEA0}"/>
    <cellStyle name="20% - Akzent5 8 3 3" xfId="23373" xr:uid="{0E77E47B-2638-4932-9153-E58C5BAE62E2}"/>
    <cellStyle name="20% - Akzent5 8 4" xfId="3926" xr:uid="{19549F0D-3182-4883-9A71-9264743CEB7E}"/>
    <cellStyle name="20% - Akzent5 8 4 2" xfId="3927" xr:uid="{332350D8-4975-4305-87BB-2387A739884B}"/>
    <cellStyle name="20% - Akzent5 8 4 2 2" xfId="23376" xr:uid="{03A9D55F-AA3C-4D32-9C06-70EF036BEA27}"/>
    <cellStyle name="20% - Akzent5 8 4 3" xfId="23375" xr:uid="{E63C7A13-2689-413E-AE3F-22872425649F}"/>
    <cellStyle name="20% - Akzent5 8 5" xfId="3928" xr:uid="{334993A3-D5A2-45FD-9957-A5DB1B39A743}"/>
    <cellStyle name="20% - Akzent5 8 5 2" xfId="3929" xr:uid="{850CFADD-D1F1-4402-BA9B-08A8F9677DBC}"/>
    <cellStyle name="20% - Akzent5 8 5 2 2" xfId="23378" xr:uid="{E44CBE97-0FC6-43EA-9004-0BC359FE5B7F}"/>
    <cellStyle name="20% - Akzent5 8 5 3" xfId="23377" xr:uid="{1814FA76-9EFC-4F37-BA46-6ACE108AB419}"/>
    <cellStyle name="20% - Akzent5 8 6" xfId="3930" xr:uid="{AEA10213-42E7-4FF7-808F-3DC9EAE03460}"/>
    <cellStyle name="20% - Akzent5 8 6 2" xfId="3931" xr:uid="{70950883-631D-4C20-A21F-96426342F241}"/>
    <cellStyle name="20% - Akzent5 8 6 2 2" xfId="23380" xr:uid="{81F40A89-6AD4-4278-8632-618F2E0CCA08}"/>
    <cellStyle name="20% - Akzent5 8 6 3" xfId="23379" xr:uid="{CD973A87-050B-421D-9FFA-0592B01F2BF3}"/>
    <cellStyle name="20% - Akzent5 8 7" xfId="3932" xr:uid="{D5DE3597-13A0-4D67-A1E3-9802E44B63B0}"/>
    <cellStyle name="20% - Akzent5 8 7 2" xfId="3933" xr:uid="{A8701147-D012-4E33-96E6-5F3BFE3A7F30}"/>
    <cellStyle name="20% - Akzent5 8 7 2 2" xfId="23382" xr:uid="{1EF983B5-A623-48B0-8C1D-B9539233EBD2}"/>
    <cellStyle name="20% - Akzent5 8 7 3" xfId="23381" xr:uid="{E08E412F-9A8B-4F07-A808-419D29BBC446}"/>
    <cellStyle name="20% - Akzent5 8 8" xfId="3934" xr:uid="{82B0C335-A5C5-4B2F-A2D0-50362571FDE5}"/>
    <cellStyle name="20% - Akzent5 8 8 2" xfId="3935" xr:uid="{1D66BF92-7856-4913-A7C2-03F729716FE1}"/>
    <cellStyle name="20% - Akzent5 8 8 2 2" xfId="23384" xr:uid="{C2E6F220-447E-4CA8-B869-BEF191D23932}"/>
    <cellStyle name="20% - Akzent5 8 8 3" xfId="23383" xr:uid="{2060E9AA-A55D-42A4-8717-A16FF6BCA61D}"/>
    <cellStyle name="20% - Akzent5 8 9" xfId="3936" xr:uid="{C8BC0E78-35C5-4C10-B553-63D1E40351FF}"/>
    <cellStyle name="20% - Akzent5 8 9 2" xfId="3937" xr:uid="{82F8E473-8D58-4EF7-BAD4-22678C3B5E8E}"/>
    <cellStyle name="20% - Akzent5 8 9 2 2" xfId="23386" xr:uid="{41043519-93CC-48D2-870E-2A26C5BE3761}"/>
    <cellStyle name="20% - Akzent5 8 9 3" xfId="23385" xr:uid="{C0A3EF4E-79FE-43BE-90A4-D7F849DA385E}"/>
    <cellStyle name="20% - Akzent5 9" xfId="3938" xr:uid="{D11EF3D6-D529-4629-AD07-D70E8D490184}"/>
    <cellStyle name="20% - Akzent5 9 10" xfId="3939" xr:uid="{F218F265-2B09-4338-AC16-54C2B27A0C92}"/>
    <cellStyle name="20% - Akzent5 9 10 2" xfId="3940" xr:uid="{7EC37E2E-73B5-4DA7-ACD9-CFBD77B87F72}"/>
    <cellStyle name="20% - Akzent5 9 10 2 2" xfId="23389" xr:uid="{D51BAA5D-2A5F-47D5-B724-25B855D9EA7C}"/>
    <cellStyle name="20% - Akzent5 9 10 3" xfId="23388" xr:uid="{550C3896-D957-4F66-A1F4-BCB86DDB6F03}"/>
    <cellStyle name="20% - Akzent5 9 11" xfId="3941" xr:uid="{638B64B2-D158-47DF-A983-AC2F857BEA3F}"/>
    <cellStyle name="20% - Akzent5 9 11 2" xfId="3942" xr:uid="{808FFED6-A6D7-4A5E-9399-0694FF118586}"/>
    <cellStyle name="20% - Akzent5 9 11 2 2" xfId="23391" xr:uid="{816413ED-D3E9-4523-B7D5-ACDEABFF365D}"/>
    <cellStyle name="20% - Akzent5 9 11 3" xfId="23390" xr:uid="{511D470B-6463-4CB2-B7D8-E9B591C9D652}"/>
    <cellStyle name="20% - Akzent5 9 12" xfId="3943" xr:uid="{48F45A61-BD5F-45B9-A57A-8B2F06510ECF}"/>
    <cellStyle name="20% - Akzent5 9 12 2" xfId="3944" xr:uid="{789C8D83-75C6-4ECF-B0A7-E58ABB5BBE78}"/>
    <cellStyle name="20% - Akzent5 9 12 2 2" xfId="23393" xr:uid="{FF2F2ABD-EF9B-4CF7-BFE0-6E7CC605F8D5}"/>
    <cellStyle name="20% - Akzent5 9 12 3" xfId="23392" xr:uid="{8E8CE344-6870-42D7-96B3-9A4D4063852D}"/>
    <cellStyle name="20% - Akzent5 9 13" xfId="3945" xr:uid="{AD9F4D1C-8ADF-41A5-91BF-06E8451CB6E6}"/>
    <cellStyle name="20% - Akzent5 9 13 2" xfId="3946" xr:uid="{1D45F839-E2BD-4EC2-9E7D-B77EC993B013}"/>
    <cellStyle name="20% - Akzent5 9 13 2 2" xfId="23395" xr:uid="{2B669C27-1BAC-4863-B199-0C950D595ACD}"/>
    <cellStyle name="20% - Akzent5 9 13 3" xfId="23394" xr:uid="{5A62E2CD-E203-48D5-A136-E327AA284E2D}"/>
    <cellStyle name="20% - Akzent5 9 14" xfId="3947" xr:uid="{BE7E3E98-C245-4DD1-BA1B-F18B1A2A7928}"/>
    <cellStyle name="20% - Akzent5 9 14 2" xfId="3948" xr:uid="{6B111348-394A-41E0-934A-1BDBF1108E87}"/>
    <cellStyle name="20% - Akzent5 9 14 2 2" xfId="23397" xr:uid="{FE56A935-1ADC-4B4A-A19C-8BB68254DD96}"/>
    <cellStyle name="20% - Akzent5 9 14 3" xfId="23396" xr:uid="{D346A095-F2E6-4C93-A311-3EE92111F504}"/>
    <cellStyle name="20% - Akzent5 9 15" xfId="3949" xr:uid="{98B00DF5-E7EE-4B98-A77D-FFF1524BA75A}"/>
    <cellStyle name="20% - Akzent5 9 15 2" xfId="3950" xr:uid="{3965951D-D136-4FA8-A39F-8E4738A0F58D}"/>
    <cellStyle name="20% - Akzent5 9 15 2 2" xfId="23399" xr:uid="{D1D6984E-F684-4E5F-AB61-7A42C452AFA5}"/>
    <cellStyle name="20% - Akzent5 9 15 3" xfId="23398" xr:uid="{399B15DA-5FDD-4EBD-9CE6-5EC84ADA7852}"/>
    <cellStyle name="20% - Akzent5 9 16" xfId="3951" xr:uid="{B699365C-F821-4C93-B8F1-9DEB819C14D3}"/>
    <cellStyle name="20% - Akzent5 9 16 2" xfId="3952" xr:uid="{DFAD88B9-D968-41E8-8DAD-8B67F427EEBD}"/>
    <cellStyle name="20% - Akzent5 9 16 2 2" xfId="23401" xr:uid="{B99693BE-7864-4BBB-A300-3D0598491530}"/>
    <cellStyle name="20% - Akzent5 9 16 3" xfId="23400" xr:uid="{85B45EDC-263B-403B-A9F0-407995AB7787}"/>
    <cellStyle name="20% - Akzent5 9 17" xfId="3953" xr:uid="{37DB7269-196E-4FA7-884D-2E71BF873625}"/>
    <cellStyle name="20% - Akzent5 9 17 2" xfId="3954" xr:uid="{30C9A278-DAF4-4F2F-AA64-3E30FED6D790}"/>
    <cellStyle name="20% - Akzent5 9 17 2 2" xfId="23403" xr:uid="{6BF7F12C-8670-402A-8019-D1AC5166F9FA}"/>
    <cellStyle name="20% - Akzent5 9 17 3" xfId="23402" xr:uid="{D4709FA3-1FB6-434F-BF47-509D126FEE90}"/>
    <cellStyle name="20% - Akzent5 9 18" xfId="3955" xr:uid="{D26AB52B-5A34-409A-AD34-DBF91A27C927}"/>
    <cellStyle name="20% - Akzent5 9 18 2" xfId="3956" xr:uid="{51DF1DB3-C39E-4A8F-8FD6-0AB0DCF6419A}"/>
    <cellStyle name="20% - Akzent5 9 18 2 2" xfId="23405" xr:uid="{618761B0-2184-44EC-894A-2DA3ABE67B0B}"/>
    <cellStyle name="20% - Akzent5 9 18 3" xfId="23404" xr:uid="{1A18827C-A68C-4727-848A-DA734C8DD017}"/>
    <cellStyle name="20% - Akzent5 9 19" xfId="3957" xr:uid="{A199F27B-6A5A-4E44-B535-77A8FCF9C0CA}"/>
    <cellStyle name="20% - Akzent5 9 19 2" xfId="3958" xr:uid="{3E1FF3FC-3550-4F88-BDD7-8CF778B257CE}"/>
    <cellStyle name="20% - Akzent5 9 19 2 2" xfId="23407" xr:uid="{811B48EE-EB19-45A9-9F56-A93266095871}"/>
    <cellStyle name="20% - Akzent5 9 19 3" xfId="23406" xr:uid="{2C8ABD52-CF1D-45D7-81CF-B062A5284FE9}"/>
    <cellStyle name="20% - Akzent5 9 2" xfId="3959" xr:uid="{E4124E6D-1849-4E3F-932D-854754150F0A}"/>
    <cellStyle name="20% - Akzent5 9 2 2" xfId="3960" xr:uid="{0A48FA6F-4A65-48C8-97D4-8EE7FB2CE6BB}"/>
    <cellStyle name="20% - Akzent5 9 2 2 2" xfId="23409" xr:uid="{B467D463-ED0E-4366-86F6-61B44AF45274}"/>
    <cellStyle name="20% - Akzent5 9 2 3" xfId="23408" xr:uid="{03C89823-882B-4F87-9D39-35233DE8AB56}"/>
    <cellStyle name="20% - Akzent5 9 20" xfId="3961" xr:uid="{BCECBABD-2826-4FE1-862D-5C3DD1CF0467}"/>
    <cellStyle name="20% - Akzent5 9 20 2" xfId="3962" xr:uid="{96EF4D64-73FD-4465-8041-79CC62B41A1C}"/>
    <cellStyle name="20% - Akzent5 9 20 2 2" xfId="23411" xr:uid="{DBDD4806-CB9B-4B57-86BF-A8C7029C3705}"/>
    <cellStyle name="20% - Akzent5 9 20 3" xfId="23410" xr:uid="{7C2AD8D4-6E64-477A-8B25-655833928B4D}"/>
    <cellStyle name="20% - Akzent5 9 21" xfId="3963" xr:uid="{165AB21C-E733-41BE-9531-9AE2AE32C322}"/>
    <cellStyle name="20% - Akzent5 9 21 2" xfId="3964" xr:uid="{AB5C4ED9-C3F8-4E39-A536-16B047786BCE}"/>
    <cellStyle name="20% - Akzent5 9 21 2 2" xfId="23413" xr:uid="{68166E59-B75B-4986-9C4E-4796E57B5E3B}"/>
    <cellStyle name="20% - Akzent5 9 21 3" xfId="23412" xr:uid="{4F92E972-E1AF-4639-84EF-BEDA33FC7727}"/>
    <cellStyle name="20% - Akzent5 9 22" xfId="3965" xr:uid="{4C3FE209-E9A6-4460-800F-EC5C81233401}"/>
    <cellStyle name="20% - Akzent5 9 23" xfId="23387" xr:uid="{3CED991E-2AC0-4B0B-86BC-581A05C8571B}"/>
    <cellStyle name="20% - Akzent5 9 3" xfId="3966" xr:uid="{14A574F0-C60D-4C8D-B45B-942C32D43375}"/>
    <cellStyle name="20% - Akzent5 9 3 2" xfId="3967" xr:uid="{9EE08B9D-937D-4557-8A10-B113B85F5850}"/>
    <cellStyle name="20% - Akzent5 9 3 2 2" xfId="23415" xr:uid="{3E9B9735-921A-4CB5-BC35-0BACC8763985}"/>
    <cellStyle name="20% - Akzent5 9 3 3" xfId="23414" xr:uid="{46E274D0-F42B-4271-8E1A-60980BF7F9E8}"/>
    <cellStyle name="20% - Akzent5 9 4" xfId="3968" xr:uid="{4C1BB269-7D62-41E5-972B-6458E68B16B4}"/>
    <cellStyle name="20% - Akzent5 9 4 2" xfId="3969" xr:uid="{EFC450CE-0C94-4BEB-85FE-143CFD0B2A9C}"/>
    <cellStyle name="20% - Akzent5 9 4 2 2" xfId="23417" xr:uid="{142C6D25-4FBB-4B02-9E79-C9A2AA31570E}"/>
    <cellStyle name="20% - Akzent5 9 4 3" xfId="23416" xr:uid="{250D4119-8862-41DB-ADB7-DFEB78337AF2}"/>
    <cellStyle name="20% - Akzent5 9 5" xfId="3970" xr:uid="{6C4EE315-0403-4A61-8184-C945C8D7B292}"/>
    <cellStyle name="20% - Akzent5 9 5 2" xfId="3971" xr:uid="{78287945-4CB9-4C15-A263-F90362DCDACE}"/>
    <cellStyle name="20% - Akzent5 9 5 2 2" xfId="23419" xr:uid="{9932BCDD-916B-4643-BE23-031BF72755B1}"/>
    <cellStyle name="20% - Akzent5 9 5 3" xfId="23418" xr:uid="{CCC17B96-C3DB-40EF-AA2A-4E927EDEBAA2}"/>
    <cellStyle name="20% - Akzent5 9 6" xfId="3972" xr:uid="{C0D75000-0C9A-4CC2-B6C6-1FF4C5906619}"/>
    <cellStyle name="20% - Akzent5 9 6 2" xfId="3973" xr:uid="{BF7EDFF7-E7A0-439D-A239-0E3E7FFB02AB}"/>
    <cellStyle name="20% - Akzent5 9 6 2 2" xfId="23421" xr:uid="{2B0B8EFC-BCBF-4B66-BFDB-1F0B4E992DCC}"/>
    <cellStyle name="20% - Akzent5 9 6 3" xfId="23420" xr:uid="{4476F9AB-1256-482D-901F-266FE2CA63DB}"/>
    <cellStyle name="20% - Akzent5 9 7" xfId="3974" xr:uid="{430C2308-5274-4439-B75D-FE02527A8BE3}"/>
    <cellStyle name="20% - Akzent5 9 7 2" xfId="3975" xr:uid="{5CA1CCDB-F737-4B97-90C4-C60955BDC91F}"/>
    <cellStyle name="20% - Akzent5 9 7 2 2" xfId="23423" xr:uid="{1322FE64-A0C4-4EAB-BB98-B90BDDBF0B27}"/>
    <cellStyle name="20% - Akzent5 9 7 3" xfId="23422" xr:uid="{BD9893E1-7308-4857-A5F2-0D8DDF1618C0}"/>
    <cellStyle name="20% - Akzent5 9 8" xfId="3976" xr:uid="{4A3C6E2D-9524-4D2E-ABB6-D4FEDE87EDB3}"/>
    <cellStyle name="20% - Akzent5 9 8 2" xfId="3977" xr:uid="{68A5D0BB-7B01-4D5E-AEDE-CAA3975FDFF1}"/>
    <cellStyle name="20% - Akzent5 9 8 2 2" xfId="23425" xr:uid="{4E4864BC-E804-4249-A0D7-244161345C04}"/>
    <cellStyle name="20% - Akzent5 9 8 3" xfId="23424" xr:uid="{1C81D76F-7E8A-4EE7-B681-16C4BCD6E0BD}"/>
    <cellStyle name="20% - Akzent5 9 9" xfId="3978" xr:uid="{86BCAA11-A9A4-47FD-9B60-CBFFCDD56231}"/>
    <cellStyle name="20% - Akzent5 9 9 2" xfId="3979" xr:uid="{D3DD282B-FA6A-4114-8DF2-E6CDE8874D7E}"/>
    <cellStyle name="20% - Akzent5 9 9 2 2" xfId="23427" xr:uid="{641E3670-E319-4E21-8FAF-F84E7544BC5F}"/>
    <cellStyle name="20% - Akzent5 9 9 3" xfId="23426" xr:uid="{B4282658-50F7-4E7D-916A-7B17FE0CB2EA}"/>
    <cellStyle name="20% - Akzent6 10" xfId="3981" xr:uid="{0C482CB3-D8E5-466A-8D06-80B629EA85D7}"/>
    <cellStyle name="20% - Akzent6 10 10" xfId="3982" xr:uid="{3288150E-3252-44C5-AEE6-F204165A8104}"/>
    <cellStyle name="20% - Akzent6 10 10 2" xfId="3983" xr:uid="{2DC56827-ED4A-4B3B-86D2-DFF63A132F35}"/>
    <cellStyle name="20% - Akzent6 10 10 2 2" xfId="23430" xr:uid="{6260BF5D-A259-4645-8138-9D8E6CE13D52}"/>
    <cellStyle name="20% - Akzent6 10 10 3" xfId="23429" xr:uid="{8C9911E8-C7ED-486F-BDD1-4D84678819EC}"/>
    <cellStyle name="20% - Akzent6 10 11" xfId="3984" xr:uid="{32C57A5F-1E95-4EBF-BFBC-B22876B41BF9}"/>
    <cellStyle name="20% - Akzent6 10 11 2" xfId="3985" xr:uid="{BB8FEB1D-0512-413C-B731-72E34BC66BC0}"/>
    <cellStyle name="20% - Akzent6 10 11 2 2" xfId="23432" xr:uid="{1389A4C4-27CB-4A44-A99F-93D3E5683F8E}"/>
    <cellStyle name="20% - Akzent6 10 11 3" xfId="23431" xr:uid="{27ECDBA8-AA44-4599-B49C-216FCCE36343}"/>
    <cellStyle name="20% - Akzent6 10 12" xfId="3986" xr:uid="{9FFB889C-0F30-403E-B2F6-BB5C74140EA3}"/>
    <cellStyle name="20% - Akzent6 10 12 2" xfId="3987" xr:uid="{B47DCD59-C666-40D7-A386-8C53027A9717}"/>
    <cellStyle name="20% - Akzent6 10 12 2 2" xfId="23434" xr:uid="{CE9C5ED4-7688-4F39-BF66-D138CA7126A2}"/>
    <cellStyle name="20% - Akzent6 10 12 3" xfId="23433" xr:uid="{8658A315-0BF5-410C-A5B6-5F78CFCA8A59}"/>
    <cellStyle name="20% - Akzent6 10 13" xfId="3988" xr:uid="{2327526C-2C67-4503-BAD5-D08EACEA485A}"/>
    <cellStyle name="20% - Akzent6 10 13 2" xfId="3989" xr:uid="{C984505B-8C3A-473B-87A8-48EAD29794F9}"/>
    <cellStyle name="20% - Akzent6 10 13 2 2" xfId="23436" xr:uid="{7624CD47-7369-4EE9-8A73-DF1440C9F46E}"/>
    <cellStyle name="20% - Akzent6 10 13 3" xfId="23435" xr:uid="{D4DDB1A7-0E79-4B26-958C-5BE9A1B0841D}"/>
    <cellStyle name="20% - Akzent6 10 14" xfId="3990" xr:uid="{8C36C364-D37F-4EF9-B57F-1A4966145243}"/>
    <cellStyle name="20% - Akzent6 10 14 2" xfId="3991" xr:uid="{F269D4C1-3E26-44C6-9402-D95EC8B0A1E8}"/>
    <cellStyle name="20% - Akzent6 10 14 2 2" xfId="23438" xr:uid="{3DF6195F-2D51-4EFC-90B2-41036415EAC9}"/>
    <cellStyle name="20% - Akzent6 10 14 3" xfId="23437" xr:uid="{50FE092D-C654-4B4E-8512-43DC39FE5D70}"/>
    <cellStyle name="20% - Akzent6 10 15" xfId="3992" xr:uid="{4737912F-C44B-46C6-B428-9DD15838EBDF}"/>
    <cellStyle name="20% - Akzent6 10 15 2" xfId="3993" xr:uid="{A82B64D3-311E-46DC-BB92-FC7C52E830D5}"/>
    <cellStyle name="20% - Akzent6 10 15 2 2" xfId="23440" xr:uid="{C42120D4-9D1E-4E59-BC1E-93AE899B74BC}"/>
    <cellStyle name="20% - Akzent6 10 15 3" xfId="23439" xr:uid="{1812DC03-E645-4B90-BB77-C28CE2FD8CCB}"/>
    <cellStyle name="20% - Akzent6 10 16" xfId="3994" xr:uid="{13A49DCD-6F74-4DCD-84ED-C7868D5B537C}"/>
    <cellStyle name="20% - Akzent6 10 16 2" xfId="3995" xr:uid="{BC982B1A-FF44-4734-9B7A-B5A378835747}"/>
    <cellStyle name="20% - Akzent6 10 16 2 2" xfId="23442" xr:uid="{B29F3D2B-6641-421A-95D9-3FEAFC5E94F0}"/>
    <cellStyle name="20% - Akzent6 10 16 3" xfId="23441" xr:uid="{832922CE-2DAE-4659-B416-13F47AD97952}"/>
    <cellStyle name="20% - Akzent6 10 17" xfId="3996" xr:uid="{DA6D299F-5D1E-4462-947B-B427F0A82C16}"/>
    <cellStyle name="20% - Akzent6 10 17 2" xfId="3997" xr:uid="{3EC26938-A912-4B01-8C74-42708C677351}"/>
    <cellStyle name="20% - Akzent6 10 17 2 2" xfId="23444" xr:uid="{F389701A-030E-48EE-BD4A-5E3E2D99148F}"/>
    <cellStyle name="20% - Akzent6 10 17 3" xfId="23443" xr:uid="{B06DDD7A-D80E-4D44-952B-0B3F3BA0D885}"/>
    <cellStyle name="20% - Akzent6 10 18" xfId="3998" xr:uid="{69D4497A-6ECC-4F15-97E6-DC50A99D02CF}"/>
    <cellStyle name="20% - Akzent6 10 18 2" xfId="3999" xr:uid="{23EFFAA4-4025-47E0-8A6E-F398AA4FFC73}"/>
    <cellStyle name="20% - Akzent6 10 18 2 2" xfId="23446" xr:uid="{C040CC2C-B430-4562-BA70-33CA3E3C561D}"/>
    <cellStyle name="20% - Akzent6 10 18 3" xfId="23445" xr:uid="{1F0754A5-063D-469C-97B9-9282A3315AB9}"/>
    <cellStyle name="20% - Akzent6 10 19" xfId="4000" xr:uid="{95FFDB46-5B88-4814-80C8-C87115C67ECE}"/>
    <cellStyle name="20% - Akzent6 10 19 2" xfId="4001" xr:uid="{C7DF82F9-931F-408E-9255-C5D401C0B077}"/>
    <cellStyle name="20% - Akzent6 10 19 2 2" xfId="23448" xr:uid="{134B4EFE-DB36-495E-B82D-BBB51F006ABF}"/>
    <cellStyle name="20% - Akzent6 10 19 3" xfId="23447" xr:uid="{1781D1D0-B312-4FF2-9083-75A32217D4EA}"/>
    <cellStyle name="20% - Akzent6 10 2" xfId="4002" xr:uid="{E8FE6380-D6F1-49B4-8DA7-10AB0200E77C}"/>
    <cellStyle name="20% - Akzent6 10 2 2" xfId="4003" xr:uid="{4E543CB7-38EA-4AD9-82D9-C5E5EA9C716C}"/>
    <cellStyle name="20% - Akzent6 10 2 2 2" xfId="23450" xr:uid="{CABDF5D1-8BE8-44BD-95FC-F666F170B6C2}"/>
    <cellStyle name="20% - Akzent6 10 2 3" xfId="23449" xr:uid="{8C7B8361-0B93-4695-B9BB-BD1F571C76FB}"/>
    <cellStyle name="20% - Akzent6 10 20" xfId="4004" xr:uid="{8C0E69B4-565D-4CAC-927B-257B34824288}"/>
    <cellStyle name="20% - Akzent6 10 20 2" xfId="4005" xr:uid="{4414084A-9879-40FE-9C97-163D0AD77E86}"/>
    <cellStyle name="20% - Akzent6 10 20 2 2" xfId="23452" xr:uid="{10F20913-B7F0-4E12-BF4D-8DF39C20C6E0}"/>
    <cellStyle name="20% - Akzent6 10 20 3" xfId="23451" xr:uid="{9F1234C9-8A98-47B2-B037-374C58A0D635}"/>
    <cellStyle name="20% - Akzent6 10 21" xfId="4006" xr:uid="{3736C147-0379-4B79-82F8-E1C83A0D65DB}"/>
    <cellStyle name="20% - Akzent6 10 21 2" xfId="4007" xr:uid="{B1B9F0A3-0D97-42A5-8C57-C6F882175EF5}"/>
    <cellStyle name="20% - Akzent6 10 21 2 2" xfId="23454" xr:uid="{11AE16CB-578A-4FF4-94BB-A6CF4A49DD71}"/>
    <cellStyle name="20% - Akzent6 10 21 3" xfId="23453" xr:uid="{0576EF15-6E17-4269-A45C-47F6CC767684}"/>
    <cellStyle name="20% - Akzent6 10 22" xfId="4008" xr:uid="{B9E48AA2-8260-426A-8C3D-41573FE189FE}"/>
    <cellStyle name="20% - Akzent6 10 23" xfId="23428" xr:uid="{A22D015E-3FDA-4D7D-BB22-CD427BEEA4ED}"/>
    <cellStyle name="20% - Akzent6 10 3" xfId="4009" xr:uid="{F247B574-E024-4C9B-9FB8-52089123F8B0}"/>
    <cellStyle name="20% - Akzent6 10 3 2" xfId="4010" xr:uid="{083567A8-AA47-460B-BECA-20689B7ABE3A}"/>
    <cellStyle name="20% - Akzent6 10 3 2 2" xfId="23456" xr:uid="{DA2C9333-46E8-4CAC-8EA8-5D194D97C359}"/>
    <cellStyle name="20% - Akzent6 10 3 3" xfId="23455" xr:uid="{E9A61E18-E0AB-442B-B2E2-ED60C7DE3EEC}"/>
    <cellStyle name="20% - Akzent6 10 4" xfId="4011" xr:uid="{BA43D4CB-454B-4BFB-9465-2D9EE4EA752F}"/>
    <cellStyle name="20% - Akzent6 10 4 2" xfId="4012" xr:uid="{2550DCA1-F865-4B96-881D-F9EAC9DBB94A}"/>
    <cellStyle name="20% - Akzent6 10 4 2 2" xfId="23458" xr:uid="{A52A63C1-333F-47A3-B815-69AFA65F81D8}"/>
    <cellStyle name="20% - Akzent6 10 4 3" xfId="23457" xr:uid="{22A9B285-0F58-4AB7-A95E-569447FE18C0}"/>
    <cellStyle name="20% - Akzent6 10 5" xfId="4013" xr:uid="{1D1FEADD-D8ED-4C6F-B929-642689DBD7B2}"/>
    <cellStyle name="20% - Akzent6 10 5 2" xfId="4014" xr:uid="{6293A9DB-9212-4E3D-9FD7-BE04B708A3BB}"/>
    <cellStyle name="20% - Akzent6 10 5 2 2" xfId="23460" xr:uid="{9E39BCD6-695B-43B0-8AD5-F496E701166E}"/>
    <cellStyle name="20% - Akzent6 10 5 3" xfId="23459" xr:uid="{4251515E-9D1A-4C48-9A6D-40FE793D32D3}"/>
    <cellStyle name="20% - Akzent6 10 6" xfId="4015" xr:uid="{4EF3EDFA-979E-4C76-B08C-890E11B34DCA}"/>
    <cellStyle name="20% - Akzent6 10 6 2" xfId="4016" xr:uid="{9DE270D4-4F1B-47DE-B39D-38BCE7CDD207}"/>
    <cellStyle name="20% - Akzent6 10 6 2 2" xfId="23462" xr:uid="{D1EBC9F8-E89B-4CEA-A12E-808CFA2B8F37}"/>
    <cellStyle name="20% - Akzent6 10 6 3" xfId="23461" xr:uid="{C0CB2B82-BA49-4828-8E20-F533E60095FF}"/>
    <cellStyle name="20% - Akzent6 10 7" xfId="4017" xr:uid="{0B9D7975-94B8-4850-8511-32826BB16C4C}"/>
    <cellStyle name="20% - Akzent6 10 7 2" xfId="4018" xr:uid="{D239C32F-721E-4871-A488-785980874174}"/>
    <cellStyle name="20% - Akzent6 10 7 2 2" xfId="23464" xr:uid="{8B4F3A5F-4C37-4538-86DF-00708E5845C9}"/>
    <cellStyle name="20% - Akzent6 10 7 3" xfId="23463" xr:uid="{D1AC3620-E6D2-4C22-9406-657CC6ED9C7E}"/>
    <cellStyle name="20% - Akzent6 10 8" xfId="4019" xr:uid="{307CF4DF-A2A6-4BFD-8603-2B1FCEB4A5FA}"/>
    <cellStyle name="20% - Akzent6 10 8 2" xfId="4020" xr:uid="{D8D19DF2-8A6E-4300-86FC-DE451578273C}"/>
    <cellStyle name="20% - Akzent6 10 8 2 2" xfId="23466" xr:uid="{D2042AEB-6CFF-4776-9705-7ABDDFC816E6}"/>
    <cellStyle name="20% - Akzent6 10 8 3" xfId="23465" xr:uid="{B38D76F8-A916-4B41-BAFF-4C54BA14F33B}"/>
    <cellStyle name="20% - Akzent6 10 9" xfId="4021" xr:uid="{7FBD2A47-BE8E-43B9-AD16-03E3827FDAEB}"/>
    <cellStyle name="20% - Akzent6 10 9 2" xfId="4022" xr:uid="{009B0B38-9610-4BFD-8B0E-21130262C76A}"/>
    <cellStyle name="20% - Akzent6 10 9 2 2" xfId="23468" xr:uid="{2B3B2C11-7CDB-43F6-9B83-9D0910A122A1}"/>
    <cellStyle name="20% - Akzent6 10 9 3" xfId="23467" xr:uid="{024A9976-43F6-4477-AF96-99F83C8745F9}"/>
    <cellStyle name="20% - Akzent6 11" xfId="4023" xr:uid="{A7A5B8FD-7F9D-4DBF-AED1-A92C74FD5557}"/>
    <cellStyle name="20% - Akzent6 11 10" xfId="4024" xr:uid="{01312EDA-8753-4B8A-823C-D8CF07D9E600}"/>
    <cellStyle name="20% - Akzent6 11 10 2" xfId="4025" xr:uid="{B455EC48-E8B4-4293-83FB-90A833238B02}"/>
    <cellStyle name="20% - Akzent6 11 10 2 2" xfId="23471" xr:uid="{DEA995E9-27F9-44FD-9E0A-F2D63FB5B924}"/>
    <cellStyle name="20% - Akzent6 11 10 3" xfId="23470" xr:uid="{55DB36BB-B07D-49B6-A9CB-BB8A98AE0C8C}"/>
    <cellStyle name="20% - Akzent6 11 11" xfId="4026" xr:uid="{AD5BDE23-90CB-4A5C-B133-94677F6D83E1}"/>
    <cellStyle name="20% - Akzent6 11 11 2" xfId="4027" xr:uid="{3C4751E5-C894-4484-9BE3-50465192DB0E}"/>
    <cellStyle name="20% - Akzent6 11 11 2 2" xfId="23473" xr:uid="{F11E160B-C1E2-46AC-8B22-A792FFD9814E}"/>
    <cellStyle name="20% - Akzent6 11 11 3" xfId="23472" xr:uid="{E6C81B31-1322-4C87-8C3C-840B06EAB794}"/>
    <cellStyle name="20% - Akzent6 11 12" xfId="4028" xr:uid="{CD3C3C8D-0C0D-4DCB-AC90-2CD575C69D27}"/>
    <cellStyle name="20% - Akzent6 11 12 2" xfId="4029" xr:uid="{4F539C0D-54A5-4157-95E5-EFE61D3AAB0B}"/>
    <cellStyle name="20% - Akzent6 11 12 2 2" xfId="23475" xr:uid="{4C9D3575-4BB2-4409-85F6-56998AB35ACA}"/>
    <cellStyle name="20% - Akzent6 11 12 3" xfId="23474" xr:uid="{86D3A71E-BF5E-431C-8D0F-9C6526F6DCB3}"/>
    <cellStyle name="20% - Akzent6 11 13" xfId="4030" xr:uid="{9BCD1F25-0619-4123-99CE-B7403E2FD5AB}"/>
    <cellStyle name="20% - Akzent6 11 13 2" xfId="4031" xr:uid="{4981B643-F11B-4675-9C6B-9B3B7A6B50AD}"/>
    <cellStyle name="20% - Akzent6 11 13 2 2" xfId="23477" xr:uid="{D0995E8C-CAEB-4E5D-93BA-23D166533322}"/>
    <cellStyle name="20% - Akzent6 11 13 3" xfId="23476" xr:uid="{1F8E6AC1-203E-4D7B-BCBA-71B39EAA9D56}"/>
    <cellStyle name="20% - Akzent6 11 14" xfId="4032" xr:uid="{50A5F793-5785-405E-BFAD-10FCFC2EC871}"/>
    <cellStyle name="20% - Akzent6 11 14 2" xfId="4033" xr:uid="{675E7A6B-E6C5-4F8E-8F20-8652D71C792C}"/>
    <cellStyle name="20% - Akzent6 11 14 2 2" xfId="23479" xr:uid="{B3312FF1-C15E-4A3C-BFE2-BB3B53332AFC}"/>
    <cellStyle name="20% - Akzent6 11 14 3" xfId="23478" xr:uid="{A4B4F871-8BE0-4AAE-B099-9D4231195056}"/>
    <cellStyle name="20% - Akzent6 11 15" xfId="4034" xr:uid="{BA9E7E45-70C9-4045-AADD-0A4228BFD6F1}"/>
    <cellStyle name="20% - Akzent6 11 15 2" xfId="4035" xr:uid="{449CA71E-D7B8-428E-8DED-2CCD527AC8C6}"/>
    <cellStyle name="20% - Akzent6 11 15 2 2" xfId="23481" xr:uid="{DB936672-6FC2-4CEB-BEA4-2F530F0667E0}"/>
    <cellStyle name="20% - Akzent6 11 15 3" xfId="23480" xr:uid="{811532E8-F927-49C2-A596-FD51C0077D9E}"/>
    <cellStyle name="20% - Akzent6 11 16" xfId="4036" xr:uid="{A4F75E53-FA37-4B0F-BC45-75556EF4EFB0}"/>
    <cellStyle name="20% - Akzent6 11 16 2" xfId="4037" xr:uid="{AE6C562D-A433-4723-814C-D0F201E9DD0D}"/>
    <cellStyle name="20% - Akzent6 11 16 2 2" xfId="23483" xr:uid="{79A6BF07-54B0-4A36-A75E-94E7A3546EEE}"/>
    <cellStyle name="20% - Akzent6 11 16 3" xfId="23482" xr:uid="{6E006211-FE34-4347-A848-768CF7BF7398}"/>
    <cellStyle name="20% - Akzent6 11 17" xfId="4038" xr:uid="{553D0D9F-007F-46F1-9E0F-C9A2ADA2C95A}"/>
    <cellStyle name="20% - Akzent6 11 17 2" xfId="4039" xr:uid="{AE28970D-90A4-41A2-ADB7-A846DCECBAA7}"/>
    <cellStyle name="20% - Akzent6 11 17 2 2" xfId="23485" xr:uid="{E71A4A64-F708-4F43-BDE0-74A72CC222BF}"/>
    <cellStyle name="20% - Akzent6 11 17 3" xfId="23484" xr:uid="{BA31E473-D1DA-4DD0-BA4F-B055F349BF89}"/>
    <cellStyle name="20% - Akzent6 11 18" xfId="4040" xr:uid="{43EDA5AA-2A99-4FFA-A964-E66B6929720F}"/>
    <cellStyle name="20% - Akzent6 11 18 2" xfId="4041" xr:uid="{5481E270-4512-4AEC-9FFB-1693C12DDFCB}"/>
    <cellStyle name="20% - Akzent6 11 18 2 2" xfId="23487" xr:uid="{05C4C2A0-8E70-48B4-B28C-F53795B10235}"/>
    <cellStyle name="20% - Akzent6 11 18 3" xfId="23486" xr:uid="{B459D17E-CF6C-40AE-B663-35788DA8E8E5}"/>
    <cellStyle name="20% - Akzent6 11 19" xfId="4042" xr:uid="{5D618A5B-4844-4B34-A662-A964728A1DE4}"/>
    <cellStyle name="20% - Akzent6 11 19 2" xfId="4043" xr:uid="{C5AEED02-33D4-4C58-8739-BD9244D705DA}"/>
    <cellStyle name="20% - Akzent6 11 19 2 2" xfId="23489" xr:uid="{6290FF56-2264-4114-A650-9DFA6FA65BE0}"/>
    <cellStyle name="20% - Akzent6 11 19 3" xfId="23488" xr:uid="{64F966F1-DE48-4E90-B877-949FE22BB159}"/>
    <cellStyle name="20% - Akzent6 11 2" xfId="4044" xr:uid="{E711D4E7-5973-4EE7-99D3-258F644D0CAB}"/>
    <cellStyle name="20% - Akzent6 11 2 2" xfId="4045" xr:uid="{928A0F27-FFDE-46F1-B9E7-923A1D291D21}"/>
    <cellStyle name="20% - Akzent6 11 2 2 2" xfId="23491" xr:uid="{6B5A5097-D8AB-4FEB-94DA-220F3A3712D8}"/>
    <cellStyle name="20% - Akzent6 11 2 3" xfId="23490" xr:uid="{4A6C0F1B-5D6F-446E-BE79-777C8F7F7832}"/>
    <cellStyle name="20% - Akzent6 11 20" xfId="4046" xr:uid="{887026D4-15CA-47E2-BA0B-5053915B162D}"/>
    <cellStyle name="20% - Akzent6 11 20 2" xfId="4047" xr:uid="{41D4B126-D54B-49E1-9059-13D9CD490487}"/>
    <cellStyle name="20% - Akzent6 11 20 2 2" xfId="23493" xr:uid="{1ECC026B-2C4A-472E-BBBE-875CB77B407E}"/>
    <cellStyle name="20% - Akzent6 11 20 3" xfId="23492" xr:uid="{C5138A6E-5C0C-4B59-BBAB-6999B5DD28B3}"/>
    <cellStyle name="20% - Akzent6 11 21" xfId="4048" xr:uid="{E9F3238E-C6A0-474C-BD6C-45E727C5FC2F}"/>
    <cellStyle name="20% - Akzent6 11 21 2" xfId="4049" xr:uid="{4310C5AF-8240-44FA-8671-3AA4765F9BFC}"/>
    <cellStyle name="20% - Akzent6 11 21 2 2" xfId="23495" xr:uid="{CDA989A7-4E4D-4924-BA09-DA22156B1762}"/>
    <cellStyle name="20% - Akzent6 11 21 3" xfId="23494" xr:uid="{759B4744-97D1-48F6-BC9B-EEB280B96BE7}"/>
    <cellStyle name="20% - Akzent6 11 22" xfId="4050" xr:uid="{E98D7B7F-DE52-488F-A687-CF5B745C847F}"/>
    <cellStyle name="20% - Akzent6 11 23" xfId="23469" xr:uid="{DC19E676-C864-4FF9-B932-2C3ABB2621D7}"/>
    <cellStyle name="20% - Akzent6 11 3" xfId="4051" xr:uid="{043A1229-2EBF-4EAC-A17A-017B144254BF}"/>
    <cellStyle name="20% - Akzent6 11 3 2" xfId="4052" xr:uid="{31EBBD85-F69D-487B-9BD5-64A8B705A3A5}"/>
    <cellStyle name="20% - Akzent6 11 3 2 2" xfId="23497" xr:uid="{436507CA-0E75-4E88-95C3-53C5E445054E}"/>
    <cellStyle name="20% - Akzent6 11 3 3" xfId="23496" xr:uid="{988748EB-76DB-442F-B7A6-6804AB316E77}"/>
    <cellStyle name="20% - Akzent6 11 4" xfId="4053" xr:uid="{4360A0B2-6895-4498-93EF-834767E00FC2}"/>
    <cellStyle name="20% - Akzent6 11 4 2" xfId="4054" xr:uid="{AEEF02D6-F17C-4782-9DA9-5E4E84807522}"/>
    <cellStyle name="20% - Akzent6 11 4 2 2" xfId="23499" xr:uid="{A1408529-C0FD-4326-A0F8-E39C8937A7DC}"/>
    <cellStyle name="20% - Akzent6 11 4 3" xfId="23498" xr:uid="{5EB95482-34A0-4A69-B754-FD61A3016D27}"/>
    <cellStyle name="20% - Akzent6 11 5" xfId="4055" xr:uid="{538F5233-0CA9-4E6C-A355-9A8DEFDBDAB3}"/>
    <cellStyle name="20% - Akzent6 11 5 2" xfId="4056" xr:uid="{1901588F-7C29-4DD8-A443-3A7020632DE9}"/>
    <cellStyle name="20% - Akzent6 11 5 2 2" xfId="23501" xr:uid="{A42CC676-D924-4695-BBB6-238A60BEB975}"/>
    <cellStyle name="20% - Akzent6 11 5 3" xfId="23500" xr:uid="{2E1701CD-69A3-46E0-AF38-FA670362B0E1}"/>
    <cellStyle name="20% - Akzent6 11 6" xfId="4057" xr:uid="{4A55E49D-3EAA-4701-BEC6-8963CFD43D31}"/>
    <cellStyle name="20% - Akzent6 11 6 2" xfId="4058" xr:uid="{3780E592-B08C-4D01-B05E-9E27D11D9B68}"/>
    <cellStyle name="20% - Akzent6 11 6 2 2" xfId="23503" xr:uid="{2FE71C9A-C771-4C8A-ADE4-822FE2B5662D}"/>
    <cellStyle name="20% - Akzent6 11 6 3" xfId="23502" xr:uid="{185F4571-997C-4EF4-BC49-FCF54B4FBF37}"/>
    <cellStyle name="20% - Akzent6 11 7" xfId="4059" xr:uid="{80AD876F-D533-446B-829F-D2A8F424727E}"/>
    <cellStyle name="20% - Akzent6 11 7 2" xfId="4060" xr:uid="{01C5073D-D4F8-4D7E-86B6-B161A2815D13}"/>
    <cellStyle name="20% - Akzent6 11 7 2 2" xfId="23505" xr:uid="{D229EFB3-8C5A-4658-BE68-CF48876ACEFF}"/>
    <cellStyle name="20% - Akzent6 11 7 3" xfId="23504" xr:uid="{BA68FF4C-2C72-40CF-90C5-DC8DCCBD1C4C}"/>
    <cellStyle name="20% - Akzent6 11 8" xfId="4061" xr:uid="{0332DDB7-C0A2-4AAF-AA63-F9EA2F6C81F7}"/>
    <cellStyle name="20% - Akzent6 11 8 2" xfId="4062" xr:uid="{F8DDDE3B-A957-4762-BABF-65D51263C320}"/>
    <cellStyle name="20% - Akzent6 11 8 2 2" xfId="23507" xr:uid="{5E8D3352-A692-46EA-8CBA-424489AC72D8}"/>
    <cellStyle name="20% - Akzent6 11 8 3" xfId="23506" xr:uid="{CDE3875F-899C-4D1F-9804-8DD0DFBFA15C}"/>
    <cellStyle name="20% - Akzent6 11 9" xfId="4063" xr:uid="{1DC7DCE9-7383-40DF-977E-2F3F1914E432}"/>
    <cellStyle name="20% - Akzent6 11 9 2" xfId="4064" xr:uid="{C1FE5402-5741-4523-8AFE-7E3471267942}"/>
    <cellStyle name="20% - Akzent6 11 9 2 2" xfId="23509" xr:uid="{E2ED52BF-118F-40DC-9F7D-AAD7320C0742}"/>
    <cellStyle name="20% - Akzent6 11 9 3" xfId="23508" xr:uid="{BA26260B-39FC-4217-A438-0BD10325FDD0}"/>
    <cellStyle name="20% - Akzent6 12" xfId="4065" xr:uid="{29B51349-DD5C-44B2-80F2-5D22BF207E05}"/>
    <cellStyle name="20% - Akzent6 12 10" xfId="4066" xr:uid="{BC4F8C35-56D2-4F43-8DCB-D86BDB1156F4}"/>
    <cellStyle name="20% - Akzent6 12 10 2" xfId="4067" xr:uid="{78BBB2A2-AFF7-42F0-A874-9061E1118865}"/>
    <cellStyle name="20% - Akzent6 12 10 2 2" xfId="23512" xr:uid="{50B3339E-9FB5-4522-9A1A-DC976A8EF076}"/>
    <cellStyle name="20% - Akzent6 12 10 3" xfId="23511" xr:uid="{C8C287AB-D5B7-4C94-AF9E-6A8FB23A10AB}"/>
    <cellStyle name="20% - Akzent6 12 11" xfId="4068" xr:uid="{5FA011BF-F13B-4B0C-BB65-FE8C485151D0}"/>
    <cellStyle name="20% - Akzent6 12 11 2" xfId="4069" xr:uid="{1809A82E-F184-4DBE-B914-86F1B2F16A9E}"/>
    <cellStyle name="20% - Akzent6 12 11 2 2" xfId="23514" xr:uid="{122A23D6-D9FC-459B-B0B4-EE4FEE8429C7}"/>
    <cellStyle name="20% - Akzent6 12 11 3" xfId="23513" xr:uid="{D9E6A1AF-5C0E-45CC-9A31-B73BB6F586AD}"/>
    <cellStyle name="20% - Akzent6 12 12" xfId="4070" xr:uid="{C8B769CE-9272-4C83-B956-492A8B17E6C6}"/>
    <cellStyle name="20% - Akzent6 12 12 2" xfId="4071" xr:uid="{3BD2EA04-F718-4681-8ADE-4059401AECEE}"/>
    <cellStyle name="20% - Akzent6 12 12 2 2" xfId="23516" xr:uid="{7178A3F5-B4F5-4EB8-8596-702E14C6ED3D}"/>
    <cellStyle name="20% - Akzent6 12 12 3" xfId="23515" xr:uid="{A81B0F35-ECD7-4374-BA5B-3F1B849EF5C9}"/>
    <cellStyle name="20% - Akzent6 12 13" xfId="4072" xr:uid="{E7609D06-37CD-444A-8C4D-2680932C4363}"/>
    <cellStyle name="20% - Akzent6 12 13 2" xfId="4073" xr:uid="{83A1CCDB-2484-4A45-94D2-355E7FC6D9CD}"/>
    <cellStyle name="20% - Akzent6 12 13 2 2" xfId="23518" xr:uid="{44BCB323-DD9B-40C0-A520-FB685B73DCE6}"/>
    <cellStyle name="20% - Akzent6 12 13 3" xfId="23517" xr:uid="{8E48B9AF-861C-4AB8-A5F0-94C7303EAA44}"/>
    <cellStyle name="20% - Akzent6 12 14" xfId="4074" xr:uid="{54D83EBA-C9AD-4E5E-A864-E5A626E712FD}"/>
    <cellStyle name="20% - Akzent6 12 14 2" xfId="4075" xr:uid="{F22B44F1-566E-421C-A288-A8B242335669}"/>
    <cellStyle name="20% - Akzent6 12 14 2 2" xfId="23520" xr:uid="{2CC8F05A-5D4E-46EB-810C-986FC5850BE2}"/>
    <cellStyle name="20% - Akzent6 12 14 3" xfId="23519" xr:uid="{5EE2BDEB-F0AB-470E-9434-16F9F371CC51}"/>
    <cellStyle name="20% - Akzent6 12 15" xfId="4076" xr:uid="{8A47B282-A7EF-47DD-8F5C-9B1398870796}"/>
    <cellStyle name="20% - Akzent6 12 15 2" xfId="4077" xr:uid="{9E1BBAF7-4C0B-447A-A03D-5B4608C680F9}"/>
    <cellStyle name="20% - Akzent6 12 15 2 2" xfId="23522" xr:uid="{62B3D6AE-AB60-4DBA-B198-A864464F9FE7}"/>
    <cellStyle name="20% - Akzent6 12 15 3" xfId="23521" xr:uid="{7B8918DB-0F52-4C0F-B0F8-EEE821B34295}"/>
    <cellStyle name="20% - Akzent6 12 16" xfId="4078" xr:uid="{E72471CA-EEE0-44A0-8999-A25C26DC5A68}"/>
    <cellStyle name="20% - Akzent6 12 16 2" xfId="4079" xr:uid="{975B9E99-70EF-4CC6-AA28-A3EB38C7799B}"/>
    <cellStyle name="20% - Akzent6 12 16 2 2" xfId="23524" xr:uid="{40A0048C-CCC9-47A9-880C-80A5AB40CD6C}"/>
    <cellStyle name="20% - Akzent6 12 16 3" xfId="23523" xr:uid="{9B3908EC-53CF-41F6-BA43-3FE30EFFFC80}"/>
    <cellStyle name="20% - Akzent6 12 17" xfId="4080" xr:uid="{27FC76B1-1E6C-48D4-BEF9-AE736D95F0E7}"/>
    <cellStyle name="20% - Akzent6 12 17 2" xfId="4081" xr:uid="{13FB4533-638B-4029-93AB-35CAA9FEB221}"/>
    <cellStyle name="20% - Akzent6 12 17 2 2" xfId="23526" xr:uid="{39974553-6003-4095-97C4-74FEF7CE3AF6}"/>
    <cellStyle name="20% - Akzent6 12 17 3" xfId="23525" xr:uid="{7EBAAF52-0DC0-415F-B88E-C701DBBAABD3}"/>
    <cellStyle name="20% - Akzent6 12 18" xfId="4082" xr:uid="{16686EA7-165F-47A2-84E2-A6FFEBAE6463}"/>
    <cellStyle name="20% - Akzent6 12 18 2" xfId="4083" xr:uid="{680DE844-D3C8-47D0-8C49-3CF2EEC0EA38}"/>
    <cellStyle name="20% - Akzent6 12 18 2 2" xfId="23528" xr:uid="{A1193D6E-55E6-4443-A512-FCF743F7919E}"/>
    <cellStyle name="20% - Akzent6 12 18 3" xfId="23527" xr:uid="{6A6AA6DF-1F84-427D-9911-CECEB1528F82}"/>
    <cellStyle name="20% - Akzent6 12 19" xfId="4084" xr:uid="{837822D9-EC92-4498-AA24-7EF807313AEC}"/>
    <cellStyle name="20% - Akzent6 12 19 2" xfId="4085" xr:uid="{CC440C8D-6D34-43B1-9E82-C3E5C7395C02}"/>
    <cellStyle name="20% - Akzent6 12 19 2 2" xfId="23530" xr:uid="{538EB992-59ED-4AED-B167-BCAC912E1CEA}"/>
    <cellStyle name="20% - Akzent6 12 19 3" xfId="23529" xr:uid="{14A7C726-FDDC-47D7-9210-3CBE18829C57}"/>
    <cellStyle name="20% - Akzent6 12 2" xfId="4086" xr:uid="{0CCCDF2C-C136-4A7D-B71F-618DCA218EBE}"/>
    <cellStyle name="20% - Akzent6 12 2 2" xfId="4087" xr:uid="{586DC01A-B49D-4A67-B3D6-601DDC93C519}"/>
    <cellStyle name="20% - Akzent6 12 2 2 2" xfId="23532" xr:uid="{C2DE2DAC-304D-4AA5-9CF1-460DD3690BAA}"/>
    <cellStyle name="20% - Akzent6 12 2 3" xfId="23531" xr:uid="{58029303-2BA3-4D30-A6E8-175593B2CAF7}"/>
    <cellStyle name="20% - Akzent6 12 20" xfId="4088" xr:uid="{8F744068-8CC6-482E-8B38-F3EEA55C4A32}"/>
    <cellStyle name="20% - Akzent6 12 20 2" xfId="4089" xr:uid="{4767A140-43F7-4B63-B91B-9BF3DFA06903}"/>
    <cellStyle name="20% - Akzent6 12 20 2 2" xfId="23534" xr:uid="{19B4D7B0-F12C-4851-B6FC-428027107A77}"/>
    <cellStyle name="20% - Akzent6 12 20 3" xfId="23533" xr:uid="{2E8EA901-487D-4757-9762-C3BCF117D53B}"/>
    <cellStyle name="20% - Akzent6 12 21" xfId="4090" xr:uid="{5953E45F-6E83-4BCC-A972-4586BFEEE3AD}"/>
    <cellStyle name="20% - Akzent6 12 21 2" xfId="4091" xr:uid="{AA30834D-C2BA-49C2-A903-699471D9CC15}"/>
    <cellStyle name="20% - Akzent6 12 21 2 2" xfId="23536" xr:uid="{EC953642-5BA8-42BD-A087-D9D46533E66C}"/>
    <cellStyle name="20% - Akzent6 12 21 3" xfId="23535" xr:uid="{EE7C5D35-2DDE-4370-BE15-B65FE4FCBE63}"/>
    <cellStyle name="20% - Akzent6 12 22" xfId="4092" xr:uid="{354D672A-8755-44E8-9AE9-AC08B602A985}"/>
    <cellStyle name="20% - Akzent6 12 23" xfId="23510" xr:uid="{6E1D7E00-D070-494E-93AD-D51771144B47}"/>
    <cellStyle name="20% - Akzent6 12 3" xfId="4093" xr:uid="{688942C7-0DA8-4946-96E0-2D03160BF548}"/>
    <cellStyle name="20% - Akzent6 12 3 2" xfId="4094" xr:uid="{7E9FFD35-F589-430F-AB90-6DD48B766C02}"/>
    <cellStyle name="20% - Akzent6 12 3 2 2" xfId="23538" xr:uid="{412D85EC-95F0-4A0E-83BD-C6E9182998B6}"/>
    <cellStyle name="20% - Akzent6 12 3 3" xfId="23537" xr:uid="{6A775D73-E573-468E-BBF8-ECB6EF914D77}"/>
    <cellStyle name="20% - Akzent6 12 4" xfId="4095" xr:uid="{61649A37-0B14-471D-8CC4-D7531EBFB5F8}"/>
    <cellStyle name="20% - Akzent6 12 4 2" xfId="4096" xr:uid="{CF443EBE-0CA8-4693-9099-36BCC6DFE350}"/>
    <cellStyle name="20% - Akzent6 12 4 2 2" xfId="23540" xr:uid="{69CDCFB7-0310-4A8D-A334-E42430012772}"/>
    <cellStyle name="20% - Akzent6 12 4 3" xfId="23539" xr:uid="{9387EC74-7AD2-48D9-9F39-A83251F36FAA}"/>
    <cellStyle name="20% - Akzent6 12 5" xfId="4097" xr:uid="{2989770A-FC2E-4665-9102-7B68EEDF79AC}"/>
    <cellStyle name="20% - Akzent6 12 5 2" xfId="4098" xr:uid="{B44AB881-32E9-41FF-874A-F72B5C80DAD4}"/>
    <cellStyle name="20% - Akzent6 12 5 2 2" xfId="23542" xr:uid="{6E7C55FF-2509-471C-A562-6D201EE087CA}"/>
    <cellStyle name="20% - Akzent6 12 5 3" xfId="23541" xr:uid="{FD523F3D-4740-4296-B09E-DB1997AF2B0C}"/>
    <cellStyle name="20% - Akzent6 12 6" xfId="4099" xr:uid="{65BF5077-4225-46DE-93AC-FD29F642D91C}"/>
    <cellStyle name="20% - Akzent6 12 6 2" xfId="4100" xr:uid="{69697A38-A11C-42F3-B7F9-304991DAEBB5}"/>
    <cellStyle name="20% - Akzent6 12 6 2 2" xfId="23544" xr:uid="{4CCCE49A-0083-4E3D-8890-865D8D9DADA9}"/>
    <cellStyle name="20% - Akzent6 12 6 3" xfId="23543" xr:uid="{0A09A8C1-D7DE-4126-94B9-45240270E4CC}"/>
    <cellStyle name="20% - Akzent6 12 7" xfId="4101" xr:uid="{160119C7-F2C9-436F-A768-DAEE198B224B}"/>
    <cellStyle name="20% - Akzent6 12 7 2" xfId="4102" xr:uid="{E11E1D66-6486-4428-B536-7070DC533A71}"/>
    <cellStyle name="20% - Akzent6 12 7 2 2" xfId="23546" xr:uid="{3DC87CD3-10A6-4E64-9E22-240E33DA3038}"/>
    <cellStyle name="20% - Akzent6 12 7 3" xfId="23545" xr:uid="{7EB910D7-3948-4722-9FE2-A4B4F53E5B53}"/>
    <cellStyle name="20% - Akzent6 12 8" xfId="4103" xr:uid="{7B7A1A5B-55B9-4436-8B6E-1681BFA1309D}"/>
    <cellStyle name="20% - Akzent6 12 8 2" xfId="4104" xr:uid="{6B1A403B-DEFE-4E37-BFCC-97AAE48AE273}"/>
    <cellStyle name="20% - Akzent6 12 8 2 2" xfId="23548" xr:uid="{C773B141-F2A0-4760-97FE-25E48391291C}"/>
    <cellStyle name="20% - Akzent6 12 8 3" xfId="23547" xr:uid="{6F76DD85-CA1B-46F6-BC59-C93F6213CEE2}"/>
    <cellStyle name="20% - Akzent6 12 9" xfId="4105" xr:uid="{2F4C5686-CB5A-44F8-9319-16E451A035B5}"/>
    <cellStyle name="20% - Akzent6 12 9 2" xfId="4106" xr:uid="{88525F95-55EC-46CF-9B06-33D33A1430AC}"/>
    <cellStyle name="20% - Akzent6 12 9 2 2" xfId="23550" xr:uid="{B8F91E22-5A40-4398-A71E-45BFE123C664}"/>
    <cellStyle name="20% - Akzent6 12 9 3" xfId="23549" xr:uid="{5AA10ECA-01DB-4341-87B9-CEE28321122E}"/>
    <cellStyle name="20% - Akzent6 13" xfId="4107" xr:uid="{511DAB93-1B18-4B69-82EC-48FC2906387E}"/>
    <cellStyle name="20% - Akzent6 13 10" xfId="4108" xr:uid="{018A692B-7166-4221-9DE0-37FF295E9A25}"/>
    <cellStyle name="20% - Akzent6 13 10 2" xfId="4109" xr:uid="{3C820731-0A4A-45C9-9258-9F6480CE128A}"/>
    <cellStyle name="20% - Akzent6 13 10 2 2" xfId="23553" xr:uid="{0EE6DEB7-19EB-4A1A-9E91-A246E2187485}"/>
    <cellStyle name="20% - Akzent6 13 10 3" xfId="23552" xr:uid="{2E604F7D-6B11-4BA8-A3C5-88B3A31156D6}"/>
    <cellStyle name="20% - Akzent6 13 11" xfId="4110" xr:uid="{9D5F8310-4D2C-4EDE-A003-C26B7C2330EF}"/>
    <cellStyle name="20% - Akzent6 13 11 2" xfId="4111" xr:uid="{7DDDDB49-2B0C-47E9-A1B7-C74070E76F60}"/>
    <cellStyle name="20% - Akzent6 13 11 2 2" xfId="23555" xr:uid="{5BECF90D-C277-4E64-B383-28408FBE2E2A}"/>
    <cellStyle name="20% - Akzent6 13 11 3" xfId="23554" xr:uid="{2270A3AC-402F-4C3C-AD6B-B934394A3D26}"/>
    <cellStyle name="20% - Akzent6 13 12" xfId="4112" xr:uid="{0D772994-37A1-4139-8ADB-806A235E2F56}"/>
    <cellStyle name="20% - Akzent6 13 12 2" xfId="4113" xr:uid="{056F61D4-6F41-41DC-966C-4C55C0B93227}"/>
    <cellStyle name="20% - Akzent6 13 12 2 2" xfId="23557" xr:uid="{83BA66F9-83C9-43C2-AB73-7A3F847784EA}"/>
    <cellStyle name="20% - Akzent6 13 12 3" xfId="23556" xr:uid="{201959B5-47AA-46D9-B7BF-CEB288728EE5}"/>
    <cellStyle name="20% - Akzent6 13 13" xfId="4114" xr:uid="{6363AFD0-A3C0-4307-B3ED-E5D31E04D970}"/>
    <cellStyle name="20% - Akzent6 13 13 2" xfId="4115" xr:uid="{934444F1-A77C-4E26-B52D-06EA511A6352}"/>
    <cellStyle name="20% - Akzent6 13 13 2 2" xfId="23559" xr:uid="{56E4AE34-6445-4708-AA65-BE6073B9A18A}"/>
    <cellStyle name="20% - Akzent6 13 13 3" xfId="23558" xr:uid="{29D9DD75-C362-401D-BCA9-16418FFF51D5}"/>
    <cellStyle name="20% - Akzent6 13 14" xfId="4116" xr:uid="{D33EFB4C-C49B-43B4-89E0-32B2B7BEEE19}"/>
    <cellStyle name="20% - Akzent6 13 15" xfId="23551" xr:uid="{106CDCC5-DA29-4E7B-AAB9-DE3E5C4702B6}"/>
    <cellStyle name="20% - Akzent6 13 2" xfId="4117" xr:uid="{6515BA17-4FB7-496C-B930-876F9BC5627F}"/>
    <cellStyle name="20% - Akzent6 13 2 2" xfId="4118" xr:uid="{378BAFDF-5D1E-455A-9E39-BF8420CE99A7}"/>
    <cellStyle name="20% - Akzent6 13 2 2 2" xfId="23561" xr:uid="{35111E11-3D0A-4757-BF5A-6BF37195FE89}"/>
    <cellStyle name="20% - Akzent6 13 2 3" xfId="23560" xr:uid="{E3DA8E98-7980-4049-9736-5F8AAA22C2F0}"/>
    <cellStyle name="20% - Akzent6 13 3" xfId="4119" xr:uid="{015FD5D7-7197-4355-BE22-382C52233683}"/>
    <cellStyle name="20% - Akzent6 13 3 2" xfId="4120" xr:uid="{944D53C8-B96D-4E2A-B4C8-A52AB7859ACE}"/>
    <cellStyle name="20% - Akzent6 13 3 2 2" xfId="23563" xr:uid="{19FCD89C-B91B-4EA5-ACB3-01B1EEAE0CA7}"/>
    <cellStyle name="20% - Akzent6 13 3 3" xfId="23562" xr:uid="{7151442D-7032-4902-8D68-C3071963F9E1}"/>
    <cellStyle name="20% - Akzent6 13 4" xfId="4121" xr:uid="{9FCF3F5D-8755-403F-95C2-EBF4D4D7BA88}"/>
    <cellStyle name="20% - Akzent6 13 4 2" xfId="4122" xr:uid="{ED8C480F-9D6C-44A2-8F8B-F3E17BA45562}"/>
    <cellStyle name="20% - Akzent6 13 4 2 2" xfId="23565" xr:uid="{17D0BFB2-B1EE-44D5-AE12-17350CF0E980}"/>
    <cellStyle name="20% - Akzent6 13 4 3" xfId="23564" xr:uid="{94C99EAE-CC9F-4358-828E-FCB911B959C8}"/>
    <cellStyle name="20% - Akzent6 13 5" xfId="4123" xr:uid="{A365EFA8-85A3-4FC2-A282-CCD15BC331F5}"/>
    <cellStyle name="20% - Akzent6 13 5 2" xfId="4124" xr:uid="{9AF3F28E-7B2A-4F67-9CAE-5C313216ABCB}"/>
    <cellStyle name="20% - Akzent6 13 5 2 2" xfId="23567" xr:uid="{A7D2BD95-4120-4171-980B-D26738A5BEBB}"/>
    <cellStyle name="20% - Akzent6 13 5 3" xfId="23566" xr:uid="{EE6E23CD-CFA1-4F90-9595-88AACFDCC29F}"/>
    <cellStyle name="20% - Akzent6 13 6" xfId="4125" xr:uid="{84E1A363-A2FC-49DE-99DF-9DA35C2D6A19}"/>
    <cellStyle name="20% - Akzent6 13 6 2" xfId="4126" xr:uid="{A8EC2974-4688-42B1-AAF3-B2C6DEBCBCFA}"/>
    <cellStyle name="20% - Akzent6 13 6 2 2" xfId="23569" xr:uid="{3B8DB3A1-3320-4F9A-A0F7-F38CE5B05016}"/>
    <cellStyle name="20% - Akzent6 13 6 3" xfId="23568" xr:uid="{37A73B13-C0D0-47AE-BE66-A14A76AEFE67}"/>
    <cellStyle name="20% - Akzent6 13 7" xfId="4127" xr:uid="{6C28B9A0-1738-4B9B-9DB3-3B9039C0F965}"/>
    <cellStyle name="20% - Akzent6 13 7 2" xfId="4128" xr:uid="{FE63FFAC-0A82-4F38-AACB-526B63AC0FC9}"/>
    <cellStyle name="20% - Akzent6 13 7 2 2" xfId="23571" xr:uid="{18ABC955-5B51-4663-8BCB-85BB636A26F7}"/>
    <cellStyle name="20% - Akzent6 13 7 3" xfId="23570" xr:uid="{92F05245-6FE1-4FAE-A8D5-D9E3D55124EE}"/>
    <cellStyle name="20% - Akzent6 13 8" xfId="4129" xr:uid="{736609F8-BCB2-449B-A439-D836E0BAAAE0}"/>
    <cellStyle name="20% - Akzent6 13 8 2" xfId="4130" xr:uid="{66A9AEFE-FC9B-46FD-AE4E-AFB96369A409}"/>
    <cellStyle name="20% - Akzent6 13 8 2 2" xfId="23573" xr:uid="{68EB529C-792C-4BDE-AB03-CBC808503433}"/>
    <cellStyle name="20% - Akzent6 13 8 3" xfId="23572" xr:uid="{8DE1F5FD-0EA8-4917-9CE8-349303A6FBEE}"/>
    <cellStyle name="20% - Akzent6 13 9" xfId="4131" xr:uid="{CFDD1857-A199-487E-8D0B-D5639F00C494}"/>
    <cellStyle name="20% - Akzent6 13 9 2" xfId="4132" xr:uid="{C880EE2F-8575-4699-AB0F-818C2A9EDC8D}"/>
    <cellStyle name="20% - Akzent6 13 9 2 2" xfId="23575" xr:uid="{210C6558-AB0B-4FA9-88E5-465A622D01F4}"/>
    <cellStyle name="20% - Akzent6 13 9 3" xfId="23574" xr:uid="{59CD1C67-369A-4EC7-9874-0F8740E93154}"/>
    <cellStyle name="20% - Akzent6 14" xfId="4133" xr:uid="{B9DF001B-48F4-4A5D-ACC6-165D1008739B}"/>
    <cellStyle name="20% - Akzent6 14 2" xfId="4134" xr:uid="{B803C1E1-853F-435D-9C58-5D1162F4D8EB}"/>
    <cellStyle name="20% - Akzent6 14 2 2" xfId="23577" xr:uid="{2D7ABBCE-15AD-47F5-8C5F-B16655D27930}"/>
    <cellStyle name="20% - Akzent6 14 3" xfId="4135" xr:uid="{D05D35CC-BB6E-4EE1-9A6B-9B2B6708A1FC}"/>
    <cellStyle name="20% - Akzent6 14 3 2" xfId="23578" xr:uid="{F3C36F33-11AF-4BDF-9300-8192527F27AC}"/>
    <cellStyle name="20% - Akzent6 14 4" xfId="23576" xr:uid="{BEAC0466-97FA-4770-A214-447B79333E8B}"/>
    <cellStyle name="20% - Akzent6 15" xfId="4136" xr:uid="{517129A8-2ED7-4D40-861B-9E4B6F1A4AC4}"/>
    <cellStyle name="20% - Akzent6 15 2" xfId="4137" xr:uid="{74FCC06F-A606-4BC2-9243-AD9295F47122}"/>
    <cellStyle name="20% - Akzent6 15 2 2" xfId="23580" xr:uid="{A5B1BECA-6669-4C5A-861C-1BE273FC2B9C}"/>
    <cellStyle name="20% - Akzent6 15 3" xfId="4138" xr:uid="{8C022680-4F9B-4695-8222-E7D7392CA773}"/>
    <cellStyle name="20% - Akzent6 15 3 2" xfId="23581" xr:uid="{C3FAA396-713C-4D33-A03B-7CB8430BA344}"/>
    <cellStyle name="20% - Akzent6 15 4" xfId="23579" xr:uid="{BE2D5913-713F-496E-8117-80525C4BE18A}"/>
    <cellStyle name="20% - Akzent6 16" xfId="4139" xr:uid="{A7768278-6BB6-4EEC-92DD-69D28991E03B}"/>
    <cellStyle name="20% - Akzent6 16 2" xfId="4140" xr:uid="{1E2A9C3E-FB9A-4DDE-9919-2734892E2B18}"/>
    <cellStyle name="20% - Akzent6 16 2 2" xfId="23583" xr:uid="{B8617892-C577-4500-85F1-ED7189956BFF}"/>
    <cellStyle name="20% - Akzent6 16 3" xfId="4141" xr:uid="{804773BA-0C97-40C5-B04B-3E9F72251E68}"/>
    <cellStyle name="20% - Akzent6 16 3 2" xfId="23584" xr:uid="{92080895-A2A1-457B-9777-A24A26E85B52}"/>
    <cellStyle name="20% - Akzent6 16 4" xfId="23582" xr:uid="{470F96F1-1444-405C-9F7D-390C7C393CF3}"/>
    <cellStyle name="20% - Akzent6 17" xfId="4142" xr:uid="{4EF02E47-70DE-4A6E-862F-26559FD5BEEC}"/>
    <cellStyle name="20% - Akzent6 17 2" xfId="4143" xr:uid="{A8ABDD0D-9AA7-4960-B203-24D24378B365}"/>
    <cellStyle name="20% - Akzent6 17 2 2" xfId="23586" xr:uid="{F62B89E2-B2E1-47BA-A19E-6C19C4E8CD29}"/>
    <cellStyle name="20% - Akzent6 17 3" xfId="4144" xr:uid="{1700109C-BC11-4196-92B9-7CB6B539C266}"/>
    <cellStyle name="20% - Akzent6 17 3 2" xfId="23587" xr:uid="{7D601C96-BF6B-413B-BD10-3E48597BC8E0}"/>
    <cellStyle name="20% - Akzent6 17 4" xfId="23585" xr:uid="{0CD02E5D-CF3A-4450-B613-6D1D6CEE59BE}"/>
    <cellStyle name="20% - Akzent6 18" xfId="4145" xr:uid="{CD203107-C347-45EF-BDF1-958FE0DFF99A}"/>
    <cellStyle name="20% - Akzent6 18 2" xfId="4146" xr:uid="{CFBF54B4-B616-4890-A15F-5A98229E2BD6}"/>
    <cellStyle name="20% - Akzent6 18 2 2" xfId="23589" xr:uid="{0E1B44A6-3E37-4C52-8790-134D3AAC122F}"/>
    <cellStyle name="20% - Akzent6 18 3" xfId="4147" xr:uid="{E1108474-9FB6-4F21-9AA8-0F50021308D2}"/>
    <cellStyle name="20% - Akzent6 18 3 2" xfId="23590" xr:uid="{D0947358-7580-4693-BD44-D69956FB1BEF}"/>
    <cellStyle name="20% - Akzent6 18 4" xfId="23588" xr:uid="{58A29962-2F12-465F-BE96-34D87CB037EA}"/>
    <cellStyle name="20% - Akzent6 19" xfId="4148" xr:uid="{ABCEC92E-ED2A-4D0B-ACB1-BC9B63600641}"/>
    <cellStyle name="20% - Akzent6 19 2" xfId="4149" xr:uid="{E0BD870F-B04B-4831-8E65-C8C4965E6B43}"/>
    <cellStyle name="20% - Akzent6 19 2 2" xfId="23592" xr:uid="{D29B0F3E-B71D-4056-84F9-0E2115613539}"/>
    <cellStyle name="20% - Akzent6 19 3" xfId="4150" xr:uid="{488F98CE-6EBE-45AA-9EA5-C477C78C02DA}"/>
    <cellStyle name="20% - Akzent6 19 3 2" xfId="23593" xr:uid="{746495EE-8825-4A31-B4D7-799C76FAD911}"/>
    <cellStyle name="20% - Akzent6 19 4" xfId="23591" xr:uid="{5CC5B7AF-A52E-4011-979F-B7A36456AECE}"/>
    <cellStyle name="20% - Akzent6 2" xfId="107" xr:uid="{BF8C4314-F60E-4E88-8810-423419CA494D}"/>
    <cellStyle name="20% - Akzent6 2 10" xfId="4152" xr:uid="{EDBADA57-ACDF-4506-A450-C33D82DE9EA3}"/>
    <cellStyle name="20% - Akzent6 2 10 2" xfId="4153" xr:uid="{DCCC470C-E74A-4329-BD55-33014DFF751A}"/>
    <cellStyle name="20% - Akzent6 2 10 2 2" xfId="23596" xr:uid="{27556FF4-0447-4F1C-B198-5E9E45C96DA9}"/>
    <cellStyle name="20% - Akzent6 2 10 3" xfId="23595" xr:uid="{260A87E9-7CF3-47C4-B40B-FD539601E93E}"/>
    <cellStyle name="20% - Akzent6 2 11" xfId="4154" xr:uid="{468FF00D-AA00-40F8-9A94-899E0E43014F}"/>
    <cellStyle name="20% - Akzent6 2 11 2" xfId="4155" xr:uid="{0788CA5A-FC8E-480C-93EB-E0C8E561D48C}"/>
    <cellStyle name="20% - Akzent6 2 11 2 2" xfId="23598" xr:uid="{4534ED96-735C-4BCE-B5E2-F09B2B344836}"/>
    <cellStyle name="20% - Akzent6 2 11 3" xfId="23597" xr:uid="{E5195B83-2A02-4748-ABB3-EB281399744A}"/>
    <cellStyle name="20% - Akzent6 2 12" xfId="4156" xr:uid="{41A360E7-712C-4B65-9D12-59813550FFA5}"/>
    <cellStyle name="20% - Akzent6 2 12 2" xfId="4157" xr:uid="{72895379-2E22-4A65-A7B3-4D0FA8F43BD4}"/>
    <cellStyle name="20% - Akzent6 2 12 2 2" xfId="23600" xr:uid="{5FB20EFB-0B34-4F76-A5E2-7053ADCDDCF9}"/>
    <cellStyle name="20% - Akzent6 2 12 3" xfId="23599" xr:uid="{438EBEC5-1837-4D76-87A2-247863BAD457}"/>
    <cellStyle name="20% - Akzent6 2 13" xfId="4158" xr:uid="{BF9404E8-7970-494C-92EE-5549ACA9A38D}"/>
    <cellStyle name="20% - Akzent6 2 13 2" xfId="4159" xr:uid="{C2B3A8B0-565A-48D0-BE7A-3234F8F3D56F}"/>
    <cellStyle name="20% - Akzent6 2 13 2 2" xfId="23602" xr:uid="{E49E4185-CA01-4F21-958E-A7ED488FDBD2}"/>
    <cellStyle name="20% - Akzent6 2 13 3" xfId="23601" xr:uid="{0CB66571-F107-4638-AF99-3A025657A348}"/>
    <cellStyle name="20% - Akzent6 2 14" xfId="4160" xr:uid="{27649438-2EBE-4350-AE7F-6A0381608B26}"/>
    <cellStyle name="20% - Akzent6 2 14 2" xfId="4161" xr:uid="{AE306033-DAF9-4903-9792-1066AC704DCF}"/>
    <cellStyle name="20% - Akzent6 2 14 2 2" xfId="23604" xr:uid="{A8E21450-046A-4626-8BE9-C27128B87EF5}"/>
    <cellStyle name="20% - Akzent6 2 14 3" xfId="23603" xr:uid="{28865671-CD2B-4581-AEDA-68DAEEC7C072}"/>
    <cellStyle name="20% - Akzent6 2 15" xfId="4162" xr:uid="{1C654E4C-C6AB-4276-8141-4F0D7073998C}"/>
    <cellStyle name="20% - Akzent6 2 15 2" xfId="4163" xr:uid="{257787EC-A2B5-4732-A23C-1DBB8C3B0606}"/>
    <cellStyle name="20% - Akzent6 2 15 2 2" xfId="23606" xr:uid="{5CECDF8E-735E-4F3F-9C5E-8F67EE1A10C3}"/>
    <cellStyle name="20% - Akzent6 2 15 3" xfId="23605" xr:uid="{8010C968-546C-425A-AB0A-7585683270C3}"/>
    <cellStyle name="20% - Akzent6 2 16" xfId="4164" xr:uid="{D7D3DC77-85E6-4F67-BCE9-742DCCD81A38}"/>
    <cellStyle name="20% - Akzent6 2 16 2" xfId="4165" xr:uid="{B6B1FFFF-7DE0-4A76-BE9B-4DF8448C662A}"/>
    <cellStyle name="20% - Akzent6 2 16 2 2" xfId="23608" xr:uid="{B7333A64-5162-4D68-BA5C-636D97E99306}"/>
    <cellStyle name="20% - Akzent6 2 16 3" xfId="23607" xr:uid="{A7B675BD-8E66-473D-8F3F-8D9DF6C4A813}"/>
    <cellStyle name="20% - Akzent6 2 17" xfId="4166" xr:uid="{06A9C6FE-C424-4CA3-80DF-6D049BC69C45}"/>
    <cellStyle name="20% - Akzent6 2 17 2" xfId="4167" xr:uid="{350958C9-4CC4-4649-973B-4AED9151F69A}"/>
    <cellStyle name="20% - Akzent6 2 17 2 2" xfId="23610" xr:uid="{1238870E-679E-4BB1-8FB9-D1664841357D}"/>
    <cellStyle name="20% - Akzent6 2 17 3" xfId="23609" xr:uid="{44E307FB-B961-4405-AB6B-ECF6E37F5707}"/>
    <cellStyle name="20% - Akzent6 2 18" xfId="4168" xr:uid="{C0186707-C975-46D3-846B-D8C8BB5A6E4C}"/>
    <cellStyle name="20% - Akzent6 2 18 2" xfId="4169" xr:uid="{04B0467A-2A39-4258-B592-70EF35AC6E59}"/>
    <cellStyle name="20% - Akzent6 2 18 2 2" xfId="23612" xr:uid="{D87B1D32-F05A-42E6-8BE6-34183AD7032F}"/>
    <cellStyle name="20% - Akzent6 2 18 3" xfId="23611" xr:uid="{33CF4B58-BFBF-467D-93D8-51F8A2E9655B}"/>
    <cellStyle name="20% - Akzent6 2 19" xfId="4170" xr:uid="{82E35D18-BDA7-495D-A281-2553D51C41FD}"/>
    <cellStyle name="20% - Akzent6 2 19 2" xfId="4171" xr:uid="{346B1F70-E2D8-430D-8995-95547753202E}"/>
    <cellStyle name="20% - Akzent6 2 19 2 2" xfId="23614" xr:uid="{E827550C-A22D-4151-8851-90F6A214AA81}"/>
    <cellStyle name="20% - Akzent6 2 19 3" xfId="23613" xr:uid="{69DA55FC-390B-42F6-9FE2-ABB17ED3E436}"/>
    <cellStyle name="20% - Akzent6 2 2" xfId="4172" xr:uid="{8CC5805F-4596-4185-8779-BD6D3EB213C7}"/>
    <cellStyle name="20% - Akzent6 2 2 10" xfId="4173" xr:uid="{F92B8FD0-6784-48D8-946B-A1129E6E321B}"/>
    <cellStyle name="20% - Akzent6 2 2 11" xfId="4174" xr:uid="{D4324D00-9ABB-41C5-9058-CFB82E7B8A3C}"/>
    <cellStyle name="20% - Akzent6 2 2 12" xfId="4175" xr:uid="{6A90C2AC-982E-45AD-B2A9-1484270D9B08}"/>
    <cellStyle name="20% - Akzent6 2 2 13" xfId="4176" xr:uid="{2BCD7EED-62DE-4788-BDDF-602917F6941C}"/>
    <cellStyle name="20% - Akzent6 2 2 13 2" xfId="4177" xr:uid="{84BC3A29-58C6-4202-94F7-395DD87819B0}"/>
    <cellStyle name="20% - Akzent6 2 2 13 2 2" xfId="23617" xr:uid="{850F9159-B987-44C6-A15B-1C3B3564A1D6}"/>
    <cellStyle name="20% - Akzent6 2 2 13 3" xfId="23616" xr:uid="{9B74DFE0-A0CD-4278-BB84-4900B17176D7}"/>
    <cellStyle name="20% - Akzent6 2 2 14" xfId="4178" xr:uid="{60ABE0FB-8398-48F0-A5BC-16EC50A0D484}"/>
    <cellStyle name="20% - Akzent6 2 2 14 2" xfId="4179" xr:uid="{F8CDE27D-3E7A-407D-BA8C-663AC6BE11BD}"/>
    <cellStyle name="20% - Akzent6 2 2 14 2 2" xfId="23619" xr:uid="{E7DD963C-1BB3-4273-890D-452CEE52D928}"/>
    <cellStyle name="20% - Akzent6 2 2 14 3" xfId="23618" xr:uid="{EF92BDE2-E2C8-4F29-8BDE-2E6961643713}"/>
    <cellStyle name="20% - Akzent6 2 2 15" xfId="4180" xr:uid="{541940D0-3E5E-44C7-BC29-5F8BFA3B6978}"/>
    <cellStyle name="20% - Akzent6 2 2 15 2" xfId="4181" xr:uid="{944FDB5A-DD67-4D8E-BB24-F0853E830ABF}"/>
    <cellStyle name="20% - Akzent6 2 2 15 2 2" xfId="23621" xr:uid="{E913269D-2912-412C-AB34-3EC69E4D58F7}"/>
    <cellStyle name="20% - Akzent6 2 2 15 3" xfId="23620" xr:uid="{2057CF0E-F656-4CDE-8DD4-A9EE7F6F4EAB}"/>
    <cellStyle name="20% - Akzent6 2 2 16" xfId="4182" xr:uid="{330AB74F-15CD-433D-AA13-3902428C438A}"/>
    <cellStyle name="20% - Akzent6 2 2 16 2" xfId="4183" xr:uid="{9219042A-3CC2-439B-9ED5-25327775D75B}"/>
    <cellStyle name="20% - Akzent6 2 2 16 2 2" xfId="23623" xr:uid="{81C40F7E-CAF6-4700-B1EE-093B49C69AA9}"/>
    <cellStyle name="20% - Akzent6 2 2 16 3" xfId="23622" xr:uid="{25E764FD-2797-45DF-B4AE-523D61F930D4}"/>
    <cellStyle name="20% - Akzent6 2 2 17" xfId="4184" xr:uid="{D62930F8-097F-4807-9F1B-1F77DEFF5EA5}"/>
    <cellStyle name="20% - Akzent6 2 2 17 2" xfId="4185" xr:uid="{15C6639F-903B-4397-B68B-9277578EBA4F}"/>
    <cellStyle name="20% - Akzent6 2 2 17 2 2" xfId="23625" xr:uid="{C77CA54D-D6EB-4779-8CED-F758E43AE1AB}"/>
    <cellStyle name="20% - Akzent6 2 2 17 3" xfId="23624" xr:uid="{A03B4826-291E-4D2E-BF94-9861270C4280}"/>
    <cellStyle name="20% - Akzent6 2 2 18" xfId="4186" xr:uid="{80B375D9-EC28-46F8-8C58-93E081D4D604}"/>
    <cellStyle name="20% - Akzent6 2 2 18 2" xfId="4187" xr:uid="{843BFADF-4B50-4C29-A60E-27ADAB856863}"/>
    <cellStyle name="20% - Akzent6 2 2 18 2 2" xfId="23627" xr:uid="{BAE1CE77-505E-4C80-A68D-58A1C1589A2A}"/>
    <cellStyle name="20% - Akzent6 2 2 18 3" xfId="23626" xr:uid="{8576E044-F054-41E7-A807-371BC3A1462F}"/>
    <cellStyle name="20% - Akzent6 2 2 19" xfId="4188" xr:uid="{FF009B5B-A214-4CCB-9F98-71DB542F5B09}"/>
    <cellStyle name="20% - Akzent6 2 2 19 2" xfId="4189" xr:uid="{8CEC1C9B-CB83-46DB-9A4A-6DFF022E8F23}"/>
    <cellStyle name="20% - Akzent6 2 2 19 2 2" xfId="23629" xr:uid="{538B49D3-DF40-4D23-A8AC-D14006149125}"/>
    <cellStyle name="20% - Akzent6 2 2 19 3" xfId="23628" xr:uid="{E9CD0FA6-3ADF-4607-9C20-DAD2BBC8353F}"/>
    <cellStyle name="20% - Akzent6 2 2 2" xfId="4190" xr:uid="{A240A4AF-7132-401D-9B2E-E992BB9AE108}"/>
    <cellStyle name="20% - Akzent6 2 2 2 10" xfId="4191" xr:uid="{D3471AE8-026F-44D0-B54A-31BB65816BC4}"/>
    <cellStyle name="20% - Akzent6 2 2 2 10 2" xfId="4192" xr:uid="{FD4F01DE-FE36-450E-B22E-28FF07762C81}"/>
    <cellStyle name="20% - Akzent6 2 2 2 10 2 2" xfId="23632" xr:uid="{4FD2F04B-B49D-4160-9204-1B569F82A57B}"/>
    <cellStyle name="20% - Akzent6 2 2 2 10 3" xfId="23631" xr:uid="{4F3C9C07-D6DF-416E-B62E-382CE38AEA3F}"/>
    <cellStyle name="20% - Akzent6 2 2 2 11" xfId="4193" xr:uid="{2786A68D-D19B-4300-B35C-8EC2B2F41D30}"/>
    <cellStyle name="20% - Akzent6 2 2 2 11 2" xfId="23633" xr:uid="{986B93EC-0958-4909-AB7B-1C7C0328A665}"/>
    <cellStyle name="20% - Akzent6 2 2 2 12" xfId="23630" xr:uid="{A1F454F3-2F42-4060-8034-B4E48703C1B1}"/>
    <cellStyle name="20% - Akzent6 2 2 2 13" xfId="39931" xr:uid="{4AC2896E-814E-41BD-806A-B65CBC9D721F}"/>
    <cellStyle name="20% - Akzent6 2 2 2 2" xfId="4194" xr:uid="{E2850872-24F1-4F72-8E73-2C1A4E28427E}"/>
    <cellStyle name="20% - Akzent6 2 2 2 2 2" xfId="4195" xr:uid="{815B6D75-71AD-4E10-B0C0-10A56C3208C5}"/>
    <cellStyle name="20% - Akzent6 2 2 2 2 2 10" xfId="23634" xr:uid="{4C2C459D-B929-4D6E-8F0D-FC844811B2A9}"/>
    <cellStyle name="20% - Akzent6 2 2 2 2 2 2" xfId="4196" xr:uid="{6CC8BEC0-83CE-4227-92C0-E1EC7A153276}"/>
    <cellStyle name="20% - Akzent6 2 2 2 2 2 2 2" xfId="4197" xr:uid="{3F033005-558C-4296-B540-AE580CF13D1D}"/>
    <cellStyle name="20% - Akzent6 2 2 2 2 2 2 2 2" xfId="4198" xr:uid="{BBCC2397-5B97-4389-BA76-706854A9B183}"/>
    <cellStyle name="20% - Akzent6 2 2 2 2 2 2 2 2 2" xfId="23636" xr:uid="{8178DC7D-F714-4A8F-A9BC-E42055E6A398}"/>
    <cellStyle name="20% - Akzent6 2 2 2 2 2 2 2 3" xfId="23635" xr:uid="{F773A57E-1F00-4A8E-895E-0AE4B2D54E08}"/>
    <cellStyle name="20% - Akzent6 2 2 2 2 2 3" xfId="4199" xr:uid="{08D4A4AC-6A9A-4925-9D44-30A7EE69BBA0}"/>
    <cellStyle name="20% - Akzent6 2 2 2 2 2 3 2" xfId="4200" xr:uid="{DD7998F7-E690-409F-890D-0CD5D4CA7A32}"/>
    <cellStyle name="20% - Akzent6 2 2 2 2 2 3 2 2" xfId="23638" xr:uid="{8EF8BC37-49EF-4C34-886D-7EB790346964}"/>
    <cellStyle name="20% - Akzent6 2 2 2 2 2 3 3" xfId="23637" xr:uid="{C2B69273-14E6-4B31-B98F-E110A11B3A46}"/>
    <cellStyle name="20% - Akzent6 2 2 2 2 2 4" xfId="4201" xr:uid="{BDA2A515-7605-42AD-B05E-541FC9BEA0AA}"/>
    <cellStyle name="20% - Akzent6 2 2 2 2 2 4 2" xfId="4202" xr:uid="{8DD162DA-216F-4FA5-BF38-B1BF3230FE9C}"/>
    <cellStyle name="20% - Akzent6 2 2 2 2 2 4 2 2" xfId="23640" xr:uid="{E570AB4C-0D11-467C-85B9-80A16F332347}"/>
    <cellStyle name="20% - Akzent6 2 2 2 2 2 4 3" xfId="23639" xr:uid="{A8054634-43AE-4939-B03B-0A7EF6E8347A}"/>
    <cellStyle name="20% - Akzent6 2 2 2 2 2 5" xfId="4203" xr:uid="{6A3E9DE7-E39C-4BA4-8606-D7B6FD2E9AAB}"/>
    <cellStyle name="20% - Akzent6 2 2 2 2 2 5 2" xfId="4204" xr:uid="{C519E54C-7CC0-4FBD-8DB5-818994CBD23D}"/>
    <cellStyle name="20% - Akzent6 2 2 2 2 2 5 2 2" xfId="23642" xr:uid="{F91C4664-20D0-44AE-9E3C-5DDEB6515EBF}"/>
    <cellStyle name="20% - Akzent6 2 2 2 2 2 5 3" xfId="23641" xr:uid="{A6CE9FC6-5E45-4BC6-AD3A-1A9A73A77616}"/>
    <cellStyle name="20% - Akzent6 2 2 2 2 2 6" xfId="4205" xr:uid="{CAC0D9CB-0F1B-4DA3-8F5C-B15E8E45E39D}"/>
    <cellStyle name="20% - Akzent6 2 2 2 2 2 6 2" xfId="4206" xr:uid="{D1581995-E29D-4977-8498-E9A7E21B2133}"/>
    <cellStyle name="20% - Akzent6 2 2 2 2 2 6 2 2" xfId="23644" xr:uid="{60EDB2AE-9AE0-46EF-9753-99A0C452988E}"/>
    <cellStyle name="20% - Akzent6 2 2 2 2 2 6 3" xfId="23643" xr:uid="{2898E366-E7C4-4FBD-A3A0-CBA448D6F3B1}"/>
    <cellStyle name="20% - Akzent6 2 2 2 2 2 7" xfId="4207" xr:uid="{959EE2B6-38DE-4404-BD71-9D66FB148023}"/>
    <cellStyle name="20% - Akzent6 2 2 2 2 2 7 2" xfId="4208" xr:uid="{D8B182BD-41A7-4B5B-9876-C00695A83100}"/>
    <cellStyle name="20% - Akzent6 2 2 2 2 2 7 2 2" xfId="23646" xr:uid="{5ABA4C2C-E5F5-46A2-B5B7-22B152594353}"/>
    <cellStyle name="20% - Akzent6 2 2 2 2 2 7 3" xfId="23645" xr:uid="{22CC405C-53A2-4118-B7BC-8AF581F93C0D}"/>
    <cellStyle name="20% - Akzent6 2 2 2 2 2 8" xfId="4209" xr:uid="{37C17A59-07D9-4881-9BA3-06C511C2846F}"/>
    <cellStyle name="20% - Akzent6 2 2 2 2 2 8 2" xfId="4210" xr:uid="{5081B939-011D-47A3-B320-DF5FEE5A1907}"/>
    <cellStyle name="20% - Akzent6 2 2 2 2 2 8 2 2" xfId="23648" xr:uid="{04767E57-D6AB-480B-B783-019261EF14AD}"/>
    <cellStyle name="20% - Akzent6 2 2 2 2 2 8 3" xfId="23647" xr:uid="{64CBAE73-B2D2-4B91-A85C-33B9B60C167E}"/>
    <cellStyle name="20% - Akzent6 2 2 2 2 2 9" xfId="4211" xr:uid="{A3AAFA64-C63E-4D75-9FA8-C795E0AFC742}"/>
    <cellStyle name="20% - Akzent6 2 2 2 2 2 9 2" xfId="23649" xr:uid="{B6CF578D-28AD-4D05-88AA-ACCC6B03E3C0}"/>
    <cellStyle name="20% - Akzent6 2 2 2 2 3" xfId="4212" xr:uid="{7848F0C9-423C-41E3-A857-8E265E86218C}"/>
    <cellStyle name="20% - Akzent6 2 2 2 2 3 2" xfId="4213" xr:uid="{88D661FD-49EE-4507-A31B-257C49FF9D8B}"/>
    <cellStyle name="20% - Akzent6 2 2 2 2 3 3" xfId="4214" xr:uid="{E885E692-1ACF-4752-88C5-FBA5E9BD1BFC}"/>
    <cellStyle name="20% - Akzent6 2 2 2 2 3 3 2" xfId="23651" xr:uid="{C24E1F2F-24BD-4A58-A2E9-55B4AD500C7D}"/>
    <cellStyle name="20% - Akzent6 2 2 2 2 3 4" xfId="23650" xr:uid="{90334573-C22B-4B17-B2BE-E15CB87BFA89}"/>
    <cellStyle name="20% - Akzent6 2 2 2 2 4" xfId="4215" xr:uid="{6FD78BED-1D52-40D1-BFCA-E91448F49C40}"/>
    <cellStyle name="20% - Akzent6 2 2 2 2 4 2" xfId="23652" xr:uid="{97766DFC-B69E-4046-A3EF-536BB84EA985}"/>
    <cellStyle name="20% - Akzent6 2 2 2 2 5" xfId="4216" xr:uid="{AADCCD6E-9D10-4AE2-91BE-88E2CFADBEA8}"/>
    <cellStyle name="20% - Akzent6 2 2 2 2 5 2" xfId="23653" xr:uid="{4D838C57-03EF-42EA-8C58-35DD42DE9CC3}"/>
    <cellStyle name="20% - Akzent6 2 2 2 2 6" xfId="4217" xr:uid="{90C89B32-EA54-42F5-9BA2-FA70DDFA4931}"/>
    <cellStyle name="20% - Akzent6 2 2 2 2 6 2" xfId="23654" xr:uid="{F660FA9B-6BAA-40D9-8BD4-F9327352C343}"/>
    <cellStyle name="20% - Akzent6 2 2 2 2 7" xfId="4218" xr:uid="{B4E523F7-1098-4F8C-BF05-334C230E49CC}"/>
    <cellStyle name="20% - Akzent6 2 2 2 2 7 2" xfId="23655" xr:uid="{A18D9F5B-8390-4E29-BBC7-4D3B9DCC81A3}"/>
    <cellStyle name="20% - Akzent6 2 2 2 2 8" xfId="4219" xr:uid="{CA482A23-E24B-4772-A20A-9BFBD197AD12}"/>
    <cellStyle name="20% - Akzent6 2 2 2 2 8 2" xfId="23656" xr:uid="{CAC7F529-A531-4695-A349-27A3BA3A6865}"/>
    <cellStyle name="20% - Akzent6 2 2 2 2 9" xfId="40877" xr:uid="{28C50DD1-4D55-4D60-A093-E7D888CB05F2}"/>
    <cellStyle name="20% - Akzent6 2 2 2 3" xfId="4220" xr:uid="{939FC0DB-97CD-4E2D-8582-901054F9177D}"/>
    <cellStyle name="20% - Akzent6 2 2 2 3 2" xfId="4221" xr:uid="{63851751-BAAB-488B-BB69-4474205B1B4B}"/>
    <cellStyle name="20% - Akzent6 2 2 2 3 2 2" xfId="23658" xr:uid="{59D0AC81-1675-450A-BF3A-B5BFF2C2476E}"/>
    <cellStyle name="20% - Akzent6 2 2 2 3 3" xfId="23657" xr:uid="{D4EF42A6-97FD-4DD1-91E5-77DC816D6B5D}"/>
    <cellStyle name="20% - Akzent6 2 2 2 3 4" xfId="41737" xr:uid="{B2F88B5B-57D8-4A17-811C-24B23D80978D}"/>
    <cellStyle name="20% - Akzent6 2 2 2 4" xfId="4222" xr:uid="{5B30F0EA-5E8D-40A2-BA9A-E1517D14A3A0}"/>
    <cellStyle name="20% - Akzent6 2 2 2 4 2" xfId="4223" xr:uid="{DAE51521-2F68-409A-9652-F961BD08F4C3}"/>
    <cellStyle name="20% - Akzent6 2 2 2 4 2 2" xfId="23660" xr:uid="{CEC59ED6-593B-47D9-8FBC-F723EB4A650D}"/>
    <cellStyle name="20% - Akzent6 2 2 2 4 3" xfId="23659" xr:uid="{2D5CFC18-69BB-4D59-94DA-9084F960DF77}"/>
    <cellStyle name="20% - Akzent6 2 2 2 5" xfId="4224" xr:uid="{35F743DC-C6CE-4095-8104-C6AC83AAA79F}"/>
    <cellStyle name="20% - Akzent6 2 2 2 5 2" xfId="4225" xr:uid="{ACDBAF2A-B2C5-445A-B725-7302DAD7EC02}"/>
    <cellStyle name="20% - Akzent6 2 2 2 5 2 2" xfId="4226" xr:uid="{4B3BC22F-8025-4189-AD00-6ADC30AC79B4}"/>
    <cellStyle name="20% - Akzent6 2 2 2 5 2 2 2" xfId="23663" xr:uid="{1009C6B8-6C9C-4BF0-8F10-9991010E04F6}"/>
    <cellStyle name="20% - Akzent6 2 2 2 5 2 3" xfId="23662" xr:uid="{A218CF2C-305C-454B-937A-DB5F823B384B}"/>
    <cellStyle name="20% - Akzent6 2 2 2 5 3" xfId="23661" xr:uid="{63EB5C5A-B072-46AC-B1FD-A95A0D9D9D5F}"/>
    <cellStyle name="20% - Akzent6 2 2 2 6" xfId="4227" xr:uid="{09278EEB-A112-4A7E-8133-830555B6774D}"/>
    <cellStyle name="20% - Akzent6 2 2 2 6 2" xfId="4228" xr:uid="{36EC6E4F-2516-4CD3-908B-0C1C460EC9E5}"/>
    <cellStyle name="20% - Akzent6 2 2 2 6 2 2" xfId="23665" xr:uid="{3379423F-1343-4156-B4FE-C25648B8B8DB}"/>
    <cellStyle name="20% - Akzent6 2 2 2 6 3" xfId="23664" xr:uid="{2CB398D3-38DA-4E6B-A509-CE1DBA454E35}"/>
    <cellStyle name="20% - Akzent6 2 2 2 7" xfId="4229" xr:uid="{5948DBAB-2FC5-46D0-8062-13BF84779F50}"/>
    <cellStyle name="20% - Akzent6 2 2 2 7 2" xfId="4230" xr:uid="{753827DD-AAB8-44FB-93F1-8320D004BB64}"/>
    <cellStyle name="20% - Akzent6 2 2 2 7 2 2" xfId="23667" xr:uid="{E6492DF4-86DC-4DC0-BA6E-F3DE6DDD2CE9}"/>
    <cellStyle name="20% - Akzent6 2 2 2 7 3" xfId="23666" xr:uid="{FE1AC0ED-8C0B-438A-B7EA-2194AFB7026B}"/>
    <cellStyle name="20% - Akzent6 2 2 2 8" xfId="4231" xr:uid="{A843AE7A-D82A-4D5B-9AAF-1CABD45E01FA}"/>
    <cellStyle name="20% - Akzent6 2 2 2 8 2" xfId="4232" xr:uid="{B97052B6-86AB-4E44-BEAC-7A8E69442042}"/>
    <cellStyle name="20% - Akzent6 2 2 2 8 2 2" xfId="23669" xr:uid="{056AC27C-6F1D-47D9-98B5-74E596C3844D}"/>
    <cellStyle name="20% - Akzent6 2 2 2 8 3" xfId="23668" xr:uid="{62943DDA-A814-48B6-A39C-D5F79A3342BD}"/>
    <cellStyle name="20% - Akzent6 2 2 2 9" xfId="4233" xr:uid="{8165FFCF-4DE6-411A-B7C5-546DE70416DF}"/>
    <cellStyle name="20% - Akzent6 2 2 2 9 2" xfId="4234" xr:uid="{65E92A03-247C-4931-8041-578C186BA9DD}"/>
    <cellStyle name="20% - Akzent6 2 2 2 9 2 2" xfId="23671" xr:uid="{90FEB335-9273-4858-ABA3-98FD0FB492C5}"/>
    <cellStyle name="20% - Akzent6 2 2 2 9 3" xfId="23670" xr:uid="{8E3FA31D-F1D4-4C6A-9516-0B78D89A6368}"/>
    <cellStyle name="20% - Akzent6 2 2 20" xfId="4235" xr:uid="{759F7E08-BB19-488B-BBE0-C82B0AD69691}"/>
    <cellStyle name="20% - Akzent6 2 2 20 2" xfId="4236" xr:uid="{7D3FFADD-6A7B-427C-A30D-946CE600EB40}"/>
    <cellStyle name="20% - Akzent6 2 2 20 2 2" xfId="23673" xr:uid="{8EA95F3F-5758-4043-8A1C-EA6071C808C8}"/>
    <cellStyle name="20% - Akzent6 2 2 20 3" xfId="23672" xr:uid="{C10992EF-79A5-4A93-A9BB-A76E25095C53}"/>
    <cellStyle name="20% - Akzent6 2 2 21" xfId="4237" xr:uid="{A5C24012-90C6-480F-961B-D35F5A3BA33A}"/>
    <cellStyle name="20% - Akzent6 2 2 21 2" xfId="4238" xr:uid="{C9F05D96-C20B-4390-B392-6209C5C10485}"/>
    <cellStyle name="20% - Akzent6 2 2 21 2 2" xfId="23675" xr:uid="{CC880531-382C-4EAE-834C-56ADDDDDC4A9}"/>
    <cellStyle name="20% - Akzent6 2 2 21 3" xfId="23674" xr:uid="{84BC9E4C-0547-48A5-AA2D-AEED9BAE3D61}"/>
    <cellStyle name="20% - Akzent6 2 2 22" xfId="4239" xr:uid="{CF21FBD6-12FC-4325-B5B6-D61FB53AC1F0}"/>
    <cellStyle name="20% - Akzent6 2 2 22 2" xfId="23676" xr:uid="{79CC3B80-BA35-40BD-88D6-DCC8B34CC012}"/>
    <cellStyle name="20% - Akzent6 2 2 23" xfId="23615" xr:uid="{FF537FEB-6ADC-4AFB-91F2-48C91906CE35}"/>
    <cellStyle name="20% - Akzent6 2 2 24" xfId="39300" xr:uid="{0D53935C-F982-4D6B-AD6A-D7AE8513B768}"/>
    <cellStyle name="20% - Akzent6 2 2 3" xfId="4240" xr:uid="{BC2C2217-14EE-4F40-8635-06789966F3E5}"/>
    <cellStyle name="20% - Akzent6 2 2 3 2" xfId="4241" xr:uid="{AD73188D-65E7-4E49-BAD1-76C503C9EBC6}"/>
    <cellStyle name="20% - Akzent6 2 2 3 2 2" xfId="23678" xr:uid="{18792E44-6213-427D-9C07-7A8640EAF023}"/>
    <cellStyle name="20% - Akzent6 2 2 3 3" xfId="23677" xr:uid="{F56B2032-7BDB-4212-9910-E561F2212010}"/>
    <cellStyle name="20% - Akzent6 2 2 3 4" xfId="40451" xr:uid="{8B7CEB90-09A4-4DB4-825C-15BDD3282923}"/>
    <cellStyle name="20% - Akzent6 2 2 4" xfId="4242" xr:uid="{D166A138-3610-48B8-B97A-C8EA058253D8}"/>
    <cellStyle name="20% - Akzent6 2 2 4 2" xfId="4243" xr:uid="{69D49134-62C3-4021-8DCB-FF060BDBE046}"/>
    <cellStyle name="20% - Akzent6 2 2 4 2 2" xfId="23680" xr:uid="{2F0AF391-CEC8-4FE8-9FB2-0B65C2818645}"/>
    <cellStyle name="20% - Akzent6 2 2 4 3" xfId="23679" xr:uid="{0CE96F92-8ED6-4237-A75A-43E7C3722706}"/>
    <cellStyle name="20% - Akzent6 2 2 4 4" xfId="41311" xr:uid="{4782E56C-38EF-443D-A271-32E0FD404FFB}"/>
    <cellStyle name="20% - Akzent6 2 2 5" xfId="4244" xr:uid="{CF1553EB-C25A-4636-A4F4-09FA1FE28AFB}"/>
    <cellStyle name="20% - Akzent6 2 2 5 2" xfId="4245" xr:uid="{C6F0F1B4-7D45-4933-A5B3-EDE72257B8D2}"/>
    <cellStyle name="20% - Akzent6 2 2 5 2 2" xfId="23682" xr:uid="{1F04555F-A128-4AE4-81D7-CBB4A992ED58}"/>
    <cellStyle name="20% - Akzent6 2 2 5 3" xfId="4246" xr:uid="{540617A7-20A5-4FC9-95CB-C592CE78E835}"/>
    <cellStyle name="20% - Akzent6 2 2 5 3 2" xfId="23683" xr:uid="{E72247B6-28E5-47DF-82EC-154018B8D1CF}"/>
    <cellStyle name="20% - Akzent6 2 2 5 4" xfId="23681" xr:uid="{F7CE41C6-5088-4863-9752-D84638974756}"/>
    <cellStyle name="20% - Akzent6 2 2 6" xfId="4247" xr:uid="{03AB004C-88E4-444A-804C-5B5C33CAC658}"/>
    <cellStyle name="20% - Akzent6 2 2 6 2" xfId="23684" xr:uid="{BABE7353-CC42-4343-9ADF-F33F32F792B6}"/>
    <cellStyle name="20% - Akzent6 2 2 7" xfId="4248" xr:uid="{34943576-D1E1-44F5-A7FF-7F55C8F84CCA}"/>
    <cellStyle name="20% - Akzent6 2 2 7 2" xfId="4249" xr:uid="{AC45DDA4-4E2E-41CD-B301-0A57FC1C06F4}"/>
    <cellStyle name="20% - Akzent6 2 2 7 2 2" xfId="23686" xr:uid="{40D00BDF-B0EB-4181-A2FC-4A397700CCF5}"/>
    <cellStyle name="20% - Akzent6 2 2 7 3" xfId="4250" xr:uid="{0ABE9A0A-180F-4B32-AD18-6A89BC8E5775}"/>
    <cellStyle name="20% - Akzent6 2 2 7 3 2" xfId="23687" xr:uid="{C5C5B77B-956E-41E3-A06B-9B8F59D6756F}"/>
    <cellStyle name="20% - Akzent6 2 2 7 4" xfId="23685" xr:uid="{CE48E81F-4DA2-412F-9B9A-32B03B7FAAAB}"/>
    <cellStyle name="20% - Akzent6 2 2 8" xfId="4251" xr:uid="{2C6CE58A-692F-42BF-B016-87E0998F9E46}"/>
    <cellStyle name="20% - Akzent6 2 2 8 2" xfId="23688" xr:uid="{E6BA3B55-39C0-4857-AAF4-F42F1C8FE757}"/>
    <cellStyle name="20% - Akzent6 2 2 9" xfId="4252" xr:uid="{0CF738BE-4764-4BC0-A85C-B8824DE73802}"/>
    <cellStyle name="20% - Akzent6 2 2 9 2" xfId="23689" xr:uid="{88B440C7-FBE0-43D9-9357-27BF451AD26E}"/>
    <cellStyle name="20% - Akzent6 2 20" xfId="4253" xr:uid="{75B9356A-554A-4371-A16D-334173864489}"/>
    <cellStyle name="20% - Akzent6 2 20 2" xfId="4254" xr:uid="{B4CF364A-6E75-42EE-A982-65EC41CD3577}"/>
    <cellStyle name="20% - Akzent6 2 20 2 2" xfId="23691" xr:uid="{672C969A-03AE-44CC-8BB4-C77CDF275EFA}"/>
    <cellStyle name="20% - Akzent6 2 20 3" xfId="23690" xr:uid="{A4320FD5-3117-4A4A-A773-B06354D85EC1}"/>
    <cellStyle name="20% - Akzent6 2 21" xfId="4255" xr:uid="{AA4A760F-38F0-4362-AC23-1FA2B839A41F}"/>
    <cellStyle name="20% - Akzent6 2 21 2" xfId="4256" xr:uid="{DBA1735A-4921-4D35-B97B-FD021C465DE3}"/>
    <cellStyle name="20% - Akzent6 2 21 2 2" xfId="23693" xr:uid="{7CBCE565-1448-4600-A91D-24E43467DDEE}"/>
    <cellStyle name="20% - Akzent6 2 21 3" xfId="23692" xr:uid="{21B2A836-6A70-4B31-8839-A636D7827FC3}"/>
    <cellStyle name="20% - Akzent6 2 22" xfId="4257" xr:uid="{4904FE6A-DB81-45D2-BA28-BCA345DC41B6}"/>
    <cellStyle name="20% - Akzent6 2 22 2" xfId="4258" xr:uid="{8C36102B-BDBD-4243-BB3C-52BBD0B86AF6}"/>
    <cellStyle name="20% - Akzent6 2 22 2 2" xfId="23695" xr:uid="{AA110356-1607-4326-B6FB-30F444369D4B}"/>
    <cellStyle name="20% - Akzent6 2 22 3" xfId="23694" xr:uid="{A6DCC2E9-4131-4F10-AE92-2B9A3C37852B}"/>
    <cellStyle name="20% - Akzent6 2 23" xfId="4259" xr:uid="{8CB59C9E-1108-4E67-BAFB-826079FA74FD}"/>
    <cellStyle name="20% - Akzent6 2 23 2" xfId="4260" xr:uid="{B3D71BFE-6917-427F-84D8-8EFB2A726D5C}"/>
    <cellStyle name="20% - Akzent6 2 23 2 2" xfId="23697" xr:uid="{4F471B3A-DC80-4C53-9062-BBBC1F1A45D2}"/>
    <cellStyle name="20% - Akzent6 2 23 3" xfId="23696" xr:uid="{966DC531-BCD3-460A-8646-D6E3B4377351}"/>
    <cellStyle name="20% - Akzent6 2 24" xfId="4261" xr:uid="{3A75C8D5-F6E4-47BA-9D7C-D25D5E6AE2EC}"/>
    <cellStyle name="20% - Akzent6 2 24 2" xfId="23698" xr:uid="{4AB68FB2-E9E8-4767-B697-ADF75DF356A0}"/>
    <cellStyle name="20% - Akzent6 2 25" xfId="23594" xr:uid="{592A9869-E8F5-4858-8C5E-00881956CA21}"/>
    <cellStyle name="20% - Akzent6 2 26" xfId="39299" xr:uid="{FE548F72-8118-4059-A8A8-1BA8F8A40361}"/>
    <cellStyle name="20% - Akzent6 2 27" xfId="4151" xr:uid="{6C5E2B78-4836-4C81-803E-3F7EA86A2821}"/>
    <cellStyle name="20% - Akzent6 2 3" xfId="4262" xr:uid="{C36B300F-65F8-4A07-8A7F-43C90D83B106}"/>
    <cellStyle name="20% - Akzent6 2 3 10" xfId="4263" xr:uid="{7FF374B1-A559-450C-9A39-C9AD7810CACB}"/>
    <cellStyle name="20% - Akzent6 2 3 10 2" xfId="4264" xr:uid="{41C21F96-C860-4F49-960F-E2EE3C05E355}"/>
    <cellStyle name="20% - Akzent6 2 3 10 2 2" xfId="23701" xr:uid="{1636C847-8D2E-4FAF-AE17-CC4D7E1E45B1}"/>
    <cellStyle name="20% - Akzent6 2 3 10 3" xfId="23700" xr:uid="{4D0D1769-A85A-4084-84F9-2CC5E11DD387}"/>
    <cellStyle name="20% - Akzent6 2 3 11" xfId="4265" xr:uid="{57DD8E8A-F055-4663-A8CD-989CD7680B0C}"/>
    <cellStyle name="20% - Akzent6 2 3 11 2" xfId="4266" xr:uid="{54A3AB83-8369-4D3F-BFBF-DCA392A452EA}"/>
    <cellStyle name="20% - Akzent6 2 3 11 2 2" xfId="23703" xr:uid="{8D228FBF-0786-462D-A8F9-1EFB48FA58D1}"/>
    <cellStyle name="20% - Akzent6 2 3 11 3" xfId="23702" xr:uid="{E9B8F742-6C2D-4152-B079-F10FCB970957}"/>
    <cellStyle name="20% - Akzent6 2 3 12" xfId="4267" xr:uid="{3C993F67-B104-49C7-AFBD-BF05DB8FF46C}"/>
    <cellStyle name="20% - Akzent6 2 3 12 2" xfId="4268" xr:uid="{C5EB218B-D374-4896-8835-623F02DA7D52}"/>
    <cellStyle name="20% - Akzent6 2 3 12 2 2" xfId="23705" xr:uid="{4CF3872E-C0A6-46E0-8424-597A0523FAF3}"/>
    <cellStyle name="20% - Akzent6 2 3 12 3" xfId="23704" xr:uid="{E80F2ACD-4AD6-4206-AC7A-A181D785DAEF}"/>
    <cellStyle name="20% - Akzent6 2 3 13" xfId="4269" xr:uid="{2B24F4B4-4399-4374-A213-EE3C0A795DB5}"/>
    <cellStyle name="20% - Akzent6 2 3 13 2" xfId="4270" xr:uid="{208EB435-68B2-4ACE-8DD0-C75502AC3714}"/>
    <cellStyle name="20% - Akzent6 2 3 13 2 2" xfId="23707" xr:uid="{87A56E80-F1FC-4DF5-9CD6-99BC58A62D28}"/>
    <cellStyle name="20% - Akzent6 2 3 13 3" xfId="23706" xr:uid="{C60E244A-10EC-41FD-A865-BD1E9AC04BBF}"/>
    <cellStyle name="20% - Akzent6 2 3 14" xfId="4271" xr:uid="{3FA0FB67-8436-413C-A136-4FE12438E2A3}"/>
    <cellStyle name="20% - Akzent6 2 3 14 2" xfId="4272" xr:uid="{42193153-4B92-4E93-9C54-4FCEDEF7D148}"/>
    <cellStyle name="20% - Akzent6 2 3 14 2 2" xfId="23709" xr:uid="{E429754A-3CEF-449B-8893-7EE53B7B64E4}"/>
    <cellStyle name="20% - Akzent6 2 3 14 3" xfId="23708" xr:uid="{A7BA0FC5-B74B-45C8-B8E8-D122B4248897}"/>
    <cellStyle name="20% - Akzent6 2 3 15" xfId="4273" xr:uid="{6CFE62A2-D4A0-487C-9517-31767AA2E4CD}"/>
    <cellStyle name="20% - Akzent6 2 3 15 2" xfId="4274" xr:uid="{9D26EA01-95C4-487A-98DF-BEBD699B931A}"/>
    <cellStyle name="20% - Akzent6 2 3 15 2 2" xfId="23711" xr:uid="{74A75195-F83C-4063-B2D2-0CD661FD2B94}"/>
    <cellStyle name="20% - Akzent6 2 3 15 3" xfId="23710" xr:uid="{31AEC6AF-4369-40BE-A2AB-5ED2BD9EC5A7}"/>
    <cellStyle name="20% - Akzent6 2 3 16" xfId="4275" xr:uid="{1CF41CD1-0B1E-4C4C-94F1-B6B79FCBBD81}"/>
    <cellStyle name="20% - Akzent6 2 3 16 2" xfId="4276" xr:uid="{5F5FDEF6-B2C6-47F1-BD7B-2007F5DAA889}"/>
    <cellStyle name="20% - Akzent6 2 3 16 2 2" xfId="23713" xr:uid="{84761BD0-1665-4E07-9726-A0B67F7F5BE5}"/>
    <cellStyle name="20% - Akzent6 2 3 16 3" xfId="23712" xr:uid="{37981110-D79D-495E-8556-8952AE9D255D}"/>
    <cellStyle name="20% - Akzent6 2 3 17" xfId="4277" xr:uid="{3F20FB1B-8772-440C-9781-A8E1E73644E6}"/>
    <cellStyle name="20% - Akzent6 2 3 17 2" xfId="4278" xr:uid="{96ECFDEF-0D28-4C20-AA2A-A5FCA00DB43E}"/>
    <cellStyle name="20% - Akzent6 2 3 17 2 2" xfId="23715" xr:uid="{BF52CEC7-8490-4802-997C-34B01457FC27}"/>
    <cellStyle name="20% - Akzent6 2 3 17 3" xfId="23714" xr:uid="{E9B1C836-B745-449B-A244-212BFC3B8581}"/>
    <cellStyle name="20% - Akzent6 2 3 18" xfId="4279" xr:uid="{044D2746-D99C-40C0-A003-C9ADC4F03581}"/>
    <cellStyle name="20% - Akzent6 2 3 18 2" xfId="4280" xr:uid="{183897D9-632C-446E-ACF7-869FC89B5080}"/>
    <cellStyle name="20% - Akzent6 2 3 18 2 2" xfId="23717" xr:uid="{9A5B9767-6D88-41BD-9FE1-7186250B94FF}"/>
    <cellStyle name="20% - Akzent6 2 3 18 3" xfId="23716" xr:uid="{9937B394-0089-441F-A526-52F834A66DEB}"/>
    <cellStyle name="20% - Akzent6 2 3 19" xfId="4281" xr:uid="{150F7B42-1228-4BFD-A3BB-4020627B0250}"/>
    <cellStyle name="20% - Akzent6 2 3 19 2" xfId="4282" xr:uid="{5D292FA2-B7C3-49A3-9827-E12F147D7A57}"/>
    <cellStyle name="20% - Akzent6 2 3 19 2 2" xfId="23719" xr:uid="{7896F7BB-B656-4188-B26E-DDB6E85CBC84}"/>
    <cellStyle name="20% - Akzent6 2 3 19 3" xfId="23718" xr:uid="{4D27103E-C9E6-458D-8EB9-BC65D10ABFD6}"/>
    <cellStyle name="20% - Akzent6 2 3 2" xfId="4283" xr:uid="{C6E190AB-D844-4F02-8B05-92100B1D2D8E}"/>
    <cellStyle name="20% - Akzent6 2 3 2 2" xfId="4284" xr:uid="{AD99EBC7-3A4E-4553-A7E6-B0322E160156}"/>
    <cellStyle name="20% - Akzent6 2 3 2 2 2" xfId="23721" xr:uid="{D0583461-1EA2-4F29-9770-67271F349280}"/>
    <cellStyle name="20% - Akzent6 2 3 2 3" xfId="23720" xr:uid="{E3B940A4-F4D0-46A6-B78A-5B283B0C0008}"/>
    <cellStyle name="20% - Akzent6 2 3 2 4" xfId="40876" xr:uid="{4FDA5AD1-B140-47D0-9D30-CFBC81F18864}"/>
    <cellStyle name="20% - Akzent6 2 3 20" xfId="4285" xr:uid="{A0EECA14-E4C7-4AB6-9381-B5FF23A9D3B1}"/>
    <cellStyle name="20% - Akzent6 2 3 20 2" xfId="4286" xr:uid="{97365300-C22D-410A-A33E-EB63479BF2F7}"/>
    <cellStyle name="20% - Akzent6 2 3 20 2 2" xfId="23723" xr:uid="{8F3AA529-4C0B-43D2-BF5E-2AE0BA446260}"/>
    <cellStyle name="20% - Akzent6 2 3 20 3" xfId="23722" xr:uid="{D999920D-CD61-42A4-93B8-9AC66A99A6B1}"/>
    <cellStyle name="20% - Akzent6 2 3 21" xfId="4287" xr:uid="{43E3A06D-5923-43E6-80C8-27BE3AF127E4}"/>
    <cellStyle name="20% - Akzent6 2 3 21 2" xfId="4288" xr:uid="{4A9F5B88-225D-46C2-BD1E-2D82804B795D}"/>
    <cellStyle name="20% - Akzent6 2 3 21 2 2" xfId="23725" xr:uid="{F6459F79-E30C-446F-B0C4-782C4D990B17}"/>
    <cellStyle name="20% - Akzent6 2 3 21 3" xfId="23724" xr:uid="{D149285F-844A-4A6E-8119-3F5476E29498}"/>
    <cellStyle name="20% - Akzent6 2 3 22" xfId="4289" xr:uid="{68B346D8-D323-48E4-AA81-FD4325F8C669}"/>
    <cellStyle name="20% - Akzent6 2 3 22 2" xfId="23726" xr:uid="{AC30E559-1BA3-463A-97CE-85A2EE8D9507}"/>
    <cellStyle name="20% - Akzent6 2 3 23" xfId="23699" xr:uid="{89EBD32E-DC36-49B6-8E27-0F15A14F947D}"/>
    <cellStyle name="20% - Akzent6 2 3 24" xfId="39930" xr:uid="{E2E97731-0628-4191-AFDB-D0A23E88D857}"/>
    <cellStyle name="20% - Akzent6 2 3 3" xfId="4290" xr:uid="{A8095F65-8612-4F7D-8776-5BA5CEF2EA61}"/>
    <cellStyle name="20% - Akzent6 2 3 3 2" xfId="4291" xr:uid="{053C69C9-68E7-4A45-BCF8-AF955140AB20}"/>
    <cellStyle name="20% - Akzent6 2 3 3 2 2" xfId="23728" xr:uid="{9AF29EC6-05BB-4068-9E2A-35DADD519F04}"/>
    <cellStyle name="20% - Akzent6 2 3 3 3" xfId="23727" xr:uid="{C19EF630-1A99-4CFB-9013-85E8F77E1035}"/>
    <cellStyle name="20% - Akzent6 2 3 3 4" xfId="41736" xr:uid="{9F4CEB3E-1377-4E86-B57B-FD997C2C171F}"/>
    <cellStyle name="20% - Akzent6 2 3 4" xfId="4292" xr:uid="{4AD3FEC0-8D6F-45BE-9582-C63BBBD00E5F}"/>
    <cellStyle name="20% - Akzent6 2 3 4 2" xfId="4293" xr:uid="{B270F039-8BBA-44E8-9E95-0352AEAF1F35}"/>
    <cellStyle name="20% - Akzent6 2 3 4 2 2" xfId="23730" xr:uid="{A5185345-47F5-48F5-87B9-B6A6D2CD977A}"/>
    <cellStyle name="20% - Akzent6 2 3 4 3" xfId="23729" xr:uid="{A244A767-A22D-44DB-8186-F85674B44434}"/>
    <cellStyle name="20% - Akzent6 2 3 5" xfId="4294" xr:uid="{C75DA2D9-6D6E-45F0-9584-8626539E1173}"/>
    <cellStyle name="20% - Akzent6 2 3 5 2" xfId="4295" xr:uid="{CC67011C-50AB-48F8-996D-F8E296BB1F9A}"/>
    <cellStyle name="20% - Akzent6 2 3 5 2 2" xfId="23732" xr:uid="{352602BF-E5B9-46CD-8467-27A5A7BF34BE}"/>
    <cellStyle name="20% - Akzent6 2 3 5 3" xfId="23731" xr:uid="{66D71C91-BC9B-4DCF-848F-F76D3F680BF5}"/>
    <cellStyle name="20% - Akzent6 2 3 6" xfId="4296" xr:uid="{50B507F0-C1A9-4FE6-8D70-6E221F1CEE66}"/>
    <cellStyle name="20% - Akzent6 2 3 6 2" xfId="4297" xr:uid="{7BDB8EB1-E899-4DFF-BFB0-B11E7A610E29}"/>
    <cellStyle name="20% - Akzent6 2 3 6 2 2" xfId="23734" xr:uid="{B49E0848-0AF1-4CF0-8693-305754548E33}"/>
    <cellStyle name="20% - Akzent6 2 3 6 3" xfId="23733" xr:uid="{DF41101D-C532-4E12-9463-14C36949170E}"/>
    <cellStyle name="20% - Akzent6 2 3 7" xfId="4298" xr:uid="{BB9CB6DC-6D3A-4463-8953-A01E639BCFA7}"/>
    <cellStyle name="20% - Akzent6 2 3 7 2" xfId="4299" xr:uid="{C9922285-9D21-4B69-A7A6-70D0ADC0AE32}"/>
    <cellStyle name="20% - Akzent6 2 3 7 2 2" xfId="23736" xr:uid="{2276A408-99D3-41E3-936F-501A12A921EC}"/>
    <cellStyle name="20% - Akzent6 2 3 7 3" xfId="23735" xr:uid="{E290B2A6-A0CB-48F0-AABF-736847664A95}"/>
    <cellStyle name="20% - Akzent6 2 3 8" xfId="4300" xr:uid="{92FDBA75-B988-42C6-805C-C2F117ED0FDD}"/>
    <cellStyle name="20% - Akzent6 2 3 8 2" xfId="4301" xr:uid="{74EE9389-AB25-45C0-94E5-88FD5E01A587}"/>
    <cellStyle name="20% - Akzent6 2 3 8 2 2" xfId="23738" xr:uid="{41AD6745-D59F-4568-942C-291E533061F4}"/>
    <cellStyle name="20% - Akzent6 2 3 8 3" xfId="23737" xr:uid="{463A5BB8-6037-42E7-B736-4E6412645AD4}"/>
    <cellStyle name="20% - Akzent6 2 3 9" xfId="4302" xr:uid="{F862DECE-CD47-4D9A-A33A-FD3F0DD68676}"/>
    <cellStyle name="20% - Akzent6 2 3 9 2" xfId="4303" xr:uid="{519875BC-C704-4DD0-B902-68956FAE8083}"/>
    <cellStyle name="20% - Akzent6 2 3 9 2 2" xfId="23740" xr:uid="{606C3CCF-30FA-4771-8DC6-0A4206CEC51E}"/>
    <cellStyle name="20% - Akzent6 2 3 9 3" xfId="23739" xr:uid="{11CCF26A-86FE-4CDB-B284-E059DFF8CA2F}"/>
    <cellStyle name="20% - Akzent6 2 4" xfId="4304" xr:uid="{9251A81C-C6BE-4ED6-AC85-3CE19DDC910E}"/>
    <cellStyle name="20% - Akzent6 2 4 2" xfId="4305" xr:uid="{A74C93C1-B50E-4A01-845D-B2DC1D698963}"/>
    <cellStyle name="20% - Akzent6 2 4 2 2" xfId="4306" xr:uid="{99737F8D-348D-4F04-8131-68F7EE1930BD}"/>
    <cellStyle name="20% - Akzent6 2 4 2 2 2" xfId="23743" xr:uid="{B54F46B4-6ACD-40D2-B6BF-58C25129A838}"/>
    <cellStyle name="20% - Akzent6 2 4 2 3" xfId="4307" xr:uid="{0E6157DB-944E-4B13-91FC-4A8CC9013073}"/>
    <cellStyle name="20% - Akzent6 2 4 2 3 2" xfId="23744" xr:uid="{C2CAFA9A-1F62-4CEC-B761-60270A463F00}"/>
    <cellStyle name="20% - Akzent6 2 4 2 4" xfId="23742" xr:uid="{39149EDE-1F5E-4EA1-83DE-809BD2818255}"/>
    <cellStyle name="20% - Akzent6 2 4 3" xfId="4308" xr:uid="{A0C24F71-6ACA-4F97-872D-0E238FBF4D75}"/>
    <cellStyle name="20% - Akzent6 2 4 3 2" xfId="23745" xr:uid="{B9006ACD-8E19-4CFD-9DCA-5699A993BC7E}"/>
    <cellStyle name="20% - Akzent6 2 4 4" xfId="4309" xr:uid="{0053C842-4A60-4157-B090-25E51FF7CA7B}"/>
    <cellStyle name="20% - Akzent6 2 4 4 2" xfId="23746" xr:uid="{C488346B-A82F-49FA-8509-DF598E3C6D06}"/>
    <cellStyle name="20% - Akzent6 2 4 5" xfId="23741" xr:uid="{24A8AA3E-D419-4B86-AEA0-2ABC459B2BA9}"/>
    <cellStyle name="20% - Akzent6 2 4 6" xfId="40450" xr:uid="{06EBAAED-839A-4498-A919-8FCE21EC6790}"/>
    <cellStyle name="20% - Akzent6 2 5" xfId="4310" xr:uid="{910A9801-4291-4FDC-ACB8-11555B34E945}"/>
    <cellStyle name="20% - Akzent6 2 5 2" xfId="23747" xr:uid="{2A92729F-EF88-4F65-BE7C-3B80229FF0F8}"/>
    <cellStyle name="20% - Akzent6 2 5 3" xfId="41310" xr:uid="{7DD840C7-05B6-4CD7-849B-C2033EA449E4}"/>
    <cellStyle name="20% - Akzent6 2 6" xfId="4311" xr:uid="{A5DD88EB-29FF-4C03-8D18-FAEAB21B59EB}"/>
    <cellStyle name="20% - Akzent6 2 6 2" xfId="4312" xr:uid="{2FA04DA7-0FAF-4653-9253-BC7DFB074404}"/>
    <cellStyle name="20% - Akzent6 2 6 2 2" xfId="4313" xr:uid="{79CDC495-3D23-4E03-B8FC-557093B6E35B}"/>
    <cellStyle name="20% - Akzent6 2 6 2 2 2" xfId="23750" xr:uid="{2E2E46F8-C256-4946-9690-0549EC13563D}"/>
    <cellStyle name="20% - Akzent6 2 6 2 3" xfId="23749" xr:uid="{5DF60BC0-9D56-4578-895A-F14FA23CBB31}"/>
    <cellStyle name="20% - Akzent6 2 6 3" xfId="23748" xr:uid="{75A8EB51-7254-415D-BA70-3A879A0A2DAF}"/>
    <cellStyle name="20% - Akzent6 2 7" xfId="4314" xr:uid="{3FFC68C4-2E96-4960-8CC0-C64DBE0E5909}"/>
    <cellStyle name="20% - Akzent6 2 7 2" xfId="4315" xr:uid="{2F3F3D96-A789-4D77-A563-D12FF00A544B}"/>
    <cellStyle name="20% - Akzent6 2 7 2 2" xfId="23752" xr:uid="{2C438695-911A-4581-9AB4-A33CD1B39FA9}"/>
    <cellStyle name="20% - Akzent6 2 7 3" xfId="23751" xr:uid="{545DB147-2F67-48AD-89B2-5B461FF2A189}"/>
    <cellStyle name="20% - Akzent6 2 8" xfId="4316" xr:uid="{1A024778-433C-4388-A455-C650FEC98773}"/>
    <cellStyle name="20% - Akzent6 2 8 2" xfId="4317" xr:uid="{4F55FC6B-C78D-478A-A74F-BD101083C68A}"/>
    <cellStyle name="20% - Akzent6 2 8 2 2" xfId="4318" xr:uid="{EB6F275F-EE09-4BA6-BC92-B7E2E56270E5}"/>
    <cellStyle name="20% - Akzent6 2 8 2 2 2" xfId="23755" xr:uid="{F08D3B99-C57D-4D17-836C-8549B8829230}"/>
    <cellStyle name="20% - Akzent6 2 8 2 3" xfId="23754" xr:uid="{184464B4-7FDB-41C7-9B5F-ABC30DE506A2}"/>
    <cellStyle name="20% - Akzent6 2 8 3" xfId="23753" xr:uid="{20EB09BE-FE28-4A4C-89B7-745002CD6FAA}"/>
    <cellStyle name="20% - Akzent6 2 9" xfId="4319" xr:uid="{EBED13A2-AB3C-449E-8F9C-5C005F63081A}"/>
    <cellStyle name="20% - Akzent6 2 9 2" xfId="4320" xr:uid="{3AF75B45-C6BF-4F70-A3BB-43B60769B569}"/>
    <cellStyle name="20% - Akzent6 2 9 2 2" xfId="23757" xr:uid="{73E07420-4EF2-400B-AEB8-082A13D4135A}"/>
    <cellStyle name="20% - Akzent6 2 9 3" xfId="23756" xr:uid="{2927CB3A-8741-4438-9EFD-6CD0C617647F}"/>
    <cellStyle name="20% - Akzent6 20" xfId="4321" xr:uid="{24C93ADD-BE43-4F21-8EC8-189760626E20}"/>
    <cellStyle name="20% - Akzent6 20 2" xfId="4322" xr:uid="{B28C2127-EFB7-40F5-923F-0A8E7DAA5485}"/>
    <cellStyle name="20% - Akzent6 20 2 2" xfId="23759" xr:uid="{6B99B556-80CE-4C48-8318-B2E399F09778}"/>
    <cellStyle name="20% - Akzent6 20 3" xfId="4323" xr:uid="{40427665-37D7-416D-B2A7-38F3CDECAD81}"/>
    <cellStyle name="20% - Akzent6 20 3 2" xfId="23760" xr:uid="{1128A143-5892-46AD-AB3F-39347F6B59B4}"/>
    <cellStyle name="20% - Akzent6 20 4" xfId="23758" xr:uid="{380662AC-49D6-4E95-8CCA-7726B1C294A1}"/>
    <cellStyle name="20% - Akzent6 21" xfId="4324" xr:uid="{5199C343-21A2-4292-8B92-1E48A28D5788}"/>
    <cellStyle name="20% - Akzent6 21 2" xfId="4325" xr:uid="{5DFF00DD-E159-4988-8853-42C217BB2E92}"/>
    <cellStyle name="20% - Akzent6 21 2 2" xfId="23762" xr:uid="{3BCDB23B-A7A4-4EEC-A81F-BD40206B7FA7}"/>
    <cellStyle name="20% - Akzent6 21 3" xfId="4326" xr:uid="{E51B4B99-1C19-491C-9ED8-ADF2F1E24DDF}"/>
    <cellStyle name="20% - Akzent6 21 3 2" xfId="23763" xr:uid="{B7395742-3D7B-437D-81DE-4605585E5F6E}"/>
    <cellStyle name="20% - Akzent6 21 4" xfId="23761" xr:uid="{4C7C48A3-EAEB-4D88-B438-CA8E1760E5CA}"/>
    <cellStyle name="20% - Akzent6 22" xfId="4327" xr:uid="{16EAFF9D-F6CE-4E6C-BB7E-FD1A8DE82068}"/>
    <cellStyle name="20% - Akzent6 22 2" xfId="4328" xr:uid="{834EE494-C5FB-4C28-8179-98633783EAA4}"/>
    <cellStyle name="20% - Akzent6 22 2 2" xfId="23765" xr:uid="{D62F7E13-3C75-49BD-B20C-6FBDB9CC20E0}"/>
    <cellStyle name="20% - Akzent6 22 3" xfId="4329" xr:uid="{149FFF20-B3A0-4485-96B4-9EE34DCBCFA4}"/>
    <cellStyle name="20% - Akzent6 22 3 2" xfId="23766" xr:uid="{523C9CFD-F5BC-445F-A0E4-A2ABCD54C1C4}"/>
    <cellStyle name="20% - Akzent6 22 4" xfId="23764" xr:uid="{ED3999B2-1E97-4FEE-8E2F-794B2F6C83E8}"/>
    <cellStyle name="20% - Akzent6 23" xfId="4330" xr:uid="{D807F6A6-8B2E-441F-9835-D1E4B9B7CE72}"/>
    <cellStyle name="20% - Akzent6 23 2" xfId="4331" xr:uid="{FC86AB7F-B4B9-4806-ADCF-4E00F24779D1}"/>
    <cellStyle name="20% - Akzent6 23 2 2" xfId="23768" xr:uid="{3D275946-ECDD-4754-BDE2-C5B8B70F0E19}"/>
    <cellStyle name="20% - Akzent6 23 3" xfId="4332" xr:uid="{0AE831CA-F908-4FA8-92A6-4742F3F6F596}"/>
    <cellStyle name="20% - Akzent6 23 3 2" xfId="23769" xr:uid="{3CE405F7-01BD-4BD0-91D8-E3AAA3B57DC5}"/>
    <cellStyle name="20% - Akzent6 23 4" xfId="23767" xr:uid="{305882B1-C207-4549-8A8A-94731320FE6D}"/>
    <cellStyle name="20% - Akzent6 24" xfId="4333" xr:uid="{622F2901-B0C5-464A-8E29-9C2771E40EDD}"/>
    <cellStyle name="20% - Akzent6 24 2" xfId="4334" xr:uid="{7CC81E6B-67E8-40A0-BB82-043C15210DC6}"/>
    <cellStyle name="20% - Akzent6 24 2 2" xfId="23771" xr:uid="{BFC49B63-C62F-4292-8D5D-8C8963567820}"/>
    <cellStyle name="20% - Akzent6 24 3" xfId="4335" xr:uid="{EEB14C55-AC32-49C9-B931-399A0857EDDE}"/>
    <cellStyle name="20% - Akzent6 24 3 2" xfId="23772" xr:uid="{0999AB59-7238-4012-93F4-C9818DC5C610}"/>
    <cellStyle name="20% - Akzent6 24 4" xfId="23770" xr:uid="{DEB22CFD-CF1C-43F9-8669-A346A536D5E5}"/>
    <cellStyle name="20% - Akzent6 25" xfId="4336" xr:uid="{8B5F1DDF-D1AA-4DF8-A7FE-3F9730442DCF}"/>
    <cellStyle name="20% - Akzent6 25 2" xfId="4337" xr:uid="{011FA65B-AA9B-4C9C-B17F-E0ABC0B4AA52}"/>
    <cellStyle name="20% - Akzent6 25 2 2" xfId="23774" xr:uid="{F8427AC8-BB37-4C59-B447-ED6CE2E1DD78}"/>
    <cellStyle name="20% - Akzent6 25 3" xfId="4338" xr:uid="{1F2CB975-DEAC-4A66-8E94-F88D5A89C09B}"/>
    <cellStyle name="20% - Akzent6 25 3 2" xfId="23775" xr:uid="{019CA6E7-92F0-43DE-B129-24F7B17150D0}"/>
    <cellStyle name="20% - Akzent6 25 4" xfId="23773" xr:uid="{ECEA37A2-9F21-4510-AAB2-E0FD0C8176AC}"/>
    <cellStyle name="20% - Akzent6 26" xfId="4339" xr:uid="{9F1CE086-DB3F-4D81-B503-A6E0C35262FB}"/>
    <cellStyle name="20% - Akzent6 26 2" xfId="4340" xr:uid="{84AD3AC4-93EF-42FD-9C65-BB4439F3E320}"/>
    <cellStyle name="20% - Akzent6 26 2 2" xfId="23777" xr:uid="{EDD4557A-4374-4A90-9CC8-5AB362C94563}"/>
    <cellStyle name="20% - Akzent6 26 3" xfId="4341" xr:uid="{7DAE3232-3230-4C05-BC54-BB62CBD916DC}"/>
    <cellStyle name="20% - Akzent6 26 3 2" xfId="23778" xr:uid="{C6D93C4B-53D9-4457-B6E3-50257FE0C4FE}"/>
    <cellStyle name="20% - Akzent6 26 4" xfId="23776" xr:uid="{9E97A3A5-4572-4F24-8011-3D41189DF2B5}"/>
    <cellStyle name="20% - Akzent6 27" xfId="4342" xr:uid="{CA64F485-32A4-4459-B204-22E2C1435A2A}"/>
    <cellStyle name="20% - Akzent6 27 2" xfId="4343" xr:uid="{F53FDEC6-A301-4CDA-B3AF-9EEBA575C569}"/>
    <cellStyle name="20% - Akzent6 27 2 2" xfId="23780" xr:uid="{BB72F932-F654-480E-86EC-47596D561131}"/>
    <cellStyle name="20% - Akzent6 27 3" xfId="4344" xr:uid="{4875245B-7D4F-4587-99D7-432F39600766}"/>
    <cellStyle name="20% - Akzent6 27 3 2" xfId="23781" xr:uid="{9AF9637D-F20F-4F6A-A638-A955BE482C01}"/>
    <cellStyle name="20% - Akzent6 27 4" xfId="23779" xr:uid="{5CC96AC2-20E1-4B24-BE5E-99C660AD7A58}"/>
    <cellStyle name="20% - Akzent6 28" xfId="4345" xr:uid="{CA301388-8617-446E-81AE-AD477CACFA46}"/>
    <cellStyle name="20% - Akzent6 28 2" xfId="4346" xr:uid="{59B7850B-2DD4-4CCB-9F73-F70F314AB9C7}"/>
    <cellStyle name="20% - Akzent6 28 2 2" xfId="23783" xr:uid="{E4BD199A-3EA9-4226-BEFE-E31A68C82AF3}"/>
    <cellStyle name="20% - Akzent6 28 3" xfId="4347" xr:uid="{7F617BCE-C8BC-4708-9115-BC4F535964B5}"/>
    <cellStyle name="20% - Akzent6 28 3 2" xfId="23784" xr:uid="{374988C7-9FAA-40AA-A050-B0FF9D7044FA}"/>
    <cellStyle name="20% - Akzent6 28 4" xfId="23782" xr:uid="{7123382E-5D78-43EF-8EB2-DD2326831EE3}"/>
    <cellStyle name="20% - Akzent6 29" xfId="4348" xr:uid="{DCB269BA-AAD4-4701-B803-D3121FBE94F4}"/>
    <cellStyle name="20% - Akzent6 29 2" xfId="4349" xr:uid="{31D74148-C013-45A5-AD28-5873A475C073}"/>
    <cellStyle name="20% - Akzent6 29 2 2" xfId="23786" xr:uid="{555EA23F-37F3-429B-ABC4-0828D35DF268}"/>
    <cellStyle name="20% - Akzent6 29 3" xfId="4350" xr:uid="{883B38D8-ADB2-4695-8590-F7C8E8CFAE2F}"/>
    <cellStyle name="20% - Akzent6 29 3 2" xfId="23787" xr:uid="{93E7EFF9-46C0-427A-9BA8-EEE5AE3B2C95}"/>
    <cellStyle name="20% - Akzent6 29 4" xfId="23785" xr:uid="{53E53A3F-AF51-49C1-93E3-EB5C61232D41}"/>
    <cellStyle name="20% - Akzent6 3" xfId="123" xr:uid="{BDC2EF8C-1A76-4AD7-AAB9-E9934214C7D2}"/>
    <cellStyle name="20% - Akzent6 3 10" xfId="4352" xr:uid="{D133DD4B-7B67-4113-B88A-07FC44C9FC70}"/>
    <cellStyle name="20% - Akzent6 3 10 2" xfId="4353" xr:uid="{7B00133C-4628-44C6-A087-70C43436BE7F}"/>
    <cellStyle name="20% - Akzent6 3 10 2 2" xfId="23790" xr:uid="{06A00FDB-21AF-4AA1-8B73-2B558B158B5B}"/>
    <cellStyle name="20% - Akzent6 3 10 3" xfId="23789" xr:uid="{6F3F7650-11B1-4663-8FFA-EDF08BC8F936}"/>
    <cellStyle name="20% - Akzent6 3 11" xfId="4354" xr:uid="{03B1D85D-D29B-4F68-BFBB-C2B2F8D5BE1F}"/>
    <cellStyle name="20% - Akzent6 3 11 2" xfId="4355" xr:uid="{BA7356C6-61EA-438C-859D-334EFE66DEB8}"/>
    <cellStyle name="20% - Akzent6 3 11 2 2" xfId="23792" xr:uid="{6A485A79-32D3-4AAA-8447-0ACDF99B2C1B}"/>
    <cellStyle name="20% - Akzent6 3 11 3" xfId="23791" xr:uid="{4CEA45DA-ABE1-444C-B08E-A127717E0EBE}"/>
    <cellStyle name="20% - Akzent6 3 12" xfId="4356" xr:uid="{4B1B68A2-BFC5-411A-BFAB-259D583EF33C}"/>
    <cellStyle name="20% - Akzent6 3 12 2" xfId="4357" xr:uid="{F82D7C7B-D1D4-48B8-8DE3-ED18B7D0F10D}"/>
    <cellStyle name="20% - Akzent6 3 12 2 2" xfId="23794" xr:uid="{F55C8E7D-F2C2-4145-9AE6-A154E0983A3F}"/>
    <cellStyle name="20% - Akzent6 3 12 3" xfId="23793" xr:uid="{4410BE07-CDEE-4790-8976-2AAF651FA130}"/>
    <cellStyle name="20% - Akzent6 3 13" xfId="4358" xr:uid="{3AB45FD8-D35D-4282-9899-430DA4147C3D}"/>
    <cellStyle name="20% - Akzent6 3 13 2" xfId="4359" xr:uid="{936E8AB1-4726-4FEA-9DD7-613D9A15AFCD}"/>
    <cellStyle name="20% - Akzent6 3 13 2 2" xfId="23796" xr:uid="{97A2920F-6C26-43D3-9AEF-FF9770845BD5}"/>
    <cellStyle name="20% - Akzent6 3 13 3" xfId="23795" xr:uid="{D86FF849-A2E6-4DCB-BE00-B1FE83E473D2}"/>
    <cellStyle name="20% - Akzent6 3 14" xfId="4360" xr:uid="{7D4E8AAF-29F8-4AA0-B5DA-0917CCD05175}"/>
    <cellStyle name="20% - Akzent6 3 14 2" xfId="4361" xr:uid="{4ABC6AA8-C1C4-4559-9843-40008F7DE10A}"/>
    <cellStyle name="20% - Akzent6 3 14 2 2" xfId="23798" xr:uid="{7C4B1E76-3C1B-4DE0-A1F9-E72E9B5C764F}"/>
    <cellStyle name="20% - Akzent6 3 14 3" xfId="23797" xr:uid="{F3AA86C9-C156-4DAF-9A87-4B9045151B7B}"/>
    <cellStyle name="20% - Akzent6 3 15" xfId="4362" xr:uid="{D84945BA-7CC2-4CC8-95A4-F3FC28F223AD}"/>
    <cellStyle name="20% - Akzent6 3 15 2" xfId="4363" xr:uid="{91D29381-7716-4C1A-BC8C-A75614884D3A}"/>
    <cellStyle name="20% - Akzent6 3 15 2 2" xfId="23800" xr:uid="{39C654BB-F21B-4A29-B346-CC11531533B2}"/>
    <cellStyle name="20% - Akzent6 3 15 3" xfId="23799" xr:uid="{07150793-2206-4BEC-AF53-9916145C9C72}"/>
    <cellStyle name="20% - Akzent6 3 16" xfId="4364" xr:uid="{26E1D34D-1F27-457C-9EE2-AB4D40CAE435}"/>
    <cellStyle name="20% - Akzent6 3 16 2" xfId="4365" xr:uid="{FA0BF86D-52F5-47DE-A0F1-92A8F2272CFD}"/>
    <cellStyle name="20% - Akzent6 3 16 2 2" xfId="23802" xr:uid="{6C4F9171-6725-41BA-89C9-C99A0916FB5C}"/>
    <cellStyle name="20% - Akzent6 3 16 3" xfId="23801" xr:uid="{368AC496-A669-40CA-BB51-DCAEAD0C3521}"/>
    <cellStyle name="20% - Akzent6 3 17" xfId="4366" xr:uid="{972DFBB7-787D-43CE-9182-7E35B9731115}"/>
    <cellStyle name="20% - Akzent6 3 17 2" xfId="4367" xr:uid="{156399CB-EA86-4E44-9D26-08CE3E5AA5B3}"/>
    <cellStyle name="20% - Akzent6 3 17 2 2" xfId="23804" xr:uid="{71EC2509-1D7E-4D11-825C-A8358832524B}"/>
    <cellStyle name="20% - Akzent6 3 17 3" xfId="23803" xr:uid="{86778F7C-9F79-4D71-BE3E-ACAE57806A36}"/>
    <cellStyle name="20% - Akzent6 3 18" xfId="4368" xr:uid="{6DA023E4-16AF-4B95-B154-99226C33B018}"/>
    <cellStyle name="20% - Akzent6 3 18 2" xfId="4369" xr:uid="{44A326A0-AED2-40B6-BC4C-082D0095D201}"/>
    <cellStyle name="20% - Akzent6 3 18 2 2" xfId="23806" xr:uid="{BE47A9C5-B4CA-46C4-A0BB-6349B5BE9560}"/>
    <cellStyle name="20% - Akzent6 3 18 3" xfId="23805" xr:uid="{AE81E1B8-7936-4CE7-BA94-5AC89C762D90}"/>
    <cellStyle name="20% - Akzent6 3 19" xfId="4370" xr:uid="{8828D202-39B5-4EED-865D-724F41316EE9}"/>
    <cellStyle name="20% - Akzent6 3 19 2" xfId="4371" xr:uid="{62A95516-7204-49FA-930A-7DB751ECFB0A}"/>
    <cellStyle name="20% - Akzent6 3 19 2 2" xfId="23808" xr:uid="{D6743E07-A0F5-4A32-918C-D6353333A2B4}"/>
    <cellStyle name="20% - Akzent6 3 19 3" xfId="23807" xr:uid="{93E4905E-CBEA-45D2-87BF-161C5C56C945}"/>
    <cellStyle name="20% - Akzent6 3 2" xfId="4372" xr:uid="{17FFDF76-4668-4F07-8FAA-2E84BEF0D7DC}"/>
    <cellStyle name="20% - Akzent6 3 2 2" xfId="4373" xr:uid="{BBFADBAF-EE7C-41F6-9D01-688F6F2514F0}"/>
    <cellStyle name="20% - Akzent6 3 2 2 2" xfId="4374" xr:uid="{06402E53-EABE-4A15-A065-DB2C0C0527D7}"/>
    <cellStyle name="20% - Akzent6 3 2 2 2 2" xfId="23811" xr:uid="{AFDD7495-4020-4A27-B933-4FFA00AF3AEB}"/>
    <cellStyle name="20% - Akzent6 3 2 2 3" xfId="4375" xr:uid="{19DEE147-AEBF-48D7-B1F6-1D3B2EA32994}"/>
    <cellStyle name="20% - Akzent6 3 2 2 3 2" xfId="23812" xr:uid="{B7D3565D-BE11-4CA2-A71C-1FA28D5763DF}"/>
    <cellStyle name="20% - Akzent6 3 2 2 4" xfId="23810" xr:uid="{9D3679C5-A62A-4FCD-83E0-B4D2F404C668}"/>
    <cellStyle name="20% - Akzent6 3 2 2 5" xfId="40879" xr:uid="{FE888B4B-FCE5-4EFB-8E11-05C849440A0B}"/>
    <cellStyle name="20% - Akzent6 3 2 3" xfId="4376" xr:uid="{120675FF-0C2E-4A04-BE51-A728C5A32A89}"/>
    <cellStyle name="20% - Akzent6 3 2 3 2" xfId="23813" xr:uid="{281E8AE2-F7A8-4E51-BB6D-9059AA376A57}"/>
    <cellStyle name="20% - Akzent6 3 2 3 3" xfId="41739" xr:uid="{BDD001D7-F662-47B6-8380-B68C160ECF0B}"/>
    <cellStyle name="20% - Akzent6 3 2 4" xfId="4377" xr:uid="{1776FD47-A87E-4311-ABC6-B1C872F45DF0}"/>
    <cellStyle name="20% - Akzent6 3 2 4 2" xfId="23814" xr:uid="{98D5B47F-467D-4FDB-BA2F-BC37EE6B7942}"/>
    <cellStyle name="20% - Akzent6 3 2 5" xfId="23809" xr:uid="{2E47D391-F53A-4F18-91AE-DC7CFDD166D0}"/>
    <cellStyle name="20% - Akzent6 3 2 6" xfId="39933" xr:uid="{BE27EAF6-9383-4E3A-8436-8786F1403E3B}"/>
    <cellStyle name="20% - Akzent6 3 20" xfId="4378" xr:uid="{C7B6A2EB-9957-429B-A009-9D58F07D1CB4}"/>
    <cellStyle name="20% - Akzent6 3 20 2" xfId="4379" xr:uid="{D669CBAD-EF3E-47C3-BFF6-E077775B0F97}"/>
    <cellStyle name="20% - Akzent6 3 20 2 2" xfId="23816" xr:uid="{3585E6C5-B7C7-4531-B3B7-6665C748C8EF}"/>
    <cellStyle name="20% - Akzent6 3 20 3" xfId="23815" xr:uid="{869F7811-8165-4439-84CC-6D8A4916C631}"/>
    <cellStyle name="20% - Akzent6 3 21" xfId="4380" xr:uid="{C77E5047-C2FD-4FEB-8205-B2D5F40E2678}"/>
    <cellStyle name="20% - Akzent6 3 21 2" xfId="4381" xr:uid="{C4B36489-0B09-4FD0-8CF0-AD20CDF9E6D4}"/>
    <cellStyle name="20% - Akzent6 3 21 2 2" xfId="23818" xr:uid="{C4EF7F35-268B-41BF-8670-B496E2140F87}"/>
    <cellStyle name="20% - Akzent6 3 21 3" xfId="23817" xr:uid="{C1C0A4E3-E2F1-46E9-9D81-5173BD68D0D7}"/>
    <cellStyle name="20% - Akzent6 3 22" xfId="4382" xr:uid="{2EF0E165-A2D6-4976-9C0D-98B58A32FF4C}"/>
    <cellStyle name="20% - Akzent6 3 22 2" xfId="23819" xr:uid="{D845EFDE-2B7C-4B1D-BA50-5346C5B4AE63}"/>
    <cellStyle name="20% - Akzent6 3 23" xfId="4383" xr:uid="{2AFED7C7-15FF-44BD-980C-97D1A8E041D3}"/>
    <cellStyle name="20% - Akzent6 3 23 2" xfId="23820" xr:uid="{E0A1FEA0-9293-477E-8F8D-F7E6638B9B90}"/>
    <cellStyle name="20% - Akzent6 3 24" xfId="23788" xr:uid="{91585748-758A-4F36-92EE-8551EE6D3504}"/>
    <cellStyle name="20% - Akzent6 3 25" xfId="39301" xr:uid="{4E4BC67F-EA95-46EF-9812-E73D33206D00}"/>
    <cellStyle name="20% - Akzent6 3 26" xfId="4351" xr:uid="{00A9B586-76D2-49FC-A886-FFE4DEE0EA1F}"/>
    <cellStyle name="20% - Akzent6 3 3" xfId="4384" xr:uid="{CFB5CFD4-9542-4292-81F5-C0085083D212}"/>
    <cellStyle name="20% - Akzent6 3 3 2" xfId="23821" xr:uid="{927FF9F7-C760-4D27-9DB9-A90886658B4B}"/>
    <cellStyle name="20% - Akzent6 3 3 2 2" xfId="40878" xr:uid="{7551C5B0-5283-4638-90E5-ED2370216615}"/>
    <cellStyle name="20% - Akzent6 3 3 3" xfId="41738" xr:uid="{B60C667E-EB8D-46F5-B304-20218EB3F848}"/>
    <cellStyle name="20% - Akzent6 3 3 4" xfId="39932" xr:uid="{91C5709A-D285-45CE-8A2A-0E3CE5AE2A5F}"/>
    <cellStyle name="20% - Akzent6 3 4" xfId="4385" xr:uid="{1E63181F-FE1D-483C-9A3C-3C6946E52711}"/>
    <cellStyle name="20% - Akzent6 3 4 2" xfId="23822" xr:uid="{E3606584-115F-47A0-B122-B1ACA9C1A065}"/>
    <cellStyle name="20% - Akzent6 3 4 3" xfId="40452" xr:uid="{6066C725-1A30-4FF6-806E-30215B2A1160}"/>
    <cellStyle name="20% - Akzent6 3 5" xfId="4386" xr:uid="{EF8CB72E-FFDA-4E07-84EE-359DDC1A8408}"/>
    <cellStyle name="20% - Akzent6 3 5 2" xfId="4387" xr:uid="{7716CDD8-5320-4A91-82D2-DB742B0E94BE}"/>
    <cellStyle name="20% - Akzent6 3 5 2 2" xfId="4388" xr:uid="{2DD15111-288A-4A79-9DC9-CD0ACFAAD671}"/>
    <cellStyle name="20% - Akzent6 3 5 2 2 2" xfId="23825" xr:uid="{BFA66FE5-7A92-489B-B0BD-887B1E799262}"/>
    <cellStyle name="20% - Akzent6 3 5 2 3" xfId="23824" xr:uid="{93309578-5696-412E-B20E-E8B28F2E2155}"/>
    <cellStyle name="20% - Akzent6 3 5 3" xfId="23823" xr:uid="{FD589B28-278C-45C0-B591-A2B3146CAE64}"/>
    <cellStyle name="20% - Akzent6 3 5 4" xfId="41312" xr:uid="{B2FEF502-1E86-4FCC-8483-A0A7704CA84D}"/>
    <cellStyle name="20% - Akzent6 3 6" xfId="4389" xr:uid="{7840CBDF-CC16-4906-871C-D674DC2C6D5A}"/>
    <cellStyle name="20% - Akzent6 3 6 2" xfId="4390" xr:uid="{B7561C02-742A-47EA-BD79-EDE00DA89086}"/>
    <cellStyle name="20% - Akzent6 3 6 2 2" xfId="23827" xr:uid="{861652FE-6B5C-4A59-834D-9082FD6CDDEA}"/>
    <cellStyle name="20% - Akzent6 3 6 3" xfId="23826" xr:uid="{BD172D08-542E-4782-B0E3-A395743CE77F}"/>
    <cellStyle name="20% - Akzent6 3 7" xfId="4391" xr:uid="{B36DFD21-6A0D-48CF-9F9D-AF0B167A217E}"/>
    <cellStyle name="20% - Akzent6 3 7 2" xfId="4392" xr:uid="{664BF7D5-C63F-417C-8BEE-F2ED7C29B832}"/>
    <cellStyle name="20% - Akzent6 3 7 2 2" xfId="23829" xr:uid="{59CEDCCC-5702-4E41-A9F8-25358FC6918C}"/>
    <cellStyle name="20% - Akzent6 3 7 3" xfId="23828" xr:uid="{0B1F1FFA-202D-4E98-A3DF-9069C9F472C2}"/>
    <cellStyle name="20% - Akzent6 3 8" xfId="4393" xr:uid="{4E9F2322-8C42-4EAB-BDCE-E0B684C7B668}"/>
    <cellStyle name="20% - Akzent6 3 8 2" xfId="4394" xr:uid="{95CA73F5-4FE1-4799-A240-982F9C4C4A80}"/>
    <cellStyle name="20% - Akzent6 3 8 2 2" xfId="23831" xr:uid="{D6828974-FF09-4AF4-ACFF-1CC3FC2691F0}"/>
    <cellStyle name="20% - Akzent6 3 8 3" xfId="23830" xr:uid="{9D8365B0-84D3-4B21-921E-1AF4CA58DF34}"/>
    <cellStyle name="20% - Akzent6 3 9" xfId="4395" xr:uid="{A6DE5485-3FE6-4AC4-8FC0-DF6783BD82C3}"/>
    <cellStyle name="20% - Akzent6 3 9 2" xfId="4396" xr:uid="{3ACE7EB8-1CC1-4C69-92AA-038E8BA09B61}"/>
    <cellStyle name="20% - Akzent6 3 9 2 2" xfId="23833" xr:uid="{5352C705-D9C9-4757-B1CC-DA26CBE1866B}"/>
    <cellStyle name="20% - Akzent6 3 9 3" xfId="23832" xr:uid="{EC5673A2-A9DA-4764-8F5C-14E210550A6C}"/>
    <cellStyle name="20% - Akzent6 30" xfId="4397" xr:uid="{3D71BC0E-D02A-4968-B7D4-781E2DA54720}"/>
    <cellStyle name="20% - Akzent6 30 2" xfId="4398" xr:uid="{DA4A50B2-57B4-4AB2-B797-05A6AE288EE7}"/>
    <cellStyle name="20% - Akzent6 30 2 2" xfId="23835" xr:uid="{5D28E505-088C-41E0-A3F5-EBC185CE501D}"/>
    <cellStyle name="20% - Akzent6 30 3" xfId="4399" xr:uid="{E887CA5A-7B98-49FF-A8B0-B9D85968620D}"/>
    <cellStyle name="20% - Akzent6 30 3 2" xfId="23836" xr:uid="{56C37AA2-2E61-496E-A73B-2CDF3D6B0B17}"/>
    <cellStyle name="20% - Akzent6 30 4" xfId="23834" xr:uid="{9E5F913E-9032-49E5-BCD2-F9DBEE11DDA0}"/>
    <cellStyle name="20% - Akzent6 31" xfId="4400" xr:uid="{95954BD7-2BDE-4ECB-9D1E-DC900D7FF3B8}"/>
    <cellStyle name="20% - Akzent6 31 2" xfId="4401" xr:uid="{89323E0B-5300-4AD0-90D9-89D4435167B3}"/>
    <cellStyle name="20% - Akzent6 31 2 2" xfId="23838" xr:uid="{271E3D66-0DF0-4AF4-9486-528A9F095E37}"/>
    <cellStyle name="20% - Akzent6 31 3" xfId="4402" xr:uid="{418B6672-5F4C-4AEE-8334-22909FBCCAA2}"/>
    <cellStyle name="20% - Akzent6 31 3 2" xfId="23839" xr:uid="{FFBFFCF7-3650-4976-BA25-3CAC49EE653B}"/>
    <cellStyle name="20% - Akzent6 31 4" xfId="23837" xr:uid="{4D36348F-4B6C-4727-B960-7A88B1331B69}"/>
    <cellStyle name="20% - Akzent6 32" xfId="4403" xr:uid="{8FBF6D0B-8C2B-4415-A91D-CEAB07D6239F}"/>
    <cellStyle name="20% - Akzent6 32 2" xfId="4404" xr:uid="{78933437-E1D3-4CBB-8924-DC73B46171CF}"/>
    <cellStyle name="20% - Akzent6 32 2 2" xfId="23841" xr:uid="{7973520E-0192-47B1-A25F-766BB25EE8EC}"/>
    <cellStyle name="20% - Akzent6 32 3" xfId="4405" xr:uid="{EF72040A-8001-427A-9EEF-57ED5774BBA9}"/>
    <cellStyle name="20% - Akzent6 32 3 2" xfId="23842" xr:uid="{8E97898B-5A4C-4FF0-BFD8-40324C574202}"/>
    <cellStyle name="20% - Akzent6 32 4" xfId="23840" xr:uid="{06C5E70B-A0AB-403E-84D8-5A45FCFBF1E4}"/>
    <cellStyle name="20% - Akzent6 33" xfId="4406" xr:uid="{91E00CDA-5854-4741-ACC4-69D561F59CB0}"/>
    <cellStyle name="20% - Akzent6 33 2" xfId="4407" xr:uid="{775797DA-50A4-4AC6-80C4-43C90A5F0466}"/>
    <cellStyle name="20% - Akzent6 33 2 2" xfId="23844" xr:uid="{FEC8D807-D9BA-4906-8143-C86D8BC0B66D}"/>
    <cellStyle name="20% - Akzent6 33 3" xfId="4408" xr:uid="{F719C125-7B6F-49CF-82BE-323FA2F75AE7}"/>
    <cellStyle name="20% - Akzent6 33 3 2" xfId="23845" xr:uid="{27048306-47ED-4AC2-A582-7DB2179F2886}"/>
    <cellStyle name="20% - Akzent6 33 4" xfId="23843" xr:uid="{6E133A0A-B844-4E49-9800-0A478B3960BE}"/>
    <cellStyle name="20% - Akzent6 34" xfId="4409" xr:uid="{9C4A4A00-83EF-490F-BF2B-CD8382FA73BC}"/>
    <cellStyle name="20% - Akzent6 34 2" xfId="4410" xr:uid="{70CDE580-8091-42FE-9CEE-BE304CA2E96C}"/>
    <cellStyle name="20% - Akzent6 34 2 2" xfId="23847" xr:uid="{80EBB735-245E-4290-8EF0-BE4DD6510297}"/>
    <cellStyle name="20% - Akzent6 34 3" xfId="4411" xr:uid="{09660356-B276-4BA3-B154-AA612742D8B7}"/>
    <cellStyle name="20% - Akzent6 34 3 2" xfId="23848" xr:uid="{ED44B48B-9AE8-47B2-90D4-05BD45F92236}"/>
    <cellStyle name="20% - Akzent6 34 4" xfId="23846" xr:uid="{28715448-03C2-46EC-AFAD-9F86E294EDB8}"/>
    <cellStyle name="20% - Akzent6 35" xfId="4412" xr:uid="{7CE348FD-5BCC-45C5-8D9A-B724F481BC1A}"/>
    <cellStyle name="20% - Akzent6 35 2" xfId="4413" xr:uid="{02E9D490-51B2-4BE9-9020-3C71132E2BF8}"/>
    <cellStyle name="20% - Akzent6 35 2 2" xfId="23850" xr:uid="{15A92E0F-FCE6-4C8F-898E-BF0CF38B261D}"/>
    <cellStyle name="20% - Akzent6 35 3" xfId="4414" xr:uid="{ECEB9FD9-0E5A-43B7-B712-6F2BE555D05A}"/>
    <cellStyle name="20% - Akzent6 35 3 2" xfId="23851" xr:uid="{58C76B6F-3043-4447-9D2E-F1BD7497DA1C}"/>
    <cellStyle name="20% - Akzent6 35 4" xfId="23849" xr:uid="{B5B621B6-D750-42F6-BAA6-EFDA774370A7}"/>
    <cellStyle name="20% - Akzent6 36" xfId="4415" xr:uid="{ABB01ABD-1B53-4D46-8011-32479DB7F601}"/>
    <cellStyle name="20% - Akzent6 36 2" xfId="4416" xr:uid="{7ED9B275-0017-453E-A06D-D73459197770}"/>
    <cellStyle name="20% - Akzent6 36 2 2" xfId="23853" xr:uid="{F40CE2C7-04DB-4176-80BE-D5374F322292}"/>
    <cellStyle name="20% - Akzent6 36 3" xfId="4417" xr:uid="{5832D03D-CAA9-44D7-9A2A-804DFEA7053F}"/>
    <cellStyle name="20% - Akzent6 36 3 2" xfId="23854" xr:uid="{70B475E1-A892-4D52-BE8E-5CE3C1D32109}"/>
    <cellStyle name="20% - Akzent6 36 4" xfId="23852" xr:uid="{32C13F89-FF49-4E6B-A11E-F51C90EDB27C}"/>
    <cellStyle name="20% - Akzent6 37" xfId="4418" xr:uid="{D505D959-643C-453B-AA8E-48BB82BDCC03}"/>
    <cellStyle name="20% - Akzent6 37 2" xfId="4419" xr:uid="{C5AFC951-BB19-41A8-A54A-5DF54CF35305}"/>
    <cellStyle name="20% - Akzent6 37 2 2" xfId="23856" xr:uid="{07121D09-B782-49CD-9949-AB4E52A753B6}"/>
    <cellStyle name="20% - Akzent6 37 3" xfId="23855" xr:uid="{C4969E92-6792-4C31-B27B-913A9A07D2E4}"/>
    <cellStyle name="20% - Akzent6 38" xfId="4420" xr:uid="{C7F9C241-19C2-4C04-A7BC-A2F2D8320F16}"/>
    <cellStyle name="20% - Akzent6 38 2" xfId="4421" xr:uid="{1014E3FD-9B10-4272-A219-05F8374F6487}"/>
    <cellStyle name="20% - Akzent6 38 2 2" xfId="23858" xr:uid="{BA13492E-8B20-4B22-8187-AEEEC62FFFFB}"/>
    <cellStyle name="20% - Akzent6 38 3" xfId="23857" xr:uid="{F13C356C-8062-4FC1-AE6B-3F9FA155645F}"/>
    <cellStyle name="20% - Akzent6 39" xfId="4422" xr:uid="{4AE5A6EB-EFC1-409D-B884-57DF3B679CB0}"/>
    <cellStyle name="20% - Akzent6 39 2" xfId="4423" xr:uid="{1F80044B-9A4F-40F5-B5A4-CAC864C69CD4}"/>
    <cellStyle name="20% - Akzent6 39 2 2" xfId="23860" xr:uid="{4FE82493-D4C7-4F1A-AA2F-FF5139AA9254}"/>
    <cellStyle name="20% - Akzent6 39 3" xfId="23859" xr:uid="{D04083C2-4FFF-404E-BC64-CE4BFFD81FD8}"/>
    <cellStyle name="20% - Akzent6 4" xfId="137" xr:uid="{7B0919BE-DB8E-4562-8546-D2BFE7F20D48}"/>
    <cellStyle name="20% - Akzent6 4 10" xfId="4425" xr:uid="{3A9016AF-0B15-487A-99E8-47151F59D694}"/>
    <cellStyle name="20% - Akzent6 4 10 2" xfId="4426" xr:uid="{E3E32171-F26A-4208-9D50-79186214DA11}"/>
    <cellStyle name="20% - Akzent6 4 10 2 2" xfId="23863" xr:uid="{C9B13DCA-1276-4480-8864-B74B5005F664}"/>
    <cellStyle name="20% - Akzent6 4 10 3" xfId="23862" xr:uid="{1FEBB8AB-E886-4352-8EB8-6D879E94C196}"/>
    <cellStyle name="20% - Akzent6 4 11" xfId="4427" xr:uid="{92FCCC9D-25C9-4356-80E8-23D0CB88FEC2}"/>
    <cellStyle name="20% - Akzent6 4 11 2" xfId="4428" xr:uid="{C3D8CE33-E54A-4027-B061-5713D0A2452C}"/>
    <cellStyle name="20% - Akzent6 4 11 2 2" xfId="23865" xr:uid="{3634DB6A-0104-49F0-A2D5-2BB668790C27}"/>
    <cellStyle name="20% - Akzent6 4 11 3" xfId="23864" xr:uid="{DC4AED31-3CA1-4842-BF83-514F1BD3C6DC}"/>
    <cellStyle name="20% - Akzent6 4 12" xfId="4429" xr:uid="{94765B91-85A5-4E01-946A-1D14408ED40A}"/>
    <cellStyle name="20% - Akzent6 4 12 2" xfId="4430" xr:uid="{F50F2A4B-6CDB-4320-AE9A-DE01730E9447}"/>
    <cellStyle name="20% - Akzent6 4 12 2 2" xfId="23867" xr:uid="{6E27D16D-D905-493B-B45B-DD3FB1EE914B}"/>
    <cellStyle name="20% - Akzent6 4 12 3" xfId="23866" xr:uid="{DFE36F23-5EF0-4C72-B9CF-8A6EB7A23076}"/>
    <cellStyle name="20% - Akzent6 4 13" xfId="4431" xr:uid="{198ADAC1-774F-42A7-B1DB-E864FDD4CD5B}"/>
    <cellStyle name="20% - Akzent6 4 13 2" xfId="4432" xr:uid="{B4C728E9-AEA0-4907-B943-A87BB0BF94EB}"/>
    <cellStyle name="20% - Akzent6 4 13 2 2" xfId="23869" xr:uid="{6CE11D9F-3F74-4D25-8130-BD6A3338E2DD}"/>
    <cellStyle name="20% - Akzent6 4 13 3" xfId="23868" xr:uid="{4FE75C1E-F2DC-4262-9DA4-A51B321FC1F1}"/>
    <cellStyle name="20% - Akzent6 4 14" xfId="4433" xr:uid="{21B13737-BFC2-4C90-9892-A6BFBA9AA0D6}"/>
    <cellStyle name="20% - Akzent6 4 14 2" xfId="4434" xr:uid="{DE627758-2269-4AA6-8BD5-1B048D41B987}"/>
    <cellStyle name="20% - Akzent6 4 14 2 2" xfId="23871" xr:uid="{D96A829E-7B17-438C-A0FD-D1B4CB46C78C}"/>
    <cellStyle name="20% - Akzent6 4 14 3" xfId="23870" xr:uid="{E307FF4C-2F41-446C-BAD1-FD436DD8F040}"/>
    <cellStyle name="20% - Akzent6 4 15" xfId="4435" xr:uid="{CB2D6A09-48CD-42E5-A566-790A727C2EB9}"/>
    <cellStyle name="20% - Akzent6 4 15 2" xfId="4436" xr:uid="{3A67DA39-5357-4352-AC8D-DBCA25BAA5C9}"/>
    <cellStyle name="20% - Akzent6 4 15 2 2" xfId="23873" xr:uid="{111AEB1E-2C4E-4F86-9216-1DFDC67C8B08}"/>
    <cellStyle name="20% - Akzent6 4 15 3" xfId="23872" xr:uid="{7CBF4C92-FE7C-4461-954D-F224C6A39829}"/>
    <cellStyle name="20% - Akzent6 4 16" xfId="4437" xr:uid="{1F301F93-9CB4-41FC-972F-77F7BA230435}"/>
    <cellStyle name="20% - Akzent6 4 16 2" xfId="4438" xr:uid="{175D9EB3-73F2-4E9D-9328-B88BCA373C6A}"/>
    <cellStyle name="20% - Akzent6 4 16 2 2" xfId="23875" xr:uid="{BD08BE22-6039-4090-8E30-158888806AB8}"/>
    <cellStyle name="20% - Akzent6 4 16 3" xfId="23874" xr:uid="{8BEE3C80-C7A2-43A3-9A40-6E75B9B38291}"/>
    <cellStyle name="20% - Akzent6 4 17" xfId="4439" xr:uid="{573DE04C-0F14-4BDC-B8A2-16C0C8FE81A3}"/>
    <cellStyle name="20% - Akzent6 4 17 2" xfId="4440" xr:uid="{90E5B4C3-45E8-40E4-9176-813A203701D0}"/>
    <cellStyle name="20% - Akzent6 4 17 2 2" xfId="23877" xr:uid="{7021AE59-7394-4A6B-BB1F-DC3C212D37D5}"/>
    <cellStyle name="20% - Akzent6 4 17 3" xfId="23876" xr:uid="{208922A2-4057-4297-BD7C-6D5495D42211}"/>
    <cellStyle name="20% - Akzent6 4 18" xfId="4441" xr:uid="{47718734-8C55-4B90-A5F6-D43A199CABD5}"/>
    <cellStyle name="20% - Akzent6 4 18 2" xfId="4442" xr:uid="{AC55E816-417A-4C70-9240-86C061E01B1D}"/>
    <cellStyle name="20% - Akzent6 4 18 2 2" xfId="23879" xr:uid="{4269B259-62F3-4BC8-B4D1-D45E653295B9}"/>
    <cellStyle name="20% - Akzent6 4 18 3" xfId="23878" xr:uid="{9C3A96ED-4E2B-4647-BC32-98B99A24EE2F}"/>
    <cellStyle name="20% - Akzent6 4 19" xfId="4443" xr:uid="{7F283654-F5C9-44DD-B28D-97C28562EEBA}"/>
    <cellStyle name="20% - Akzent6 4 19 2" xfId="4444" xr:uid="{39448126-8FE3-4101-8030-B86D6A94CF0C}"/>
    <cellStyle name="20% - Akzent6 4 19 2 2" xfId="23881" xr:uid="{3FBA037F-6DC2-4523-8925-1AC18169B4B1}"/>
    <cellStyle name="20% - Akzent6 4 19 3" xfId="23880" xr:uid="{5A82C5B5-90BC-4DF1-987A-8E52B85E5938}"/>
    <cellStyle name="20% - Akzent6 4 2" xfId="4445" xr:uid="{10136565-1D6A-4229-B3FA-DB2388573406}"/>
    <cellStyle name="20% - Akzent6 4 2 2" xfId="4446" xr:uid="{9A583AA9-5C4B-442F-A68F-B675E1445124}"/>
    <cellStyle name="20% - Akzent6 4 2 2 2" xfId="4447" xr:uid="{9922949A-6135-4AFB-AB12-96966C779F1D}"/>
    <cellStyle name="20% - Akzent6 4 2 2 2 2" xfId="23884" xr:uid="{5EAD9A9B-F764-425F-BF52-123842BAF664}"/>
    <cellStyle name="20% - Akzent6 4 2 2 3" xfId="23883" xr:uid="{1A2DB468-1003-4F96-906A-1F63D1727B01}"/>
    <cellStyle name="20% - Akzent6 4 2 2 4" xfId="40881" xr:uid="{44414169-FD9C-4B1C-A4AA-AF21D107D25B}"/>
    <cellStyle name="20% - Akzent6 4 2 3" xfId="23882" xr:uid="{849CD495-5E07-4C5B-A8EA-3652676CE874}"/>
    <cellStyle name="20% - Akzent6 4 2 3 2" xfId="41741" xr:uid="{21810ACE-DB29-433A-BFBF-4E037CD53721}"/>
    <cellStyle name="20% - Akzent6 4 2 4" xfId="39935" xr:uid="{E02028D9-4B50-4CFF-96DE-D4711E47C457}"/>
    <cellStyle name="20% - Akzent6 4 20" xfId="4448" xr:uid="{E38B6732-3173-43B8-A7FA-4FB9FAB4ADC7}"/>
    <cellStyle name="20% - Akzent6 4 20 2" xfId="4449" xr:uid="{A1515A15-D642-4967-B107-5D04094C1259}"/>
    <cellStyle name="20% - Akzent6 4 20 2 2" xfId="23886" xr:uid="{61A641D5-206C-4FB2-9F58-8BF19A35E6B5}"/>
    <cellStyle name="20% - Akzent6 4 20 3" xfId="23885" xr:uid="{6DA62C35-9614-4783-8D11-9D9FDDE575EA}"/>
    <cellStyle name="20% - Akzent6 4 21" xfId="4450" xr:uid="{1D0E58D7-752A-4E54-82A3-6B3525200A47}"/>
    <cellStyle name="20% - Akzent6 4 21 2" xfId="4451" xr:uid="{B9CF54B3-E6FD-4D33-B3CB-2D5CEDA266B7}"/>
    <cellStyle name="20% - Akzent6 4 21 2 2" xfId="23888" xr:uid="{DD4FD7BB-9F5D-4378-8F64-67D5E064A5BF}"/>
    <cellStyle name="20% - Akzent6 4 21 3" xfId="23887" xr:uid="{BACF7482-BF16-411A-984E-8A2ADA4D7AEA}"/>
    <cellStyle name="20% - Akzent6 4 22" xfId="4452" xr:uid="{9E8A991E-596F-4244-A89F-B9A349BE10DF}"/>
    <cellStyle name="20% - Akzent6 4 22 2" xfId="23889" xr:uid="{6C917A98-EFA4-44F8-840B-C9EDF2873DA4}"/>
    <cellStyle name="20% - Akzent6 4 23" xfId="4453" xr:uid="{EFA24700-A252-4966-B189-392D6F83D88D}"/>
    <cellStyle name="20% - Akzent6 4 23 2" xfId="23890" xr:uid="{D053F961-29A6-4EE8-B832-0282F4747F80}"/>
    <cellStyle name="20% - Akzent6 4 24" xfId="23861" xr:uid="{CC1282F3-4175-4C87-9CB6-C2E786ACDB78}"/>
    <cellStyle name="20% - Akzent6 4 25" xfId="39302" xr:uid="{70E9B800-A211-4A63-B0CD-8F30D28D3772}"/>
    <cellStyle name="20% - Akzent6 4 26" xfId="4424" xr:uid="{19F977B1-5D1B-4ADC-8A0C-2900C4004C96}"/>
    <cellStyle name="20% - Akzent6 4 3" xfId="4454" xr:uid="{0B7022D6-9C75-47B7-80DD-0572AA01F8FC}"/>
    <cellStyle name="20% - Akzent6 4 3 2" xfId="4455" xr:uid="{AEA78C3D-F78D-46AE-AC01-820564F21D77}"/>
    <cellStyle name="20% - Akzent6 4 3 2 2" xfId="23892" xr:uid="{F1E2A718-21F9-42E7-9C9E-861A46B781B2}"/>
    <cellStyle name="20% - Akzent6 4 3 2 3" xfId="40880" xr:uid="{4C4311D2-808C-4715-93ED-05850D488BCA}"/>
    <cellStyle name="20% - Akzent6 4 3 3" xfId="23891" xr:uid="{E9B8DDED-77F1-4520-9A41-7C3A61CAA4B0}"/>
    <cellStyle name="20% - Akzent6 4 3 3 2" xfId="41740" xr:uid="{A8C79E02-D830-46E2-B7AF-4EFE4CBC7EDD}"/>
    <cellStyle name="20% - Akzent6 4 3 4" xfId="39934" xr:uid="{C77E848F-B248-4205-8C87-112901430FA8}"/>
    <cellStyle name="20% - Akzent6 4 4" xfId="4456" xr:uid="{068634D8-7B2B-4BF4-B0AB-03DC2191B0BD}"/>
    <cellStyle name="20% - Akzent6 4 4 2" xfId="4457" xr:uid="{AFBCC0D0-B58C-442E-97F7-1F415754E241}"/>
    <cellStyle name="20% - Akzent6 4 4 2 2" xfId="23894" xr:uid="{B67C98DF-9F3A-4160-A469-DB495573CE06}"/>
    <cellStyle name="20% - Akzent6 4 4 3" xfId="23893" xr:uid="{D136EB30-9FFB-47D6-AC25-1B76369ED535}"/>
    <cellStyle name="20% - Akzent6 4 4 4" xfId="40453" xr:uid="{1742629D-7718-4E1E-9DFA-D45B773EEA29}"/>
    <cellStyle name="20% - Akzent6 4 5" xfId="4458" xr:uid="{18B0103E-8E34-477D-B00B-2FEB0A18929A}"/>
    <cellStyle name="20% - Akzent6 4 5 2" xfId="4459" xr:uid="{AD4C6911-6096-4EC1-8F85-F48EA513942F}"/>
    <cellStyle name="20% - Akzent6 4 5 2 2" xfId="23896" xr:uid="{966FB5E8-124B-4765-824D-182A9ECFF65E}"/>
    <cellStyle name="20% - Akzent6 4 5 3" xfId="23895" xr:uid="{2A546DEA-BD62-4337-AFED-639A9F5FCD1B}"/>
    <cellStyle name="20% - Akzent6 4 5 4" xfId="41313" xr:uid="{11EF9680-A2EC-4709-BA5B-ACB03331F12E}"/>
    <cellStyle name="20% - Akzent6 4 6" xfId="4460" xr:uid="{3AEAE286-4343-40D4-9378-5D19FF72D26C}"/>
    <cellStyle name="20% - Akzent6 4 6 2" xfId="4461" xr:uid="{FA9D748F-3E8B-470B-A920-B89589005BD4}"/>
    <cellStyle name="20% - Akzent6 4 6 2 2" xfId="23898" xr:uid="{BCF81A32-C13B-4508-8EEC-1C0640321EC0}"/>
    <cellStyle name="20% - Akzent6 4 6 3" xfId="23897" xr:uid="{9EE415CE-8D07-4622-8485-B0C92BD3C34F}"/>
    <cellStyle name="20% - Akzent6 4 7" xfId="4462" xr:uid="{6138F083-DA78-439A-BFBA-3A5F8FB638A0}"/>
    <cellStyle name="20% - Akzent6 4 7 2" xfId="4463" xr:uid="{6244C1BA-4BD8-4A46-BD1E-CB2207A83C01}"/>
    <cellStyle name="20% - Akzent6 4 7 2 2" xfId="23900" xr:uid="{08B357A4-882D-430A-9DBF-61CED94F7B25}"/>
    <cellStyle name="20% - Akzent6 4 7 3" xfId="23899" xr:uid="{C50BC55D-D178-4BB8-8717-0E97ABC3EDCC}"/>
    <cellStyle name="20% - Akzent6 4 8" xfId="4464" xr:uid="{68B0A91A-E167-4254-B047-D91A8B723D46}"/>
    <cellStyle name="20% - Akzent6 4 8 2" xfId="4465" xr:uid="{EE3BFD20-2562-4ADC-B328-A18FBA8A62D5}"/>
    <cellStyle name="20% - Akzent6 4 8 2 2" xfId="23902" xr:uid="{6B6CA268-84D4-4FB7-9B3C-D868E0F32300}"/>
    <cellStyle name="20% - Akzent6 4 8 3" xfId="23901" xr:uid="{EDC0CC0B-926E-4C78-B887-11A8CB5FAFFA}"/>
    <cellStyle name="20% - Akzent6 4 9" xfId="4466" xr:uid="{26D387C2-00C4-4BED-AE7E-FD204EA81075}"/>
    <cellStyle name="20% - Akzent6 4 9 2" xfId="4467" xr:uid="{293F61FA-372A-4DB2-8D35-D9487B4C5582}"/>
    <cellStyle name="20% - Akzent6 4 9 2 2" xfId="23904" xr:uid="{08A7C38E-7D3E-4A41-A782-E6A9F9FBBE1A}"/>
    <cellStyle name="20% - Akzent6 4 9 3" xfId="23903" xr:uid="{EBCC89E6-DA67-4C15-914C-2BCAAD877FED}"/>
    <cellStyle name="20% - Akzent6 40" xfId="4468" xr:uid="{0F2631A7-D233-4DBC-8356-D4C401903E16}"/>
    <cellStyle name="20% - Akzent6 40 2" xfId="4469" xr:uid="{DB45B431-C090-4935-9C38-2B973C6DCCCB}"/>
    <cellStyle name="20% - Akzent6 40 2 2" xfId="23906" xr:uid="{609C32D2-F778-46EB-B238-394FB5809CDD}"/>
    <cellStyle name="20% - Akzent6 40 3" xfId="23905" xr:uid="{72E2220D-1EEF-4C95-A891-5267EF637FF2}"/>
    <cellStyle name="20% - Akzent6 41" xfId="4470" xr:uid="{CEDC6DE7-A681-46B4-96FD-093F6131B04C}"/>
    <cellStyle name="20% - Akzent6 41 2" xfId="4471" xr:uid="{05528549-1559-4431-A7FB-F6B6BC311FB5}"/>
    <cellStyle name="20% - Akzent6 41 2 2" xfId="23908" xr:uid="{E9BBC513-98CB-48AB-8762-518536848006}"/>
    <cellStyle name="20% - Akzent6 41 3" xfId="23907" xr:uid="{FF2F500C-2093-4DC7-B124-813347CFCC4A}"/>
    <cellStyle name="20% - Akzent6 42" xfId="4472" xr:uid="{C7B32E40-83AD-442E-B1EE-E5AA72DEE479}"/>
    <cellStyle name="20% - Akzent6 42 2" xfId="4473" xr:uid="{538FFBF5-FC6B-4912-AF2A-EC4FF730A8C0}"/>
    <cellStyle name="20% - Akzent6 42 2 2" xfId="23910" xr:uid="{D9953344-0B87-4FA1-9E49-5B645ACEABA7}"/>
    <cellStyle name="20% - Akzent6 42 3" xfId="23909" xr:uid="{C565BBD3-5FA5-4B37-B481-7DCA249F1BEB}"/>
    <cellStyle name="20% - Akzent6 43" xfId="4474" xr:uid="{FE68D6D0-69EA-4D08-9599-4187AF44A665}"/>
    <cellStyle name="20% - Akzent6 43 2" xfId="4475" xr:uid="{C5E3C1B4-2A40-42A7-B45C-D462CAB79B79}"/>
    <cellStyle name="20% - Akzent6 43 2 2" xfId="23912" xr:uid="{3708982F-8995-44E3-90A3-202E399B138B}"/>
    <cellStyle name="20% - Akzent6 43 3" xfId="23911" xr:uid="{B82875B2-5D31-46E2-BF9C-92C739F4C6A2}"/>
    <cellStyle name="20% - Akzent6 44" xfId="4476" xr:uid="{87E19F23-68DE-4C44-89C0-BBC695A2C7AF}"/>
    <cellStyle name="20% - Akzent6 44 2" xfId="4477" xr:uid="{A7DFE5E0-C33F-4EF1-A903-3DA46A21688B}"/>
    <cellStyle name="20% - Akzent6 44 2 2" xfId="23914" xr:uid="{58DFA55F-6ACC-43DF-893A-848609B58B37}"/>
    <cellStyle name="20% - Akzent6 44 3" xfId="23913" xr:uid="{BF24FA21-BE73-4916-84E1-78C0CC30C40E}"/>
    <cellStyle name="20% - Akzent6 45" xfId="4478" xr:uid="{9219AA2B-DBB2-48FE-B809-5076B0D75A3B}"/>
    <cellStyle name="20% - Akzent6 45 2" xfId="4479" xr:uid="{1B75F5B7-4285-4287-82BB-3C8D4F9D8FDD}"/>
    <cellStyle name="20% - Akzent6 45 2 2" xfId="23916" xr:uid="{BECBA441-1897-415F-A15E-45E302EFC0BF}"/>
    <cellStyle name="20% - Akzent6 45 3" xfId="23915" xr:uid="{4F2DD2D4-5446-4D64-BAB5-0BFCE0E3C20A}"/>
    <cellStyle name="20% - Akzent6 46" xfId="4480" xr:uid="{F73D1662-E082-4F3F-8EDB-110BA6909D3A}"/>
    <cellStyle name="20% - Akzent6 46 2" xfId="4481" xr:uid="{F1E5BE90-0124-4FF2-AB2F-DEFEE4BBEB99}"/>
    <cellStyle name="20% - Akzent6 46 2 2" xfId="23918" xr:uid="{D9479BF9-275F-41CA-8078-2C8FC430891C}"/>
    <cellStyle name="20% - Akzent6 46 3" xfId="23917" xr:uid="{C17EA18B-1EBC-4FB4-A234-5653AD7728DA}"/>
    <cellStyle name="20% - Akzent6 47" xfId="4482" xr:uid="{368CFDDD-DA81-45D6-86F0-FF804C34FD48}"/>
    <cellStyle name="20% - Akzent6 47 2" xfId="4483" xr:uid="{1B6087A6-AC88-4E97-AA3C-438B31794DB9}"/>
    <cellStyle name="20% - Akzent6 47 2 2" xfId="23920" xr:uid="{8747094C-137F-4472-8575-EBF4D6370257}"/>
    <cellStyle name="20% - Akzent6 47 3" xfId="23919" xr:uid="{2520CB0A-F7F3-48A7-8D71-7F72BF1B1B82}"/>
    <cellStyle name="20% - Akzent6 48" xfId="4484" xr:uid="{97AFF8B2-C909-480B-84CD-603DAD9AF35A}"/>
    <cellStyle name="20% - Akzent6 48 2" xfId="4485" xr:uid="{B94F51EA-816A-4ADE-AC0D-B82B7F8855CE}"/>
    <cellStyle name="20% - Akzent6 48 2 2" xfId="23922" xr:uid="{B2250148-0826-43F5-841E-2706E756DD7D}"/>
    <cellStyle name="20% - Akzent6 48 3" xfId="23921" xr:uid="{22F9EFC5-E1A4-4176-A1FE-33BB06B4DCED}"/>
    <cellStyle name="20% - Akzent6 49" xfId="4486" xr:uid="{CA4019EC-A4E9-4468-8CC7-1FA428F83BC0}"/>
    <cellStyle name="20% - Akzent6 49 2" xfId="4487" xr:uid="{EFAF0445-A18A-42D7-96CF-1018087DD696}"/>
    <cellStyle name="20% - Akzent6 49 2 2" xfId="23924" xr:uid="{DF4CF989-9F9B-40F5-B6CE-9FD0E51E2E51}"/>
    <cellStyle name="20% - Akzent6 49 3" xfId="23923" xr:uid="{8381C39E-1A18-42C1-8539-1852B8DBBADE}"/>
    <cellStyle name="20% - Akzent6 5" xfId="4488" xr:uid="{7403410D-1D24-4AA9-9B6A-06F4859CECBD}"/>
    <cellStyle name="20% - Akzent6 5 10" xfId="4489" xr:uid="{9B788379-2679-457B-8C7A-881046C58F68}"/>
    <cellStyle name="20% - Akzent6 5 10 2" xfId="4490" xr:uid="{1062EB76-E79B-426F-A862-096FBCBF38D1}"/>
    <cellStyle name="20% - Akzent6 5 10 2 2" xfId="23927" xr:uid="{59D78B57-01A4-400A-8D22-5BE533DA8A77}"/>
    <cellStyle name="20% - Akzent6 5 10 3" xfId="23926" xr:uid="{6E5E7F0A-FEF1-419E-8B99-B562E9EB1CD0}"/>
    <cellStyle name="20% - Akzent6 5 11" xfId="4491" xr:uid="{036545BB-55B4-4210-863F-99EE45FD0392}"/>
    <cellStyle name="20% - Akzent6 5 11 2" xfId="4492" xr:uid="{EFE283A8-2ABE-4769-99F5-2891194A5A58}"/>
    <cellStyle name="20% - Akzent6 5 11 2 2" xfId="23929" xr:uid="{0AB4E5A4-2858-4DFD-8D5D-6B11D0DCFE9B}"/>
    <cellStyle name="20% - Akzent6 5 11 3" xfId="23928" xr:uid="{D8FA5172-3A90-40DA-8FD6-82ABAB1E18F0}"/>
    <cellStyle name="20% - Akzent6 5 12" xfId="4493" xr:uid="{6E309774-409E-4365-B5E9-99B4A984C270}"/>
    <cellStyle name="20% - Akzent6 5 12 2" xfId="4494" xr:uid="{2A13C3AB-4246-4FC4-8866-5D6A24CEE7BA}"/>
    <cellStyle name="20% - Akzent6 5 12 2 2" xfId="23931" xr:uid="{53E180E3-461A-4DBA-8790-22CC9AD89B73}"/>
    <cellStyle name="20% - Akzent6 5 12 3" xfId="23930" xr:uid="{7E576542-A0E8-46A8-A995-4849540085B8}"/>
    <cellStyle name="20% - Akzent6 5 13" xfId="4495" xr:uid="{B543D267-CE40-4385-9A9B-B8ABB9ED5726}"/>
    <cellStyle name="20% - Akzent6 5 13 2" xfId="4496" xr:uid="{41651E72-AC34-4F5A-ADDB-6C44AC7835C9}"/>
    <cellStyle name="20% - Akzent6 5 13 2 2" xfId="23933" xr:uid="{332832D5-0A37-48CA-8BB5-84B7699B5DCC}"/>
    <cellStyle name="20% - Akzent6 5 13 3" xfId="23932" xr:uid="{FF3B568E-8CBF-4A6F-B066-9047322FEA62}"/>
    <cellStyle name="20% - Akzent6 5 14" xfId="4497" xr:uid="{0BC5C6A8-45B1-442C-957B-42D8EF10CECB}"/>
    <cellStyle name="20% - Akzent6 5 14 2" xfId="4498" xr:uid="{D4826753-37E6-4489-8856-0DAD7374546C}"/>
    <cellStyle name="20% - Akzent6 5 14 2 2" xfId="23935" xr:uid="{FBCD96B1-FE7F-4313-89A8-836CA6167779}"/>
    <cellStyle name="20% - Akzent6 5 14 3" xfId="23934" xr:uid="{355A8396-68D3-4A82-9057-46C7E84F6CC0}"/>
    <cellStyle name="20% - Akzent6 5 15" xfId="4499" xr:uid="{D0A16E1E-DD67-4EC3-954F-86C73407453F}"/>
    <cellStyle name="20% - Akzent6 5 15 2" xfId="4500" xr:uid="{9976F46D-FF86-4549-AE49-764E5EBFFE2D}"/>
    <cellStyle name="20% - Akzent6 5 15 2 2" xfId="23937" xr:uid="{56E74311-2297-4346-AC1C-875919FAD514}"/>
    <cellStyle name="20% - Akzent6 5 15 3" xfId="23936" xr:uid="{5C19DBD5-E84A-45A8-A88E-F94E985A53F3}"/>
    <cellStyle name="20% - Akzent6 5 16" xfId="4501" xr:uid="{49543EDF-149C-428B-BDFB-AFFCD954B1D0}"/>
    <cellStyle name="20% - Akzent6 5 16 2" xfId="4502" xr:uid="{1AE821DD-87CA-4029-B0BD-5E54F4D29AFF}"/>
    <cellStyle name="20% - Akzent6 5 16 2 2" xfId="23939" xr:uid="{DD94B183-2C4F-4EC6-8478-053713ED57BC}"/>
    <cellStyle name="20% - Akzent6 5 16 3" xfId="23938" xr:uid="{891E11F6-8B3D-4A98-AAB1-28BBAF387820}"/>
    <cellStyle name="20% - Akzent6 5 17" xfId="4503" xr:uid="{B08B2137-65C4-49E0-BD57-C956B2F8A032}"/>
    <cellStyle name="20% - Akzent6 5 17 2" xfId="4504" xr:uid="{1D129DDF-5862-47D2-AE0A-F85E1DF02E99}"/>
    <cellStyle name="20% - Akzent6 5 17 2 2" xfId="23941" xr:uid="{5001EED7-EF94-4C7D-8BED-A17FD98085A6}"/>
    <cellStyle name="20% - Akzent6 5 17 3" xfId="23940" xr:uid="{83E3014A-644A-4479-8147-9793EA0466BC}"/>
    <cellStyle name="20% - Akzent6 5 18" xfId="4505" xr:uid="{D01CC94F-4541-4110-BD5B-3CC5292A69EF}"/>
    <cellStyle name="20% - Akzent6 5 18 2" xfId="4506" xr:uid="{08267734-E2B0-433F-83E1-AB5FC4F3D2D7}"/>
    <cellStyle name="20% - Akzent6 5 18 2 2" xfId="23943" xr:uid="{038BF31E-AF64-4AD1-8DE2-74EEC353003F}"/>
    <cellStyle name="20% - Akzent6 5 18 3" xfId="23942" xr:uid="{5566C8AD-7E7D-40D6-8868-48525349413F}"/>
    <cellStyle name="20% - Akzent6 5 19" xfId="4507" xr:uid="{45CB86A3-2389-447F-A369-18C635A5ED69}"/>
    <cellStyle name="20% - Akzent6 5 19 2" xfId="4508" xr:uid="{3D747EEB-90D9-4998-AE27-A3302EBAB6F8}"/>
    <cellStyle name="20% - Akzent6 5 19 2 2" xfId="23945" xr:uid="{50E30F44-B15F-436B-ACFF-896B50BA2529}"/>
    <cellStyle name="20% - Akzent6 5 19 3" xfId="23944" xr:uid="{36BF128F-4C6B-4B26-9B31-29E82B201D69}"/>
    <cellStyle name="20% - Akzent6 5 2" xfId="4509" xr:uid="{33320280-3391-49AD-86AE-4B32CACC3431}"/>
    <cellStyle name="20% - Akzent6 5 2 2" xfId="4510" xr:uid="{3C189BF8-5A9D-44E6-B1EC-5967CC219F20}"/>
    <cellStyle name="20% - Akzent6 5 2 2 2" xfId="23947" xr:uid="{1CEF132E-2536-4ED0-AF96-1DAA9808903D}"/>
    <cellStyle name="20% - Akzent6 5 2 3" xfId="23946" xr:uid="{C013623A-B889-4777-8F77-BF65912582E8}"/>
    <cellStyle name="20% - Akzent6 5 20" xfId="4511" xr:uid="{5FEC46F1-6D45-464A-B8FB-3DEC9B763210}"/>
    <cellStyle name="20% - Akzent6 5 20 2" xfId="4512" xr:uid="{2F7B60F3-A8E5-451C-B3E9-21379E764F56}"/>
    <cellStyle name="20% - Akzent6 5 20 2 2" xfId="23949" xr:uid="{432E90E5-7869-46EF-B14A-27A778815767}"/>
    <cellStyle name="20% - Akzent6 5 20 3" xfId="23948" xr:uid="{2F40E0B7-0A59-4AF7-84DE-54B0CD8E5E3C}"/>
    <cellStyle name="20% - Akzent6 5 21" xfId="4513" xr:uid="{EFE33E43-2A8D-4DE6-A6D1-DD6450A5F6D2}"/>
    <cellStyle name="20% - Akzent6 5 21 2" xfId="4514" xr:uid="{D91B3B78-9076-4F2D-8EAA-BAD3196AD75C}"/>
    <cellStyle name="20% - Akzent6 5 21 2 2" xfId="23951" xr:uid="{B32463A7-AAFB-41F5-9A6C-95AC3009F44F}"/>
    <cellStyle name="20% - Akzent6 5 21 3" xfId="23950" xr:uid="{9F2481A1-DBCE-4099-9AC6-7DCCE7783E9E}"/>
    <cellStyle name="20% - Akzent6 5 22" xfId="4515" xr:uid="{7FE9DD89-FC71-47A2-989B-4BE4BFF2089E}"/>
    <cellStyle name="20% - Akzent6 5 22 2" xfId="23952" xr:uid="{3D9DBA16-14F9-47B4-BCBF-7F3B2D2A45B2}"/>
    <cellStyle name="20% - Akzent6 5 23" xfId="4516" xr:uid="{C61C0A19-42CF-4835-8777-A4EABA0DACF9}"/>
    <cellStyle name="20% - Akzent6 5 23 2" xfId="23953" xr:uid="{9E3959EA-2D74-4F65-A450-D16138CCC046}"/>
    <cellStyle name="20% - Akzent6 5 24" xfId="23925" xr:uid="{3E7D7E88-EC19-47D4-A480-DB37DB3479C8}"/>
    <cellStyle name="20% - Akzent6 5 25" xfId="39298" xr:uid="{5C466967-BE1E-4639-8492-31A67686D060}"/>
    <cellStyle name="20% - Akzent6 5 3" xfId="4517" xr:uid="{7A236D46-CC7E-4D2D-B96C-70B40A12D630}"/>
    <cellStyle name="20% - Akzent6 5 3 2" xfId="4518" xr:uid="{13401492-5C8D-440F-AA4A-6AC576807A41}"/>
    <cellStyle name="20% - Akzent6 5 3 2 2" xfId="23955" xr:uid="{180B4F86-3C50-4FC9-B045-F49F10A06DB3}"/>
    <cellStyle name="20% - Akzent6 5 3 3" xfId="23954" xr:uid="{0038B84A-4D52-4994-AC45-DE4176C01E22}"/>
    <cellStyle name="20% - Akzent6 5 4" xfId="4519" xr:uid="{C935B4D8-5E3D-4C5B-88B7-599D8FA9C4D3}"/>
    <cellStyle name="20% - Akzent6 5 4 2" xfId="4520" xr:uid="{E3FA9C7A-E425-4912-834B-677567894951}"/>
    <cellStyle name="20% - Akzent6 5 4 2 2" xfId="23957" xr:uid="{12E4D68C-8B7A-4D43-86DA-0B231F64F002}"/>
    <cellStyle name="20% - Akzent6 5 4 3" xfId="23956" xr:uid="{1E9FA3C4-ABBE-4B23-8582-948B50174FC6}"/>
    <cellStyle name="20% - Akzent6 5 5" xfId="4521" xr:uid="{482FE63D-E027-486C-B721-B06DF0C738D8}"/>
    <cellStyle name="20% - Akzent6 5 5 2" xfId="4522" xr:uid="{EA7E259D-E505-4EEF-BC0D-E29547A36399}"/>
    <cellStyle name="20% - Akzent6 5 5 2 2" xfId="23959" xr:uid="{83B76B64-CEC9-486A-93C6-3E11D37A163C}"/>
    <cellStyle name="20% - Akzent6 5 5 3" xfId="23958" xr:uid="{042C4215-BF63-4D7E-9796-6E5E03DC397D}"/>
    <cellStyle name="20% - Akzent6 5 6" xfId="4523" xr:uid="{E89F3C64-2D50-422A-ACDE-789D18A61B26}"/>
    <cellStyle name="20% - Akzent6 5 6 2" xfId="4524" xr:uid="{8C8053A8-D3DF-42F9-9530-E3DE85D0AB32}"/>
    <cellStyle name="20% - Akzent6 5 6 2 2" xfId="23961" xr:uid="{5FBB8BBB-92F1-45FE-8962-DA1C63C66E7F}"/>
    <cellStyle name="20% - Akzent6 5 6 3" xfId="23960" xr:uid="{49A12E8F-8610-42BE-BBF4-A53902FEA938}"/>
    <cellStyle name="20% - Akzent6 5 7" xfId="4525" xr:uid="{E16A5187-1F57-4615-8017-E05D24DED450}"/>
    <cellStyle name="20% - Akzent6 5 7 2" xfId="4526" xr:uid="{849E843F-6C39-47D4-AD81-804A75269811}"/>
    <cellStyle name="20% - Akzent6 5 7 2 2" xfId="23963" xr:uid="{FD8289CB-3AAD-41B8-A4A5-F58D21C5A8C6}"/>
    <cellStyle name="20% - Akzent6 5 7 3" xfId="23962" xr:uid="{DDC3C668-5E34-4D4F-87C9-B5115BD42AB6}"/>
    <cellStyle name="20% - Akzent6 5 8" xfId="4527" xr:uid="{1D47E427-B03E-4FA9-87A9-C02857B32DF4}"/>
    <cellStyle name="20% - Akzent6 5 8 2" xfId="4528" xr:uid="{0CDB82EA-CC75-42FD-9239-0F549B14308A}"/>
    <cellStyle name="20% - Akzent6 5 8 2 2" xfId="23965" xr:uid="{FB26DC30-20F6-4E6B-9435-80D48DFEE22F}"/>
    <cellStyle name="20% - Akzent6 5 8 3" xfId="23964" xr:uid="{E77BA1C0-3888-4B35-889C-C7C499045A82}"/>
    <cellStyle name="20% - Akzent6 5 9" xfId="4529" xr:uid="{635449ED-04EF-4215-AF7C-C59EC1F8AD08}"/>
    <cellStyle name="20% - Akzent6 5 9 2" xfId="4530" xr:uid="{D1C3A7A0-C8B0-4577-ACBC-C9CCC496686E}"/>
    <cellStyle name="20% - Akzent6 5 9 2 2" xfId="23967" xr:uid="{819D2A28-4407-4770-A266-C7C10B26A2D9}"/>
    <cellStyle name="20% - Akzent6 5 9 3" xfId="23966" xr:uid="{E3CF105D-D024-4AC7-91AF-791340B75954}"/>
    <cellStyle name="20% - Akzent6 50" xfId="4531" xr:uid="{2A523513-6E79-4F04-B6F9-81335435B8BD}"/>
    <cellStyle name="20% - Akzent6 50 2" xfId="4532" xr:uid="{4F126C28-3BCE-46CA-A23B-BB7C95F7AE80}"/>
    <cellStyle name="20% - Akzent6 50 2 2" xfId="23969" xr:uid="{EDA66A42-918D-4FFE-BF7A-0F7E22B08EA0}"/>
    <cellStyle name="20% - Akzent6 50 3" xfId="23968" xr:uid="{808B65A9-849B-46E0-B308-1DBD6924AB2A}"/>
    <cellStyle name="20% - Akzent6 51" xfId="4533" xr:uid="{8F53715E-016A-486F-B145-E55C4BA911E8}"/>
    <cellStyle name="20% - Akzent6 51 2" xfId="4534" xr:uid="{88351688-719D-4204-AF36-66B6DDA3E7F2}"/>
    <cellStyle name="20% - Akzent6 51 2 2" xfId="23971" xr:uid="{38CE8AEE-D460-45EF-81F8-D26AE09C9A94}"/>
    <cellStyle name="20% - Akzent6 51 3" xfId="23970" xr:uid="{98EDEBF8-4BC9-45F5-8328-BD89A62187F4}"/>
    <cellStyle name="20% - Akzent6 52" xfId="4535" xr:uid="{CA839286-BF68-4174-8BAA-2AB13D9AA48D}"/>
    <cellStyle name="20% - Akzent6 52 2" xfId="4536" xr:uid="{462B148D-5BEC-41E5-937B-3164C8618609}"/>
    <cellStyle name="20% - Akzent6 52 2 2" xfId="23973" xr:uid="{EEF75559-9DBF-4035-A30F-F5CCEC47C912}"/>
    <cellStyle name="20% - Akzent6 52 3" xfId="23972" xr:uid="{B6ECDEB7-FA3E-4661-98D5-06BED600F149}"/>
    <cellStyle name="20% - Akzent6 53" xfId="4537" xr:uid="{E6812D31-E629-4923-A08C-D34888FF99A5}"/>
    <cellStyle name="20% - Akzent6 53 2" xfId="4538" xr:uid="{DA83F9CE-5FA6-4190-AC52-CD6E39402A2D}"/>
    <cellStyle name="20% - Akzent6 53 2 2" xfId="23975" xr:uid="{9EFDE762-D3FF-4074-B411-0D90D483AE9C}"/>
    <cellStyle name="20% - Akzent6 53 3" xfId="23974" xr:uid="{3F514C09-24D6-4DF0-AECC-5C934D793C36}"/>
    <cellStyle name="20% - Akzent6 54" xfId="4539" xr:uid="{473CDC7A-5373-4A79-B401-B5292D341ABC}"/>
    <cellStyle name="20% - Akzent6 54 2" xfId="4540" xr:uid="{9137B0D1-288E-4852-BF6A-178DBCAF2B0A}"/>
    <cellStyle name="20% - Akzent6 54 2 2" xfId="23977" xr:uid="{1520DD3C-6D3E-4C3A-82EE-1AAEF0596FA0}"/>
    <cellStyle name="20% - Akzent6 54 3" xfId="23976" xr:uid="{E9C9560A-A054-4AB2-AF00-694DBCF2DD46}"/>
    <cellStyle name="20% - Akzent6 55" xfId="4541" xr:uid="{672EC5AE-2A7A-4B8B-A4DD-CB1F9D892C07}"/>
    <cellStyle name="20% - Akzent6 55 2" xfId="4542" xr:uid="{228CFB6D-0ECE-4D84-B0E6-349F1FEDA3F3}"/>
    <cellStyle name="20% - Akzent6 55 2 2" xfId="23979" xr:uid="{B79F1DFE-2552-46B7-90FC-826CFDFCE626}"/>
    <cellStyle name="20% - Akzent6 55 3" xfId="23978" xr:uid="{C9F1A131-9F25-4DF1-8080-63E41114E272}"/>
    <cellStyle name="20% - Akzent6 56" xfId="4543" xr:uid="{C9376774-CE5F-4473-950C-8F45C0C4170A}"/>
    <cellStyle name="20% - Akzent6 56 2" xfId="4544" xr:uid="{AB136B76-04C9-4EB6-96DF-495ED160B83A}"/>
    <cellStyle name="20% - Akzent6 56 2 2" xfId="23981" xr:uid="{8DC655F3-5F14-4CAF-808F-F37B4239C076}"/>
    <cellStyle name="20% - Akzent6 56 3" xfId="23980" xr:uid="{EB8B4FD1-74CF-48EE-85C5-02D16B5982EB}"/>
    <cellStyle name="20% - Akzent6 57" xfId="4545" xr:uid="{2C1CC4A2-4E54-4CA1-A67C-4B0D6179D8C0}"/>
    <cellStyle name="20% - Akzent6 57 2" xfId="4546" xr:uid="{725CA727-54E0-45C5-8A8E-CA716D9E2A05}"/>
    <cellStyle name="20% - Akzent6 57 2 2" xfId="23983" xr:uid="{3828BDCC-91D3-42BC-A45F-59067B8FD332}"/>
    <cellStyle name="20% - Akzent6 57 3" xfId="23982" xr:uid="{B0415FDF-B1CB-4BE9-8E0B-E5758C032BBB}"/>
    <cellStyle name="20% - Akzent6 58" xfId="4547" xr:uid="{764931A7-B416-453E-ACA6-30B90B904620}"/>
    <cellStyle name="20% - Akzent6 58 2" xfId="4548" xr:uid="{EFB597CB-EF75-4DA6-B1F7-A28F43AB45FD}"/>
    <cellStyle name="20% - Akzent6 58 2 2" xfId="23985" xr:uid="{36C00228-7E05-4D6F-9DD9-9FE429784D8A}"/>
    <cellStyle name="20% - Akzent6 58 3" xfId="23984" xr:uid="{44BB0406-5956-4A37-9FA7-377C289A456B}"/>
    <cellStyle name="20% - Akzent6 59" xfId="4549" xr:uid="{70F7A060-7041-4AEE-A576-B6B985B00C91}"/>
    <cellStyle name="20% - Akzent6 59 2" xfId="4550" xr:uid="{17E6F887-3E56-41FD-A56C-2C3605E5BFFD}"/>
    <cellStyle name="20% - Akzent6 59 2 2" xfId="23987" xr:uid="{FF64333B-A994-403E-A417-08736E90CEBC}"/>
    <cellStyle name="20% - Akzent6 59 3" xfId="23986" xr:uid="{1ACAB2DD-F209-4AAA-B129-7FC3A590E96D}"/>
    <cellStyle name="20% - Akzent6 6" xfId="4551" xr:uid="{0D282246-FC93-43DD-B04D-5FAA05A89B72}"/>
    <cellStyle name="20% - Akzent6 6 10" xfId="4552" xr:uid="{12CC2B59-FE09-4C9E-B918-C7A48A128B8C}"/>
    <cellStyle name="20% - Akzent6 6 10 2" xfId="4553" xr:uid="{A1BE754E-64FE-4396-8A6A-E9B3093BAF92}"/>
    <cellStyle name="20% - Akzent6 6 10 2 2" xfId="23990" xr:uid="{15F53A12-6FC0-4A4B-8DD0-C7DEB6D57C81}"/>
    <cellStyle name="20% - Akzent6 6 10 3" xfId="23989" xr:uid="{0A34A824-01AB-4AC5-A9EA-D5FD53E6D499}"/>
    <cellStyle name="20% - Akzent6 6 11" xfId="4554" xr:uid="{E4CAC81A-5A2D-4B68-8CF3-4EAEDACC622D}"/>
    <cellStyle name="20% - Akzent6 6 11 2" xfId="4555" xr:uid="{0206F3F8-3582-4E4E-8F21-B7F433F868F2}"/>
    <cellStyle name="20% - Akzent6 6 11 2 2" xfId="23992" xr:uid="{16D0A9B3-CE33-4557-8A0D-1A6BDF66D10F}"/>
    <cellStyle name="20% - Akzent6 6 11 3" xfId="23991" xr:uid="{91AD3885-CD04-4CC4-86C9-D2DEB0D529D9}"/>
    <cellStyle name="20% - Akzent6 6 12" xfId="4556" xr:uid="{2106AF16-25B2-41DB-AEE5-B796BD70A5DB}"/>
    <cellStyle name="20% - Akzent6 6 12 2" xfId="4557" xr:uid="{E16F3E79-37D6-4D48-9499-69C31B54FDAD}"/>
    <cellStyle name="20% - Akzent6 6 12 2 2" xfId="23994" xr:uid="{6DA8DCF4-5896-49E4-98AA-737A065EC72D}"/>
    <cellStyle name="20% - Akzent6 6 12 3" xfId="23993" xr:uid="{78F338A9-A0DD-4283-85F2-45A037748A7F}"/>
    <cellStyle name="20% - Akzent6 6 13" xfId="4558" xr:uid="{786445FB-EEE8-4773-A0C8-35585C36CF7C}"/>
    <cellStyle name="20% - Akzent6 6 13 2" xfId="4559" xr:uid="{3DD6448A-F803-4F9F-8254-D0F7F399D8CF}"/>
    <cellStyle name="20% - Akzent6 6 13 2 2" xfId="23996" xr:uid="{D503309E-F1B6-4D1C-BC3F-28F0AB0F39C4}"/>
    <cellStyle name="20% - Akzent6 6 13 3" xfId="23995" xr:uid="{F5F62235-2B0F-4C3A-B130-677A9A4AF7C6}"/>
    <cellStyle name="20% - Akzent6 6 14" xfId="4560" xr:uid="{E895258C-1755-4655-AF0D-3A3F935334E5}"/>
    <cellStyle name="20% - Akzent6 6 14 2" xfId="4561" xr:uid="{4663F6BF-279F-4F9E-BB4D-81BED7C2D6F0}"/>
    <cellStyle name="20% - Akzent6 6 14 2 2" xfId="23998" xr:uid="{3C73BE95-E259-469F-9126-2E04D1D4325C}"/>
    <cellStyle name="20% - Akzent6 6 14 3" xfId="23997" xr:uid="{BB3A9DD0-0EC9-4DD1-BFD3-53FBD0513A11}"/>
    <cellStyle name="20% - Akzent6 6 15" xfId="4562" xr:uid="{A6F6E211-3EBE-461E-9AA9-57324D5C6595}"/>
    <cellStyle name="20% - Akzent6 6 15 2" xfId="4563" xr:uid="{65EF0FF1-E767-4C4C-B05A-8D6109DC155A}"/>
    <cellStyle name="20% - Akzent6 6 15 2 2" xfId="24000" xr:uid="{DE2B80E1-5171-4ABF-B8A3-1FC6B22EB103}"/>
    <cellStyle name="20% - Akzent6 6 15 3" xfId="23999" xr:uid="{3286BB57-B1BA-45F7-96AB-FC78E25BBC80}"/>
    <cellStyle name="20% - Akzent6 6 16" xfId="4564" xr:uid="{40386D0F-6B02-45AA-A65E-C7FEDC960FD9}"/>
    <cellStyle name="20% - Akzent6 6 16 2" xfId="4565" xr:uid="{C2FF4FCF-F3BF-4857-A677-6BCC5C388C2E}"/>
    <cellStyle name="20% - Akzent6 6 16 2 2" xfId="24002" xr:uid="{6F584C1E-4BCB-47FC-B3B4-F38FC2CD41BB}"/>
    <cellStyle name="20% - Akzent6 6 16 3" xfId="24001" xr:uid="{46DE3484-CC82-44ED-8F42-1828854CF755}"/>
    <cellStyle name="20% - Akzent6 6 17" xfId="4566" xr:uid="{1455E1FA-59F9-4CD4-BBFF-A546386354D1}"/>
    <cellStyle name="20% - Akzent6 6 17 2" xfId="4567" xr:uid="{A502EE9D-F600-4E99-8C9F-52A36F81638D}"/>
    <cellStyle name="20% - Akzent6 6 17 2 2" xfId="24004" xr:uid="{4FBBF042-4F53-4505-A971-9E84933E5EFB}"/>
    <cellStyle name="20% - Akzent6 6 17 3" xfId="24003" xr:uid="{4CB4897D-B829-4432-9791-CC02EBEBD5CC}"/>
    <cellStyle name="20% - Akzent6 6 18" xfId="4568" xr:uid="{FABD7667-5693-4017-8667-F03A4486F272}"/>
    <cellStyle name="20% - Akzent6 6 18 2" xfId="4569" xr:uid="{D7D9CAE4-8956-4117-89B8-E8400DE1DC07}"/>
    <cellStyle name="20% - Akzent6 6 18 2 2" xfId="24006" xr:uid="{32A54380-79CD-40C8-BC0F-361A138D0F86}"/>
    <cellStyle name="20% - Akzent6 6 18 3" xfId="24005" xr:uid="{D85E4904-4BD1-42D5-A53F-17FE4ABDBEE6}"/>
    <cellStyle name="20% - Akzent6 6 19" xfId="4570" xr:uid="{FA1972DA-3237-4413-9E8F-6FBC0F8A9207}"/>
    <cellStyle name="20% - Akzent6 6 19 2" xfId="4571" xr:uid="{BFA58C56-D685-4AF5-8683-C4E8D0874F01}"/>
    <cellStyle name="20% - Akzent6 6 19 2 2" xfId="24008" xr:uid="{0AF3E13F-E2AE-4DA5-80E8-639B96A9CD04}"/>
    <cellStyle name="20% - Akzent6 6 19 3" xfId="24007" xr:uid="{C7F2CB20-B70F-467A-9C47-1EE9C1279C08}"/>
    <cellStyle name="20% - Akzent6 6 2" xfId="4572" xr:uid="{E782C937-0E97-4016-B6B3-F5BFC272CDF0}"/>
    <cellStyle name="20% - Akzent6 6 2 2" xfId="24009" xr:uid="{233C92B2-FCD2-476A-BF88-052A0416A77F}"/>
    <cellStyle name="20% - Akzent6 6 20" xfId="4573" xr:uid="{50DC68CF-A86B-49DC-B558-F6E84580F8B5}"/>
    <cellStyle name="20% - Akzent6 6 20 2" xfId="4574" xr:uid="{8379CA91-B53F-4D88-89C6-85E3200227C9}"/>
    <cellStyle name="20% - Akzent6 6 20 2 2" xfId="24011" xr:uid="{8F680AF1-4097-4A77-96E8-C2079E939873}"/>
    <cellStyle name="20% - Akzent6 6 20 3" xfId="24010" xr:uid="{4D6130FB-6BB9-4C87-A4AF-7C2A5BBB9C80}"/>
    <cellStyle name="20% - Akzent6 6 21" xfId="4575" xr:uid="{5B5FD43C-9B2D-4A77-8131-BAB341B197A0}"/>
    <cellStyle name="20% - Akzent6 6 21 2" xfId="4576" xr:uid="{7900CD9E-8E50-47CA-B5B6-EA94620CCA4A}"/>
    <cellStyle name="20% - Akzent6 6 21 2 2" xfId="24013" xr:uid="{1C3A7156-A004-40A1-BD28-A458BE2019A1}"/>
    <cellStyle name="20% - Akzent6 6 21 3" xfId="24012" xr:uid="{F6CE479B-3778-4E57-B3D3-19D290599706}"/>
    <cellStyle name="20% - Akzent6 6 22" xfId="4577" xr:uid="{5770D90A-3F22-49E9-B59F-4B194418F0B2}"/>
    <cellStyle name="20% - Akzent6 6 22 2" xfId="24014" xr:uid="{1890720A-78CD-473D-9271-2A7528F98712}"/>
    <cellStyle name="20% - Akzent6 6 23" xfId="4578" xr:uid="{B2F14A1B-1927-43E2-AAC5-5635A7F680D0}"/>
    <cellStyle name="20% - Akzent6 6 23 2" xfId="24015" xr:uid="{73A26A65-A345-41D4-A638-6C255106C136}"/>
    <cellStyle name="20% - Akzent6 6 24" xfId="23988" xr:uid="{63FBA9CA-883E-43F7-9979-537A71D83495}"/>
    <cellStyle name="20% - Akzent6 6 3" xfId="4579" xr:uid="{D58407E7-DF9B-4520-A54E-AFFE9ECEB34B}"/>
    <cellStyle name="20% - Akzent6 6 3 2" xfId="4580" xr:uid="{E19D7945-055B-4882-AB3B-C96B095CFAB5}"/>
    <cellStyle name="20% - Akzent6 6 3 2 2" xfId="24017" xr:uid="{8A28C3A4-114A-48CB-B571-3ACCBF877387}"/>
    <cellStyle name="20% - Akzent6 6 3 3" xfId="24016" xr:uid="{66EA85E2-4D38-4AFD-BE3A-9627D4C8873A}"/>
    <cellStyle name="20% - Akzent6 6 4" xfId="4581" xr:uid="{6699C42A-ED75-405C-A7B3-C71BC3691985}"/>
    <cellStyle name="20% - Akzent6 6 4 2" xfId="4582" xr:uid="{37F2CE3D-ECFB-4CEF-8D57-09D35FD6D79B}"/>
    <cellStyle name="20% - Akzent6 6 4 2 2" xfId="24019" xr:uid="{F871055E-1543-4D98-9C88-601F6A03E01F}"/>
    <cellStyle name="20% - Akzent6 6 4 3" xfId="24018" xr:uid="{077DFC34-9609-4494-AFF9-B4F63329240C}"/>
    <cellStyle name="20% - Akzent6 6 5" xfId="4583" xr:uid="{E51B9470-C11F-46EE-98CC-C6989F2E4E7B}"/>
    <cellStyle name="20% - Akzent6 6 5 2" xfId="4584" xr:uid="{172D3EEE-6873-4201-A2EB-ABD3BF513E72}"/>
    <cellStyle name="20% - Akzent6 6 5 2 2" xfId="24021" xr:uid="{94491CB7-EF17-4125-B69A-A26B8C1FEDC5}"/>
    <cellStyle name="20% - Akzent6 6 5 3" xfId="24020" xr:uid="{F429F504-01BD-48BD-8A6B-6C74E8ABF026}"/>
    <cellStyle name="20% - Akzent6 6 6" xfId="4585" xr:uid="{C752FD4F-5948-42A3-9A61-BA9BB7994D68}"/>
    <cellStyle name="20% - Akzent6 6 6 2" xfId="4586" xr:uid="{BD1F1A92-10C1-48BA-9860-C38F4FA598B5}"/>
    <cellStyle name="20% - Akzent6 6 6 2 2" xfId="24023" xr:uid="{1F7ED297-DE2A-4EA1-8C97-50A56E80F9BD}"/>
    <cellStyle name="20% - Akzent6 6 6 3" xfId="24022" xr:uid="{E03C64B6-755E-4A7C-B176-9B8464782652}"/>
    <cellStyle name="20% - Akzent6 6 7" xfId="4587" xr:uid="{F6B74C04-411E-44EE-87E9-B1C0A82AF643}"/>
    <cellStyle name="20% - Akzent6 6 7 2" xfId="4588" xr:uid="{E1F79A53-57A0-4055-9869-C182FE5160A8}"/>
    <cellStyle name="20% - Akzent6 6 7 2 2" xfId="24025" xr:uid="{48C0AF4A-50C9-4CEC-A074-6EF252C35F3E}"/>
    <cellStyle name="20% - Akzent6 6 7 3" xfId="24024" xr:uid="{882B6AAE-0382-43EC-A782-EB44DA3F0690}"/>
    <cellStyle name="20% - Akzent6 6 8" xfId="4589" xr:uid="{DB7327DB-74B3-43CD-9ED9-03FA4841B722}"/>
    <cellStyle name="20% - Akzent6 6 8 2" xfId="4590" xr:uid="{9E46DE7B-17E2-4DDA-B76F-AC04CF3CC869}"/>
    <cellStyle name="20% - Akzent6 6 8 2 2" xfId="24027" xr:uid="{FB8B326C-C5DF-4A02-80BC-6D02E3C69B63}"/>
    <cellStyle name="20% - Akzent6 6 8 3" xfId="24026" xr:uid="{FE112F2D-6D2C-4D5F-BF72-D19F58C6B3FA}"/>
    <cellStyle name="20% - Akzent6 6 9" xfId="4591" xr:uid="{413D14CB-2C6A-4295-897A-D0CEDBBDB19F}"/>
    <cellStyle name="20% - Akzent6 6 9 2" xfId="4592" xr:uid="{222E5AC3-2EAE-4D70-A73E-33C144CDDA02}"/>
    <cellStyle name="20% - Akzent6 6 9 2 2" xfId="24029" xr:uid="{0BBD831C-264C-416E-B057-DBA0DB34C704}"/>
    <cellStyle name="20% - Akzent6 6 9 3" xfId="24028" xr:uid="{42680EC4-CF44-4DBA-81C8-A719B5CC7B95}"/>
    <cellStyle name="20% - Akzent6 60" xfId="4593" xr:uid="{D5AEDF78-432B-49A5-8F1F-CA395A1CA894}"/>
    <cellStyle name="20% - Akzent6 60 2" xfId="4594" xr:uid="{4DC8DAFD-881C-4EA6-A735-D32A6325C8C6}"/>
    <cellStyle name="20% - Akzent6 60 2 2" xfId="24031" xr:uid="{17D36D60-F652-4927-B209-C08152856B20}"/>
    <cellStyle name="20% - Akzent6 60 3" xfId="24030" xr:uid="{D61F0E7A-2150-46DD-9F45-F9EDA6EFCAF7}"/>
    <cellStyle name="20% - Akzent6 61" xfId="4595" xr:uid="{0CC1CBD9-3D6F-40F9-9693-8A91F8EB5C1C}"/>
    <cellStyle name="20% - Akzent6 61 2" xfId="4596" xr:uid="{7E08B3A5-9828-4373-8DFA-28A83D3CB15F}"/>
    <cellStyle name="20% - Akzent6 61 2 2" xfId="24033" xr:uid="{7810DDA6-8199-4ACC-843B-34D857716CEE}"/>
    <cellStyle name="20% - Akzent6 61 3" xfId="24032" xr:uid="{E9DE006D-E940-4454-8C80-0463B3F76DD6}"/>
    <cellStyle name="20% - Akzent6 62" xfId="4597" xr:uid="{27F4821D-FC9A-4C86-A8A6-ACFDB480F6F1}"/>
    <cellStyle name="20% - Akzent6 62 2" xfId="4598" xr:uid="{9753F02C-A82E-4998-907A-ACCE37AD1A63}"/>
    <cellStyle name="20% - Akzent6 62 2 2" xfId="24035" xr:uid="{8F376A32-A6ED-40C9-8623-F75F9D05F933}"/>
    <cellStyle name="20% - Akzent6 62 3" xfId="24034" xr:uid="{D41FCC0B-9F24-449C-8034-9AF35A6E0CCB}"/>
    <cellStyle name="20% - Akzent6 63" xfId="4599" xr:uid="{41DAE7A3-4057-478B-885C-AADEE8ADEA3E}"/>
    <cellStyle name="20% - Akzent6 63 2" xfId="4600" xr:uid="{0AF7C70A-46A2-47BD-BA21-448FEB8A64B7}"/>
    <cellStyle name="20% - Akzent6 63 2 2" xfId="24037" xr:uid="{77675DED-C3A3-4DD9-8FE4-08DC8579EAF2}"/>
    <cellStyle name="20% - Akzent6 63 3" xfId="24036" xr:uid="{B000C043-F9BD-4AA0-826A-C05C03FAEDEA}"/>
    <cellStyle name="20% - Akzent6 64" xfId="4601" xr:uid="{8DCC6CC8-973D-468D-875C-21A299C02D67}"/>
    <cellStyle name="20% - Akzent6 64 2" xfId="4602" xr:uid="{46D3AF16-43DF-45A2-ABA9-0B6B8CD60B26}"/>
    <cellStyle name="20% - Akzent6 64 2 2" xfId="24039" xr:uid="{506BF43B-D0E6-4AED-9057-F4A8978CA8DA}"/>
    <cellStyle name="20% - Akzent6 64 3" xfId="24038" xr:uid="{D129246D-591A-4E95-856E-321632B88C9F}"/>
    <cellStyle name="20% - Akzent6 65" xfId="4603" xr:uid="{3DF8B8CF-6C12-4575-9771-7A7C197F46CE}"/>
    <cellStyle name="20% - Akzent6 65 2" xfId="4604" xr:uid="{6622545B-52A8-45CB-9A60-1C9CC4D87E78}"/>
    <cellStyle name="20% - Akzent6 65 2 2" xfId="24041" xr:uid="{26C64F2F-20B4-4E0A-9AB1-5AB0CBDDFE44}"/>
    <cellStyle name="20% - Akzent6 65 3" xfId="24040" xr:uid="{73965388-5C53-41F6-A783-ADE2322AAFB5}"/>
    <cellStyle name="20% - Akzent6 66" xfId="4605" xr:uid="{BF0BA01F-B19B-4CAD-BDCE-546CBBFD9884}"/>
    <cellStyle name="20% - Akzent6 66 2" xfId="4606" xr:uid="{ACFF3502-7172-4D27-A31B-A6A6799AA342}"/>
    <cellStyle name="20% - Akzent6 66 2 2" xfId="24043" xr:uid="{AE4FBB61-D080-4AF8-AA60-7F94F49DCC71}"/>
    <cellStyle name="20% - Akzent6 66 3" xfId="24042" xr:uid="{E3F757CD-1403-47FA-96F5-21AD0025C140}"/>
    <cellStyle name="20% - Akzent6 67" xfId="4607" xr:uid="{FFFC89D2-14A0-4888-B62C-5D1F9DBC1130}"/>
    <cellStyle name="20% - Akzent6 67 2" xfId="4608" xr:uid="{41E246C9-67C3-4DAC-95C9-10E9BB0CECDA}"/>
    <cellStyle name="20% - Akzent6 67 2 2" xfId="24045" xr:uid="{375E8076-576C-4FEB-A82B-78A32DEAE273}"/>
    <cellStyle name="20% - Akzent6 67 3" xfId="24044" xr:uid="{83A48E12-CA57-4986-825D-2D4770CC7C71}"/>
    <cellStyle name="20% - Akzent6 68" xfId="4609" xr:uid="{42D18FE9-233B-4091-882E-6F9A78446F99}"/>
    <cellStyle name="20% - Akzent6 68 2" xfId="4610" xr:uid="{927991B7-B0A8-4A6D-9E32-66D0BD14A8D4}"/>
    <cellStyle name="20% - Akzent6 68 2 2" xfId="24047" xr:uid="{2F7390DF-5031-4DE9-B6B7-6270963EF7A1}"/>
    <cellStyle name="20% - Akzent6 68 3" xfId="24046" xr:uid="{87509B63-EF63-47A5-8C51-008ED3C9CDB9}"/>
    <cellStyle name="20% - Akzent6 69" xfId="4611" xr:uid="{A1770136-CA86-423A-858B-AFD472EFECE1}"/>
    <cellStyle name="20% - Akzent6 69 2" xfId="4612" xr:uid="{B363B011-DEFE-4131-9EA3-3FC39F7F63D3}"/>
    <cellStyle name="20% - Akzent6 69 2 2" xfId="24049" xr:uid="{F5E14F1C-2C00-40EA-B60C-E810E6738508}"/>
    <cellStyle name="20% - Akzent6 69 3" xfId="24048" xr:uid="{D256FA5F-01DA-49D8-90AF-05DE7D5CB55B}"/>
    <cellStyle name="20% - Akzent6 7" xfId="4613" xr:uid="{C67D2978-D8A7-4B11-A687-E756C30824CC}"/>
    <cellStyle name="20% - Akzent6 7 10" xfId="4614" xr:uid="{8E650349-C5C7-47AE-BF31-B864DC870C5C}"/>
    <cellStyle name="20% - Akzent6 7 10 2" xfId="4615" xr:uid="{412465FE-8E96-49BF-BF13-7ACD6189ED94}"/>
    <cellStyle name="20% - Akzent6 7 10 2 2" xfId="24052" xr:uid="{15FE91A3-B385-4309-8539-044C399FE426}"/>
    <cellStyle name="20% - Akzent6 7 10 3" xfId="24051" xr:uid="{36E3AFD4-54B2-427D-A5DC-BF86FD2695E3}"/>
    <cellStyle name="20% - Akzent6 7 11" xfId="4616" xr:uid="{C51E35A1-37FB-4715-BAE2-0D98B393580D}"/>
    <cellStyle name="20% - Akzent6 7 11 2" xfId="4617" xr:uid="{A39B315B-1CFE-4900-8457-709FCEA717F7}"/>
    <cellStyle name="20% - Akzent6 7 11 2 2" xfId="24054" xr:uid="{049153DD-471E-4971-B4FB-830AC53DC371}"/>
    <cellStyle name="20% - Akzent6 7 11 3" xfId="24053" xr:uid="{826D1871-2694-4818-9C96-4F95A23BEF1D}"/>
    <cellStyle name="20% - Akzent6 7 12" xfId="4618" xr:uid="{5EF4C32D-EBB8-4092-AF1B-51DA015CCA8F}"/>
    <cellStyle name="20% - Akzent6 7 12 2" xfId="4619" xr:uid="{86005296-89FE-461D-8A15-04AE6A04447B}"/>
    <cellStyle name="20% - Akzent6 7 12 2 2" xfId="24056" xr:uid="{6DD856B8-1FCC-4EA1-B14E-247EF8E6FD42}"/>
    <cellStyle name="20% - Akzent6 7 12 3" xfId="24055" xr:uid="{52FA22AF-733F-4DAD-91C1-B2BD40116D78}"/>
    <cellStyle name="20% - Akzent6 7 13" xfId="4620" xr:uid="{6547D1D3-72B2-41EC-BD7B-4AF212CA2DDC}"/>
    <cellStyle name="20% - Akzent6 7 13 2" xfId="4621" xr:uid="{8FF0DB81-FC07-44F3-BE8D-1358A6996B97}"/>
    <cellStyle name="20% - Akzent6 7 13 2 2" xfId="24058" xr:uid="{6D0C4A4F-CE7A-492B-B852-7A42C05F5659}"/>
    <cellStyle name="20% - Akzent6 7 13 3" xfId="24057" xr:uid="{6809C810-9679-477F-AAFB-F8368F3105D8}"/>
    <cellStyle name="20% - Akzent6 7 14" xfId="4622" xr:uid="{B990C2C3-2730-489A-B96A-760F1C6C4B7A}"/>
    <cellStyle name="20% - Akzent6 7 14 2" xfId="4623" xr:uid="{2EE59E62-E8CA-4ECC-96A2-07533E727FC5}"/>
    <cellStyle name="20% - Akzent6 7 14 2 2" xfId="24060" xr:uid="{2195AC55-8860-4CB6-BB8B-3356FCD4BADD}"/>
    <cellStyle name="20% - Akzent6 7 14 3" xfId="24059" xr:uid="{70283088-139A-40DD-B2E3-7C83FE17FCA0}"/>
    <cellStyle name="20% - Akzent6 7 15" xfId="4624" xr:uid="{2E790A77-2D3A-45EE-9C8D-74B2540A7FA2}"/>
    <cellStyle name="20% - Akzent6 7 15 2" xfId="4625" xr:uid="{74E01DB5-D952-4AD6-B05D-700F4818D558}"/>
    <cellStyle name="20% - Akzent6 7 15 2 2" xfId="24062" xr:uid="{8D633979-F5DE-428C-B6C5-58A48CDA2E09}"/>
    <cellStyle name="20% - Akzent6 7 15 3" xfId="24061" xr:uid="{8B80632F-F559-475D-9708-61B7CFC5F23C}"/>
    <cellStyle name="20% - Akzent6 7 16" xfId="4626" xr:uid="{A25FF1EF-3597-4923-84CC-68674E7266B9}"/>
    <cellStyle name="20% - Akzent6 7 16 2" xfId="4627" xr:uid="{7F2A5318-D94E-488B-B11C-052296DF3348}"/>
    <cellStyle name="20% - Akzent6 7 16 2 2" xfId="24064" xr:uid="{E8E3B5FE-ECF8-44D6-9A60-E3A03CA893A1}"/>
    <cellStyle name="20% - Akzent6 7 16 3" xfId="24063" xr:uid="{475C88AB-5063-471D-A324-36C95D490E15}"/>
    <cellStyle name="20% - Akzent6 7 17" xfId="4628" xr:uid="{B78293FF-4F87-4FE9-A44F-9104AC77C04A}"/>
    <cellStyle name="20% - Akzent6 7 17 2" xfId="4629" xr:uid="{58EBA048-23C9-429A-9B88-ACAB8EEC75D8}"/>
    <cellStyle name="20% - Akzent6 7 17 2 2" xfId="24066" xr:uid="{B277B245-E12B-4CCD-9A48-9E902D32508D}"/>
    <cellStyle name="20% - Akzent6 7 17 3" xfId="24065" xr:uid="{EA0D1F58-C995-4461-B292-B39730AAE339}"/>
    <cellStyle name="20% - Akzent6 7 18" xfId="4630" xr:uid="{EC73C268-74E0-49B0-AF3B-E00776677318}"/>
    <cellStyle name="20% - Akzent6 7 18 2" xfId="4631" xr:uid="{0DB87A07-E36C-44AD-91CE-A565F3DB003F}"/>
    <cellStyle name="20% - Akzent6 7 18 2 2" xfId="24068" xr:uid="{0D1C759B-C798-4D91-862E-B041B8FDA5EB}"/>
    <cellStyle name="20% - Akzent6 7 18 3" xfId="24067" xr:uid="{BABA54E5-C8FF-45A6-80AA-9E44D644737A}"/>
    <cellStyle name="20% - Akzent6 7 19" xfId="4632" xr:uid="{DDACB43C-DD89-4D5E-9D3E-19DDFC72EB83}"/>
    <cellStyle name="20% - Akzent6 7 19 2" xfId="4633" xr:uid="{E4E67893-39F6-4A7B-BA7A-A75E5CFAE863}"/>
    <cellStyle name="20% - Akzent6 7 19 2 2" xfId="24070" xr:uid="{34F1139E-5696-4425-A533-E792F774CACF}"/>
    <cellStyle name="20% - Akzent6 7 19 3" xfId="24069" xr:uid="{6C8BF169-CBAE-4B5B-8F06-24A9BF49502B}"/>
    <cellStyle name="20% - Akzent6 7 2" xfId="4634" xr:uid="{43FED04B-875B-480C-91A4-ADC6A4F55D04}"/>
    <cellStyle name="20% - Akzent6 7 2 2" xfId="4635" xr:uid="{D81AAF74-F236-4621-BD04-267E0BD13739}"/>
    <cellStyle name="20% - Akzent6 7 2 2 2" xfId="24072" xr:uid="{B9C047BA-E6B2-4265-8953-A3CA1DD56361}"/>
    <cellStyle name="20% - Akzent6 7 2 3" xfId="24071" xr:uid="{D36858EE-2C84-4659-BF83-640CCEFC1692}"/>
    <cellStyle name="20% - Akzent6 7 20" xfId="4636" xr:uid="{988F63B3-2D28-4A04-8190-AD0A1FDC7204}"/>
    <cellStyle name="20% - Akzent6 7 20 2" xfId="4637" xr:uid="{51769942-FD39-4F0A-9CD2-3441DF7BB2D6}"/>
    <cellStyle name="20% - Akzent6 7 20 2 2" xfId="24074" xr:uid="{054FC758-9C30-41F5-B8BA-8F9C6E687FF7}"/>
    <cellStyle name="20% - Akzent6 7 20 3" xfId="24073" xr:uid="{13B1CD69-B368-49A0-B641-1E60F897966F}"/>
    <cellStyle name="20% - Akzent6 7 21" xfId="4638" xr:uid="{13730A9D-A073-44AF-95A5-3471614E86FD}"/>
    <cellStyle name="20% - Akzent6 7 21 2" xfId="4639" xr:uid="{FC5A3C82-3DC9-44A6-8644-4DB485235123}"/>
    <cellStyle name="20% - Akzent6 7 21 2 2" xfId="24076" xr:uid="{B246B04F-FADD-47BB-A402-B8222201F0B7}"/>
    <cellStyle name="20% - Akzent6 7 21 3" xfId="24075" xr:uid="{40138627-4153-4DBA-9D20-13934C757BD1}"/>
    <cellStyle name="20% - Akzent6 7 22" xfId="4640" xr:uid="{1CF4A80F-D7A6-44B7-842C-68DE655D3771}"/>
    <cellStyle name="20% - Akzent6 7 22 2" xfId="24077" xr:uid="{78EE8A6D-389F-4D17-B909-5836F126266B}"/>
    <cellStyle name="20% - Akzent6 7 23" xfId="24050" xr:uid="{DD858081-FC08-494D-8C19-E992A2820B09}"/>
    <cellStyle name="20% - Akzent6 7 3" xfId="4641" xr:uid="{6DF228DE-48D2-416E-8216-C7F21E8699C8}"/>
    <cellStyle name="20% - Akzent6 7 3 2" xfId="4642" xr:uid="{DD7ADE98-1A8F-4F36-8EAA-23FCB08FA180}"/>
    <cellStyle name="20% - Akzent6 7 3 2 2" xfId="24079" xr:uid="{E1850B11-8C15-4C79-A144-20BF64DCF910}"/>
    <cellStyle name="20% - Akzent6 7 3 3" xfId="24078" xr:uid="{C9FB7A7E-F5B9-42C3-B713-729930070B6C}"/>
    <cellStyle name="20% - Akzent6 7 4" xfId="4643" xr:uid="{68C4BC40-8190-43C4-97DC-2B9138B6927A}"/>
    <cellStyle name="20% - Akzent6 7 4 2" xfId="4644" xr:uid="{7C9C95C5-278D-46AF-B609-C1776553C5C3}"/>
    <cellStyle name="20% - Akzent6 7 4 2 2" xfId="24081" xr:uid="{AB50AA8A-53AE-4FE0-B8C0-1678D56A71B4}"/>
    <cellStyle name="20% - Akzent6 7 4 3" xfId="24080" xr:uid="{7F3A097C-745A-411B-B005-BC924A6D50CF}"/>
    <cellStyle name="20% - Akzent6 7 5" xfId="4645" xr:uid="{F892EB23-B75A-426D-A2BA-BE3CB42A1727}"/>
    <cellStyle name="20% - Akzent6 7 5 2" xfId="4646" xr:uid="{3C181083-1FD1-4DB6-A098-A6F1A799B0DB}"/>
    <cellStyle name="20% - Akzent6 7 5 2 2" xfId="24083" xr:uid="{3310A915-42F7-4840-8261-AC60EF5255CE}"/>
    <cellStyle name="20% - Akzent6 7 5 3" xfId="24082" xr:uid="{E8180818-C3D1-4B8F-AE92-9A1FF4CA7C64}"/>
    <cellStyle name="20% - Akzent6 7 6" xfId="4647" xr:uid="{472F3A4C-35A7-4340-A75B-729DD9A5B6F7}"/>
    <cellStyle name="20% - Akzent6 7 6 2" xfId="4648" xr:uid="{72B3BAA0-5BF5-47E9-9918-E19B42CAE7BB}"/>
    <cellStyle name="20% - Akzent6 7 6 2 2" xfId="24085" xr:uid="{9A80F670-3F71-49F4-92C3-30C3A39D8EC7}"/>
    <cellStyle name="20% - Akzent6 7 6 3" xfId="24084" xr:uid="{D84A3DBB-1909-4857-AC69-C3F98A6D8786}"/>
    <cellStyle name="20% - Akzent6 7 7" xfId="4649" xr:uid="{96A43716-29EB-4078-84E0-A6A99C7F4B89}"/>
    <cellStyle name="20% - Akzent6 7 7 2" xfId="4650" xr:uid="{2623059C-16E5-43FC-8678-137759528494}"/>
    <cellStyle name="20% - Akzent6 7 7 2 2" xfId="24087" xr:uid="{684A67B8-9AA4-4FC9-AB00-FD6E7776CFD5}"/>
    <cellStyle name="20% - Akzent6 7 7 3" xfId="24086" xr:uid="{DF80DC99-6097-4D09-A42C-F78EB27F500D}"/>
    <cellStyle name="20% - Akzent6 7 8" xfId="4651" xr:uid="{BC40EB27-0B29-444A-9E15-5550422CFE85}"/>
    <cellStyle name="20% - Akzent6 7 8 2" xfId="4652" xr:uid="{8C4BEFBA-D5DE-424E-B12A-4B995B4A651F}"/>
    <cellStyle name="20% - Akzent6 7 8 2 2" xfId="24089" xr:uid="{C58A5DB8-0503-4626-A812-818ADF35B086}"/>
    <cellStyle name="20% - Akzent6 7 8 3" xfId="24088" xr:uid="{566C847C-CFFD-4FED-BD28-37E4B29DB509}"/>
    <cellStyle name="20% - Akzent6 7 9" xfId="4653" xr:uid="{16623F78-16A8-4E94-AA09-A4AA959AD84F}"/>
    <cellStyle name="20% - Akzent6 7 9 2" xfId="4654" xr:uid="{C3D2E566-EB02-4592-86D2-A0AC6AF19978}"/>
    <cellStyle name="20% - Akzent6 7 9 2 2" xfId="24091" xr:uid="{FAEAAE6C-FE3A-4437-91CD-3E766B575CAB}"/>
    <cellStyle name="20% - Akzent6 7 9 3" xfId="24090" xr:uid="{66C7E3E8-A3C2-4E35-93C3-CB8FE4776DB9}"/>
    <cellStyle name="20% - Akzent6 70" xfId="4655" xr:uid="{14B23B85-04DC-4853-9E3B-7DD548F1CF1D}"/>
    <cellStyle name="20% - Akzent6 70 2" xfId="24092" xr:uid="{2E3B6462-02C4-4C00-A431-E8277F79EA5B}"/>
    <cellStyle name="20% - Akzent6 71" xfId="3980" xr:uid="{D29E8075-E349-4CEA-AFDD-AE455B231EA4}"/>
    <cellStyle name="20% - Akzent6 8" xfId="4656" xr:uid="{F618016E-0C14-48EC-9476-4570AF722D18}"/>
    <cellStyle name="20% - Akzent6 8 10" xfId="4657" xr:uid="{D86D7EEC-B661-48CB-8ADF-3D94DDD81B3A}"/>
    <cellStyle name="20% - Akzent6 8 10 2" xfId="4658" xr:uid="{EB020C82-0E95-4336-8F76-1E3F76AD307A}"/>
    <cellStyle name="20% - Akzent6 8 10 2 2" xfId="24095" xr:uid="{806CFAB5-C3DA-48D3-87D7-1CD7228FB27E}"/>
    <cellStyle name="20% - Akzent6 8 10 3" xfId="24094" xr:uid="{DE050FD9-54B4-42A6-B403-FA80897230BB}"/>
    <cellStyle name="20% - Akzent6 8 11" xfId="4659" xr:uid="{7BF9CC45-7273-4567-9931-E608D8FBD348}"/>
    <cellStyle name="20% - Akzent6 8 11 2" xfId="4660" xr:uid="{BA30CADD-1033-4EB8-AA5C-0662A7BCC275}"/>
    <cellStyle name="20% - Akzent6 8 11 2 2" xfId="24097" xr:uid="{28EFB079-9516-4233-8DEB-A247A2DBE8A9}"/>
    <cellStyle name="20% - Akzent6 8 11 3" xfId="24096" xr:uid="{A552AFD2-ACDC-4019-A1BB-464B9FC9788B}"/>
    <cellStyle name="20% - Akzent6 8 12" xfId="4661" xr:uid="{67138DE9-BC39-44A0-AD78-F9EB8E98E096}"/>
    <cellStyle name="20% - Akzent6 8 12 2" xfId="4662" xr:uid="{4611800C-649C-41DA-87AF-51F192A6315E}"/>
    <cellStyle name="20% - Akzent6 8 12 2 2" xfId="24099" xr:uid="{25DC7AA8-09DB-484E-9875-0A11C8A59BFF}"/>
    <cellStyle name="20% - Akzent6 8 12 3" xfId="24098" xr:uid="{2D47D5F3-D195-4672-965E-545DD413C586}"/>
    <cellStyle name="20% - Akzent6 8 13" xfId="4663" xr:uid="{0615BC33-A12F-482A-B506-3EF2D24FCE28}"/>
    <cellStyle name="20% - Akzent6 8 13 2" xfId="4664" xr:uid="{C51E3EB7-977F-4FB6-9691-78FBB2EDFBE6}"/>
    <cellStyle name="20% - Akzent6 8 13 2 2" xfId="24101" xr:uid="{AC12A069-A0D9-4ACA-ABA0-5678F04A65AB}"/>
    <cellStyle name="20% - Akzent6 8 13 3" xfId="24100" xr:uid="{FA63689F-7D85-4BCF-B144-478BC19E7B2E}"/>
    <cellStyle name="20% - Akzent6 8 14" xfId="4665" xr:uid="{DE5EE124-53AA-402F-94F2-5524229E78B2}"/>
    <cellStyle name="20% - Akzent6 8 14 2" xfId="4666" xr:uid="{FB15D979-6645-46AA-A3A2-24A6E741F3F4}"/>
    <cellStyle name="20% - Akzent6 8 14 2 2" xfId="24103" xr:uid="{F2C03513-A606-4E86-8133-059D36436FD4}"/>
    <cellStyle name="20% - Akzent6 8 14 3" xfId="24102" xr:uid="{04F4011A-2194-472B-B2BE-B95DE60DE2DC}"/>
    <cellStyle name="20% - Akzent6 8 15" xfId="4667" xr:uid="{6ADD0A94-B3B4-452F-8D90-1F95FCBF67EC}"/>
    <cellStyle name="20% - Akzent6 8 15 2" xfId="4668" xr:uid="{41BC285F-2EA0-4866-9DBA-97B95A3BC6AE}"/>
    <cellStyle name="20% - Akzent6 8 15 2 2" xfId="24105" xr:uid="{8A2607E7-5B08-41E5-9F59-FA2D5B9699B0}"/>
    <cellStyle name="20% - Akzent6 8 15 3" xfId="24104" xr:uid="{60064831-32C7-48FA-98E9-09F6F11B6D56}"/>
    <cellStyle name="20% - Akzent6 8 16" xfId="4669" xr:uid="{0B164B3A-69D6-4F61-A499-422A6B0B68F9}"/>
    <cellStyle name="20% - Akzent6 8 16 2" xfId="4670" xr:uid="{59D13776-9FAA-488C-A89A-2F182B5D68CB}"/>
    <cellStyle name="20% - Akzent6 8 16 2 2" xfId="24107" xr:uid="{EBE692FD-5DDD-4760-8DE6-673A0C6C39DA}"/>
    <cellStyle name="20% - Akzent6 8 16 3" xfId="24106" xr:uid="{9003B342-8BC8-4AD4-8048-5CBBB1B8350C}"/>
    <cellStyle name="20% - Akzent6 8 17" xfId="4671" xr:uid="{FDFCFF8C-6139-4980-B316-2CEDF9AC1F65}"/>
    <cellStyle name="20% - Akzent6 8 17 2" xfId="4672" xr:uid="{92147056-DC7C-4B81-A472-C861D9C1378D}"/>
    <cellStyle name="20% - Akzent6 8 17 2 2" xfId="24109" xr:uid="{B89D3D7F-B726-4C90-BDC2-F91503087118}"/>
    <cellStyle name="20% - Akzent6 8 17 3" xfId="24108" xr:uid="{DF62D48D-0AC9-43A9-8653-908320771BFF}"/>
    <cellStyle name="20% - Akzent6 8 18" xfId="4673" xr:uid="{88BCC3C9-6A64-4D9E-9868-1FC7787B97AD}"/>
    <cellStyle name="20% - Akzent6 8 18 2" xfId="4674" xr:uid="{31804CF5-29B4-46EF-B16A-680C134613B3}"/>
    <cellStyle name="20% - Akzent6 8 18 2 2" xfId="24111" xr:uid="{D1DE1E17-C13B-4BFF-89B8-99DADD4ABE88}"/>
    <cellStyle name="20% - Akzent6 8 18 3" xfId="24110" xr:uid="{E967C28B-4BA5-4B3B-8A41-E2251F4324DD}"/>
    <cellStyle name="20% - Akzent6 8 19" xfId="4675" xr:uid="{E652BD6C-126F-402C-AB6B-86B95E99F38B}"/>
    <cellStyle name="20% - Akzent6 8 19 2" xfId="4676" xr:uid="{24BE6478-4D8E-45CE-A380-5BC857CCC1C1}"/>
    <cellStyle name="20% - Akzent6 8 19 2 2" xfId="24113" xr:uid="{CC3602A7-83C4-4EA9-BB92-B6A6D2DFFECA}"/>
    <cellStyle name="20% - Akzent6 8 19 3" xfId="24112" xr:uid="{2D91EF34-0CA4-4D0C-9E4D-96489690A931}"/>
    <cellStyle name="20% - Akzent6 8 2" xfId="4677" xr:uid="{67403861-3E98-4EEC-B3A3-11D3FEFE8B69}"/>
    <cellStyle name="20% - Akzent6 8 2 2" xfId="4678" xr:uid="{76B30CE3-5C3B-4976-9DEC-F6AC2723BAAB}"/>
    <cellStyle name="20% - Akzent6 8 2 2 2" xfId="24115" xr:uid="{C39B3012-8064-457B-9711-6E4C5A5636D8}"/>
    <cellStyle name="20% - Akzent6 8 2 3" xfId="24114" xr:uid="{5BCA1AA7-B13F-48B4-A252-F40F20AE2B4D}"/>
    <cellStyle name="20% - Akzent6 8 20" xfId="4679" xr:uid="{C67136CB-EBA4-4A29-8170-C769D8667B2F}"/>
    <cellStyle name="20% - Akzent6 8 20 2" xfId="4680" xr:uid="{A9FE021C-ADE8-4684-AA9F-10D79926193A}"/>
    <cellStyle name="20% - Akzent6 8 20 2 2" xfId="24117" xr:uid="{A9B0D608-544D-4CBC-AD13-7F5133626EE6}"/>
    <cellStyle name="20% - Akzent6 8 20 3" xfId="24116" xr:uid="{75F272D4-1608-4DCB-954A-903DA7BADE7E}"/>
    <cellStyle name="20% - Akzent6 8 21" xfId="4681" xr:uid="{314D3D6E-654D-465F-BBF1-B2EF6AD053C1}"/>
    <cellStyle name="20% - Akzent6 8 21 2" xfId="4682" xr:uid="{6963F181-CADD-43DA-B0A4-A317F5AA24BC}"/>
    <cellStyle name="20% - Akzent6 8 21 2 2" xfId="24119" xr:uid="{EA75CF0D-3291-4945-8F22-890DA77A5FD9}"/>
    <cellStyle name="20% - Akzent6 8 21 3" xfId="24118" xr:uid="{6A15234D-4FBE-44F1-ACCF-8ABE0F828855}"/>
    <cellStyle name="20% - Akzent6 8 22" xfId="4683" xr:uid="{A4FAC636-F3FA-4104-9C21-B0425B3F8A9E}"/>
    <cellStyle name="20% - Akzent6 8 22 2" xfId="24120" xr:uid="{AEAD88BB-88E7-4723-8ACF-91B5C2AD2BA8}"/>
    <cellStyle name="20% - Akzent6 8 23" xfId="24093" xr:uid="{343F7024-7A44-432D-BFD0-27837C8E21A8}"/>
    <cellStyle name="20% - Akzent6 8 3" xfId="4684" xr:uid="{7783FBF2-77A4-471A-A33D-7A53469B82D1}"/>
    <cellStyle name="20% - Akzent6 8 3 2" xfId="4685" xr:uid="{87C095F6-31C5-4B7D-8ADF-2110A08E9C8C}"/>
    <cellStyle name="20% - Akzent6 8 3 2 2" xfId="24122" xr:uid="{7ABCD680-825F-4DE2-AB4B-B8B7E0D479A8}"/>
    <cellStyle name="20% - Akzent6 8 3 3" xfId="24121" xr:uid="{D8EAC02F-17DE-4F13-9A2A-E3794584B845}"/>
    <cellStyle name="20% - Akzent6 8 4" xfId="4686" xr:uid="{2F494557-8C66-4BFF-9F65-EE69B3B7866A}"/>
    <cellStyle name="20% - Akzent6 8 4 2" xfId="4687" xr:uid="{0B2A5E3D-6CB9-4DB0-806A-344C4F780839}"/>
    <cellStyle name="20% - Akzent6 8 4 2 2" xfId="24124" xr:uid="{9F15ECB3-E106-436B-AF4C-019229B8443C}"/>
    <cellStyle name="20% - Akzent6 8 4 3" xfId="24123" xr:uid="{3F8B8A97-8065-4C97-A195-A69E1FBA6F8F}"/>
    <cellStyle name="20% - Akzent6 8 5" xfId="4688" xr:uid="{9D211EDA-41B6-4750-A84F-DD24783919A7}"/>
    <cellStyle name="20% - Akzent6 8 5 2" xfId="4689" xr:uid="{A577A77B-8E5D-441E-8431-E3C50B034DE9}"/>
    <cellStyle name="20% - Akzent6 8 5 2 2" xfId="24126" xr:uid="{B5421748-FBBB-4979-86D4-266DC50AE7FA}"/>
    <cellStyle name="20% - Akzent6 8 5 3" xfId="24125" xr:uid="{F382D1FF-CDF2-4681-850D-B68DD8428F59}"/>
    <cellStyle name="20% - Akzent6 8 6" xfId="4690" xr:uid="{87468678-5AC0-4B7A-BA2C-E55BFF502FB7}"/>
    <cellStyle name="20% - Akzent6 8 6 2" xfId="4691" xr:uid="{2E58E04A-317A-4B94-9617-D695952E1C5D}"/>
    <cellStyle name="20% - Akzent6 8 6 2 2" xfId="24128" xr:uid="{469046C1-DB8B-4F4C-8A0C-4148CDC8E9CD}"/>
    <cellStyle name="20% - Akzent6 8 6 3" xfId="24127" xr:uid="{9176A631-3F48-4001-94F7-918DC69256C6}"/>
    <cellStyle name="20% - Akzent6 8 7" xfId="4692" xr:uid="{53063472-1C21-40D1-8ED7-18A7229E01B8}"/>
    <cellStyle name="20% - Akzent6 8 7 2" xfId="4693" xr:uid="{2F9B997F-43EA-4B89-A8B7-FA28409CC694}"/>
    <cellStyle name="20% - Akzent6 8 7 2 2" xfId="24130" xr:uid="{1EFE90D1-4D43-4857-8093-43F3568683B9}"/>
    <cellStyle name="20% - Akzent6 8 7 3" xfId="24129" xr:uid="{6075A5C7-3A04-4184-A7AD-AE9D3D61BAAD}"/>
    <cellStyle name="20% - Akzent6 8 8" xfId="4694" xr:uid="{84C1C02B-D417-44D6-9BF9-68D8425B4CA4}"/>
    <cellStyle name="20% - Akzent6 8 8 2" xfId="4695" xr:uid="{C406692A-2F72-4A1B-BCAC-47A63DEE19B9}"/>
    <cellStyle name="20% - Akzent6 8 8 2 2" xfId="24132" xr:uid="{6410B532-1AD9-4EC6-AB23-8EDFB73DDEB0}"/>
    <cellStyle name="20% - Akzent6 8 8 3" xfId="24131" xr:uid="{F0D1CAA2-6389-467C-9B21-6AA1A97BE360}"/>
    <cellStyle name="20% - Akzent6 8 9" xfId="4696" xr:uid="{C5C27808-58B8-47C2-B6F7-2593A671CF54}"/>
    <cellStyle name="20% - Akzent6 8 9 2" xfId="4697" xr:uid="{98CE1956-A969-4FDC-B4A2-0E513B088B3F}"/>
    <cellStyle name="20% - Akzent6 8 9 2 2" xfId="24134" xr:uid="{EA8C89A2-F4A2-401E-B0FB-E2036018D7B6}"/>
    <cellStyle name="20% - Akzent6 8 9 3" xfId="24133" xr:uid="{639CBEA7-8ADF-416D-85F6-1C0F3E8763DF}"/>
    <cellStyle name="20% - Akzent6 9" xfId="4698" xr:uid="{C340EA08-750A-472C-83E1-2F5BB6AD51C6}"/>
    <cellStyle name="20% - Akzent6 9 10" xfId="4699" xr:uid="{22734FCB-088F-42CB-950A-2B6E3A9BA79E}"/>
    <cellStyle name="20% - Akzent6 9 10 2" xfId="4700" xr:uid="{DBF44F0C-0652-400A-A232-1E4354DA360B}"/>
    <cellStyle name="20% - Akzent6 9 10 2 2" xfId="24137" xr:uid="{25859857-9E5D-4888-B2FA-2DADE0B6ED30}"/>
    <cellStyle name="20% - Akzent6 9 10 3" xfId="24136" xr:uid="{E8A3E85D-39EC-4F2B-8031-66F6A0867FE2}"/>
    <cellStyle name="20% - Akzent6 9 11" xfId="4701" xr:uid="{7EE0375B-DE36-4429-BC8D-E46060554203}"/>
    <cellStyle name="20% - Akzent6 9 11 2" xfId="4702" xr:uid="{27E6ECA0-02D1-4896-84E3-BF2ADC5E7C7B}"/>
    <cellStyle name="20% - Akzent6 9 11 2 2" xfId="24139" xr:uid="{F2414CC4-33CD-45C1-82B9-FABBCF5B89EB}"/>
    <cellStyle name="20% - Akzent6 9 11 3" xfId="24138" xr:uid="{CCE6BC5D-E33C-4D0E-AD8F-E1FFE3091F06}"/>
    <cellStyle name="20% - Akzent6 9 12" xfId="4703" xr:uid="{8BA927D6-27CA-4F07-B3EE-694C355B6DD2}"/>
    <cellStyle name="20% - Akzent6 9 12 2" xfId="4704" xr:uid="{290718C2-4E54-433C-8150-729D52F2E8F8}"/>
    <cellStyle name="20% - Akzent6 9 12 2 2" xfId="24141" xr:uid="{298A1918-24F2-48DF-919E-69A2FFA087BB}"/>
    <cellStyle name="20% - Akzent6 9 12 3" xfId="24140" xr:uid="{3C6A9402-8191-43F4-A705-B6F0306CC794}"/>
    <cellStyle name="20% - Akzent6 9 13" xfId="4705" xr:uid="{C9A39F33-3CA3-4659-B088-F1BEFBDDA686}"/>
    <cellStyle name="20% - Akzent6 9 13 2" xfId="4706" xr:uid="{EE2501AC-F773-480D-9882-DA626414A4AB}"/>
    <cellStyle name="20% - Akzent6 9 13 2 2" xfId="24143" xr:uid="{6BB5A5C7-D170-4011-AF01-B5356E55CCD9}"/>
    <cellStyle name="20% - Akzent6 9 13 3" xfId="24142" xr:uid="{6E1863E9-2151-4A53-9BFA-6CA5A89104B8}"/>
    <cellStyle name="20% - Akzent6 9 14" xfId="4707" xr:uid="{8419EAE1-2A13-4F35-8EDA-0944B43D4A61}"/>
    <cellStyle name="20% - Akzent6 9 14 2" xfId="4708" xr:uid="{15E3C347-E792-4CA4-92D0-1CE9C1483903}"/>
    <cellStyle name="20% - Akzent6 9 14 2 2" xfId="24145" xr:uid="{8A95228E-C590-4A3D-8794-D42CCB459843}"/>
    <cellStyle name="20% - Akzent6 9 14 3" xfId="24144" xr:uid="{BAF2807F-C522-4115-A3E0-C4B68FEFF2C2}"/>
    <cellStyle name="20% - Akzent6 9 15" xfId="4709" xr:uid="{E9B5F976-FD02-4B0A-A696-B76ECBEB243E}"/>
    <cellStyle name="20% - Akzent6 9 15 2" xfId="4710" xr:uid="{45A20720-FBAD-4FAA-92F2-38A0FDA3D180}"/>
    <cellStyle name="20% - Akzent6 9 15 2 2" xfId="24147" xr:uid="{A5BE8F85-1E9B-4459-8448-36B42D41B7EB}"/>
    <cellStyle name="20% - Akzent6 9 15 3" xfId="24146" xr:uid="{E36F9641-FFAF-457A-A264-395E1F8B9288}"/>
    <cellStyle name="20% - Akzent6 9 16" xfId="4711" xr:uid="{106DF342-62D6-4622-BAAC-F020F99CAF80}"/>
    <cellStyle name="20% - Akzent6 9 16 2" xfId="4712" xr:uid="{7E33322C-C641-4E6A-AD00-3AE5885B9083}"/>
    <cellStyle name="20% - Akzent6 9 16 2 2" xfId="24149" xr:uid="{F8466EC6-424B-44C7-AD76-FB54EC8D6749}"/>
    <cellStyle name="20% - Akzent6 9 16 3" xfId="24148" xr:uid="{2C7DBE08-FCD3-4556-8F35-534841E6AB41}"/>
    <cellStyle name="20% - Akzent6 9 17" xfId="4713" xr:uid="{3CA45A9D-DCFD-48FD-8F25-568851082C89}"/>
    <cellStyle name="20% - Akzent6 9 17 2" xfId="4714" xr:uid="{F7789C9C-37FA-4488-9549-1A22F156DCF5}"/>
    <cellStyle name="20% - Akzent6 9 17 2 2" xfId="24151" xr:uid="{A6BBFFAC-CAFE-464B-900C-386AD9CAC23F}"/>
    <cellStyle name="20% - Akzent6 9 17 3" xfId="24150" xr:uid="{46A358FE-4F93-418D-9E24-BA255AEE5779}"/>
    <cellStyle name="20% - Akzent6 9 18" xfId="4715" xr:uid="{48F38049-1606-4F12-9EDC-908A0C10D03A}"/>
    <cellStyle name="20% - Akzent6 9 18 2" xfId="4716" xr:uid="{C104C762-0264-440C-9B09-3F81DCF35AD0}"/>
    <cellStyle name="20% - Akzent6 9 18 2 2" xfId="24153" xr:uid="{ED3EDF17-3869-4972-9E35-0504CCDFB330}"/>
    <cellStyle name="20% - Akzent6 9 18 3" xfId="24152" xr:uid="{15C2A9F4-DE5F-4808-AAD3-AA3AD4442EE4}"/>
    <cellStyle name="20% - Akzent6 9 19" xfId="4717" xr:uid="{F5AF23CE-4B5F-48C1-8F40-EEA282C84232}"/>
    <cellStyle name="20% - Akzent6 9 19 2" xfId="4718" xr:uid="{FA87378B-523B-49CF-B463-4F62FE7E38C3}"/>
    <cellStyle name="20% - Akzent6 9 19 2 2" xfId="24155" xr:uid="{8B7FECA5-EF9B-4B77-A1ED-D72ADBD5B36E}"/>
    <cellStyle name="20% - Akzent6 9 19 3" xfId="24154" xr:uid="{F16A57FB-0A91-43F6-BBDB-24C5504B8F06}"/>
    <cellStyle name="20% - Akzent6 9 2" xfId="4719" xr:uid="{6E505079-657D-4FAE-AFC0-6A88C9B44555}"/>
    <cellStyle name="20% - Akzent6 9 2 2" xfId="4720" xr:uid="{F9175DED-E94F-49D1-98A1-481B3137C2A4}"/>
    <cellStyle name="20% - Akzent6 9 2 2 2" xfId="24157" xr:uid="{26EE6631-F8A7-41CD-97C8-D88A0416D26E}"/>
    <cellStyle name="20% - Akzent6 9 2 3" xfId="24156" xr:uid="{20189CCF-A84C-4BED-BB37-466ABD9BB568}"/>
    <cellStyle name="20% - Akzent6 9 20" xfId="4721" xr:uid="{6A7372CA-135D-4506-86BC-CF20D801DA78}"/>
    <cellStyle name="20% - Akzent6 9 20 2" xfId="4722" xr:uid="{25C5BE9E-CA8C-4F13-84B1-948173F083B9}"/>
    <cellStyle name="20% - Akzent6 9 20 2 2" xfId="24159" xr:uid="{D6BBC117-14AE-4FF5-BC81-8BDC6A8EAAD8}"/>
    <cellStyle name="20% - Akzent6 9 20 3" xfId="24158" xr:uid="{D8C7E481-3181-4D9E-AD0D-C3774DE2AF04}"/>
    <cellStyle name="20% - Akzent6 9 21" xfId="4723" xr:uid="{DDBDA100-3BED-43EA-A6F6-46D93D8B4C62}"/>
    <cellStyle name="20% - Akzent6 9 21 2" xfId="4724" xr:uid="{3AF3A544-11D0-42B8-9C8E-53891D17302B}"/>
    <cellStyle name="20% - Akzent6 9 21 2 2" xfId="24161" xr:uid="{48E166BE-8907-47DC-BDFD-CB849A406E7B}"/>
    <cellStyle name="20% - Akzent6 9 21 3" xfId="24160" xr:uid="{8FC1E3BF-2CB7-43DF-97ED-C225DF0A2040}"/>
    <cellStyle name="20% - Akzent6 9 22" xfId="4725" xr:uid="{29A91140-45C1-4416-B549-6A97744302C2}"/>
    <cellStyle name="20% - Akzent6 9 22 2" xfId="24162" xr:uid="{5AE28787-DAA8-4353-A81F-4B7CC6F7D7B9}"/>
    <cellStyle name="20% - Akzent6 9 23" xfId="24135" xr:uid="{EF4D5931-724C-4B84-AFE9-C242D13A94F3}"/>
    <cellStyle name="20% - Akzent6 9 3" xfId="4726" xr:uid="{24B2A4BE-F455-475A-A17F-9CBCB8F32FD2}"/>
    <cellStyle name="20% - Akzent6 9 3 2" xfId="4727" xr:uid="{FE1BCA30-0EA7-4053-98D3-8D329B41A1A8}"/>
    <cellStyle name="20% - Akzent6 9 3 2 2" xfId="24164" xr:uid="{CAF5D8E5-96CD-4F0D-ADBF-9EACA208A82E}"/>
    <cellStyle name="20% - Akzent6 9 3 3" xfId="24163" xr:uid="{4D1FCD11-14AE-44AF-8167-33E2139A3C77}"/>
    <cellStyle name="20% - Akzent6 9 4" xfId="4728" xr:uid="{BA54054D-7879-4259-A1D0-98AAD3B607A6}"/>
    <cellStyle name="20% - Akzent6 9 4 2" xfId="4729" xr:uid="{BE178DE2-90F8-4CE3-8D1D-58DEF391F092}"/>
    <cellStyle name="20% - Akzent6 9 4 2 2" xfId="24166" xr:uid="{701359AB-88DA-48A3-BEA5-798EBE8E354B}"/>
    <cellStyle name="20% - Akzent6 9 4 3" xfId="24165" xr:uid="{CF58E413-80B4-4039-8D5D-A66E640EE96E}"/>
    <cellStyle name="20% - Akzent6 9 5" xfId="4730" xr:uid="{A78EB99E-7A92-4AEC-9BD6-3A9959309E92}"/>
    <cellStyle name="20% - Akzent6 9 5 2" xfId="4731" xr:uid="{2BDA026D-EBC9-4B68-AF2B-5A69211FC0D2}"/>
    <cellStyle name="20% - Akzent6 9 5 2 2" xfId="24168" xr:uid="{A8021DAF-3DCD-41A7-A431-A9B34D0612CB}"/>
    <cellStyle name="20% - Akzent6 9 5 3" xfId="24167" xr:uid="{7421D340-17A2-448C-911A-7A162865EFD6}"/>
    <cellStyle name="20% - Akzent6 9 6" xfId="4732" xr:uid="{D5FB01B6-BC9E-4063-867C-DD12C07A4378}"/>
    <cellStyle name="20% - Akzent6 9 6 2" xfId="4733" xr:uid="{75E27B2D-26C3-4C17-B59D-5C22563A7E75}"/>
    <cellStyle name="20% - Akzent6 9 6 2 2" xfId="24170" xr:uid="{5B29F37E-6B46-4D49-AF3E-3B96631A3629}"/>
    <cellStyle name="20% - Akzent6 9 6 3" xfId="24169" xr:uid="{E36C2BEE-3889-41A3-9BDD-6264E3E08904}"/>
    <cellStyle name="20% - Akzent6 9 7" xfId="4734" xr:uid="{E00696B9-6D68-416B-BD9D-4B6449098F6A}"/>
    <cellStyle name="20% - Akzent6 9 7 2" xfId="4735" xr:uid="{9861DB36-60E1-4481-AAFC-AFA8DED219E4}"/>
    <cellStyle name="20% - Akzent6 9 7 2 2" xfId="24172" xr:uid="{03D7DE4B-37E9-4665-986D-A79E3AAE58A0}"/>
    <cellStyle name="20% - Akzent6 9 7 3" xfId="24171" xr:uid="{523EF327-7146-49DF-9A33-754F08CC559F}"/>
    <cellStyle name="20% - Akzent6 9 8" xfId="4736" xr:uid="{B2A9C9B4-0892-4106-8391-66A3AB2BE6F0}"/>
    <cellStyle name="20% - Akzent6 9 8 2" xfId="4737" xr:uid="{A958067A-EF21-4B35-8F38-B1BEC352EE9D}"/>
    <cellStyle name="20% - Akzent6 9 8 2 2" xfId="24174" xr:uid="{45BE34A8-AC38-4DF2-98CB-71514FC72705}"/>
    <cellStyle name="20% - Akzent6 9 8 3" xfId="24173" xr:uid="{F2E80830-C458-48FC-9D42-A763EF1A7BCC}"/>
    <cellStyle name="20% - Akzent6 9 9" xfId="4738" xr:uid="{49531369-399A-4671-AB3B-DB6792CCE3EF}"/>
    <cellStyle name="20% - Akzent6 9 9 2" xfId="4739" xr:uid="{9CC32057-64EA-4515-A9B8-0E17C3487F18}"/>
    <cellStyle name="20% - Akzent6 9 9 2 2" xfId="24176" xr:uid="{DACB33DB-46E3-4A51-9D6E-F30D12F7423C}"/>
    <cellStyle name="20% - Akzent6 9 9 3" xfId="24175" xr:uid="{686CCBCE-90C6-485E-93FF-23A367625853}"/>
    <cellStyle name="40 % - Accent1" xfId="13" builtinId="31" customBuiltin="1"/>
    <cellStyle name="40 % - Accent2" xfId="16" builtinId="35" customBuiltin="1"/>
    <cellStyle name="40 % - Accent3" xfId="19" builtinId="39" customBuiltin="1"/>
    <cellStyle name="40 % - Accent4" xfId="22" builtinId="43" customBuiltin="1"/>
    <cellStyle name="40 % - Accent5" xfId="25" builtinId="47" customBuiltin="1"/>
    <cellStyle name="40 % - Accent6" xfId="28" builtinId="51" customBuiltin="1"/>
    <cellStyle name="40% - Akzent1 10" xfId="4741" xr:uid="{C3A5C505-0E46-46EB-A634-72E33463BE45}"/>
    <cellStyle name="40% - Akzent1 10 10" xfId="4742" xr:uid="{92C56428-A37A-47BD-9F0E-FEAF9AA57040}"/>
    <cellStyle name="40% - Akzent1 10 10 2" xfId="4743" xr:uid="{278BEC3A-4353-44FD-B723-0203E4F587BF}"/>
    <cellStyle name="40% - Akzent1 10 10 2 2" xfId="24180" xr:uid="{DFA9869A-3AEB-4AED-AAFD-BD291FDDD60A}"/>
    <cellStyle name="40% - Akzent1 10 10 3" xfId="24179" xr:uid="{35CD61B3-A612-48FA-A0DE-AED4B79DFCF9}"/>
    <cellStyle name="40% - Akzent1 10 11" xfId="4744" xr:uid="{326E0B3C-BFC3-4A19-B13D-E94AFFA4041D}"/>
    <cellStyle name="40% - Akzent1 10 11 2" xfId="4745" xr:uid="{0896AAA2-182E-4C9F-B7B5-223574543844}"/>
    <cellStyle name="40% - Akzent1 10 11 2 2" xfId="24182" xr:uid="{7FC3A0C1-00AD-4699-9A3D-C1FC205EA0E0}"/>
    <cellStyle name="40% - Akzent1 10 11 3" xfId="24181" xr:uid="{0C15786B-1AC1-40EE-9157-244EC81D8D0A}"/>
    <cellStyle name="40% - Akzent1 10 12" xfId="4746" xr:uid="{7E2A114C-A823-4046-9C03-EA263BA320B4}"/>
    <cellStyle name="40% - Akzent1 10 12 2" xfId="4747" xr:uid="{2E17C3A3-DD07-49A1-AC41-9034DB0D7954}"/>
    <cellStyle name="40% - Akzent1 10 12 2 2" xfId="24184" xr:uid="{27E55E6C-6B81-4526-BED4-300B86886792}"/>
    <cellStyle name="40% - Akzent1 10 12 3" xfId="24183" xr:uid="{8EDEEAA9-0D54-48C5-98DE-0DA759126749}"/>
    <cellStyle name="40% - Akzent1 10 13" xfId="4748" xr:uid="{4137EC9C-5BFF-44EC-AB74-E3C16F2991D9}"/>
    <cellStyle name="40% - Akzent1 10 13 2" xfId="4749" xr:uid="{5701578F-6E93-4C8F-A657-7BD3B69846E2}"/>
    <cellStyle name="40% - Akzent1 10 13 2 2" xfId="24186" xr:uid="{B1169472-B61F-411A-92F3-C1C46C7F4FFB}"/>
    <cellStyle name="40% - Akzent1 10 13 3" xfId="24185" xr:uid="{23CC8D48-D6D7-43AA-95DC-28009C887F9A}"/>
    <cellStyle name="40% - Akzent1 10 14" xfId="4750" xr:uid="{CA893E42-DADA-4BA4-9F05-80C6298A4E5E}"/>
    <cellStyle name="40% - Akzent1 10 14 2" xfId="4751" xr:uid="{B84B0578-390E-4F7C-9D02-CC2A424AB6FE}"/>
    <cellStyle name="40% - Akzent1 10 14 2 2" xfId="24188" xr:uid="{325355E1-EE4C-4928-8E24-64E3047DA9A7}"/>
    <cellStyle name="40% - Akzent1 10 14 3" xfId="24187" xr:uid="{E766E266-235A-4FC3-923C-2A3DC4FDFA09}"/>
    <cellStyle name="40% - Akzent1 10 15" xfId="4752" xr:uid="{AAFE4B5E-1AC1-4497-AD2A-3607FC1A59B1}"/>
    <cellStyle name="40% - Akzent1 10 15 2" xfId="4753" xr:uid="{BCE5CDB3-A27A-485D-8CB9-4FD6BEAF4CBA}"/>
    <cellStyle name="40% - Akzent1 10 15 2 2" xfId="24190" xr:uid="{AD4EFF55-FB82-41EF-ACB7-871580D36C33}"/>
    <cellStyle name="40% - Akzent1 10 15 3" xfId="24189" xr:uid="{9E04311B-97F1-4A93-A836-4DD05AFB18A7}"/>
    <cellStyle name="40% - Akzent1 10 16" xfId="4754" xr:uid="{5938E224-8FDC-460D-AA01-869304D98F43}"/>
    <cellStyle name="40% - Akzent1 10 16 2" xfId="4755" xr:uid="{9A7279B9-634F-4CBD-9E10-54336DED895B}"/>
    <cellStyle name="40% - Akzent1 10 16 2 2" xfId="24192" xr:uid="{E285A916-9ED3-4F46-8983-F2F067BED8B4}"/>
    <cellStyle name="40% - Akzent1 10 16 3" xfId="24191" xr:uid="{DCA17EEA-F64F-4127-8C6C-62999AF2DD38}"/>
    <cellStyle name="40% - Akzent1 10 17" xfId="4756" xr:uid="{2A1EA18A-21BE-44E0-911D-70074B54E67B}"/>
    <cellStyle name="40% - Akzent1 10 17 2" xfId="4757" xr:uid="{37B6E1F5-DF74-4292-A48A-82141F0E476D}"/>
    <cellStyle name="40% - Akzent1 10 17 2 2" xfId="24194" xr:uid="{B8359ED9-33A3-43AD-B8F2-B34A19D7CD27}"/>
    <cellStyle name="40% - Akzent1 10 17 3" xfId="24193" xr:uid="{C48128AC-0D95-4BEF-84C9-8188C6620014}"/>
    <cellStyle name="40% - Akzent1 10 18" xfId="4758" xr:uid="{FC2FD594-C659-4B1A-AF0E-2D52C9D9A59B}"/>
    <cellStyle name="40% - Akzent1 10 18 2" xfId="4759" xr:uid="{58708635-14C1-44E2-A339-C870F7FEACA1}"/>
    <cellStyle name="40% - Akzent1 10 18 2 2" xfId="24196" xr:uid="{FF17C069-90B0-4005-844F-200901FCABCD}"/>
    <cellStyle name="40% - Akzent1 10 18 3" xfId="24195" xr:uid="{D1B04F7C-48B0-4BE5-B439-545272BD4FA5}"/>
    <cellStyle name="40% - Akzent1 10 19" xfId="4760" xr:uid="{D15206CC-6C5E-4A3F-9891-CA5874CF040B}"/>
    <cellStyle name="40% - Akzent1 10 19 2" xfId="4761" xr:uid="{1EDB6B0C-77BD-4097-8CA0-42A7200A49A6}"/>
    <cellStyle name="40% - Akzent1 10 19 2 2" xfId="24198" xr:uid="{94ADA8B3-4F63-44E3-8AA9-5113FBC21FCB}"/>
    <cellStyle name="40% - Akzent1 10 19 3" xfId="24197" xr:uid="{54706715-C154-45B3-A974-EC2486ED22F1}"/>
    <cellStyle name="40% - Akzent1 10 2" xfId="4762" xr:uid="{4072B7CD-4E1F-42C8-8649-628981E3CA94}"/>
    <cellStyle name="40% - Akzent1 10 2 2" xfId="4763" xr:uid="{F35A8D02-56A9-4AD3-9C46-C6FD488294CB}"/>
    <cellStyle name="40% - Akzent1 10 2 2 2" xfId="24200" xr:uid="{8F1EDF53-1F56-4518-876B-A4D2A9073348}"/>
    <cellStyle name="40% - Akzent1 10 2 3" xfId="24199" xr:uid="{3E16191A-F019-4858-9518-0A4E86A06956}"/>
    <cellStyle name="40% - Akzent1 10 20" xfId="4764" xr:uid="{8D1A0E9A-0288-4430-90C6-D7DBCCE0737B}"/>
    <cellStyle name="40% - Akzent1 10 20 2" xfId="4765" xr:uid="{C2E56919-85C2-45E8-A425-86C8AF7A8F51}"/>
    <cellStyle name="40% - Akzent1 10 20 2 2" xfId="24202" xr:uid="{556FEF6E-D6E9-4FB5-A12B-C07B1035F026}"/>
    <cellStyle name="40% - Akzent1 10 20 3" xfId="24201" xr:uid="{E353AFBD-A882-4055-820D-1C7249A15255}"/>
    <cellStyle name="40% - Akzent1 10 21" xfId="4766" xr:uid="{45DF48D9-EA20-4AC0-BBC8-49504F2E7C15}"/>
    <cellStyle name="40% - Akzent1 10 21 2" xfId="4767" xr:uid="{F5D1D748-D8FF-4A1E-B6AE-B6EFC60991A8}"/>
    <cellStyle name="40% - Akzent1 10 21 2 2" xfId="24204" xr:uid="{C4243E81-A626-45E6-AE41-EF5B2443A6E5}"/>
    <cellStyle name="40% - Akzent1 10 21 3" xfId="24203" xr:uid="{A5F318D6-612E-4EB2-B585-7EA790BBFE4E}"/>
    <cellStyle name="40% - Akzent1 10 22" xfId="4768" xr:uid="{8FB319FD-A0B3-41FB-9AF4-4B931075B648}"/>
    <cellStyle name="40% - Akzent1 10 22 2" xfId="24205" xr:uid="{29C07AC1-90D1-4929-9A8C-8CD468EE5F2C}"/>
    <cellStyle name="40% - Akzent1 10 23" xfId="24178" xr:uid="{082D2099-28C7-42AC-B59E-DB4EAB1BC5E9}"/>
    <cellStyle name="40% - Akzent1 10 3" xfId="4769" xr:uid="{6824F1A4-1833-41F1-98C3-EE018B52B69E}"/>
    <cellStyle name="40% - Akzent1 10 3 2" xfId="4770" xr:uid="{BE6D0E02-6A1C-4AEF-92BF-B97F1189F045}"/>
    <cellStyle name="40% - Akzent1 10 3 2 2" xfId="24207" xr:uid="{2AA3CBB4-C628-47C0-8F59-F8855A9DD1B3}"/>
    <cellStyle name="40% - Akzent1 10 3 3" xfId="24206" xr:uid="{A1D8BEDB-D003-4701-A325-AB57FECE3884}"/>
    <cellStyle name="40% - Akzent1 10 4" xfId="4771" xr:uid="{681C72D7-CD77-4829-BE8B-761AE0EF769A}"/>
    <cellStyle name="40% - Akzent1 10 4 2" xfId="4772" xr:uid="{A7FF1B4D-DFD6-4B1B-8764-9B697571F774}"/>
    <cellStyle name="40% - Akzent1 10 4 2 2" xfId="24209" xr:uid="{F589258E-474C-4019-95CF-97734B4A5E40}"/>
    <cellStyle name="40% - Akzent1 10 4 3" xfId="24208" xr:uid="{FB3284A1-665F-44B4-B191-34B14B89B3D9}"/>
    <cellStyle name="40% - Akzent1 10 5" xfId="4773" xr:uid="{257E7440-6635-4D46-A506-43CDC42E5B53}"/>
    <cellStyle name="40% - Akzent1 10 5 2" xfId="4774" xr:uid="{E7565FD1-3DF8-41DC-9BD4-5C1425AF9E4E}"/>
    <cellStyle name="40% - Akzent1 10 5 2 2" xfId="24211" xr:uid="{CCE2EE5A-0D93-4D73-BCD6-14A9DBA6207F}"/>
    <cellStyle name="40% - Akzent1 10 5 3" xfId="24210" xr:uid="{FDEBBAC4-5AE8-4203-B503-0F4F29ECCF7A}"/>
    <cellStyle name="40% - Akzent1 10 6" xfId="4775" xr:uid="{9260A8EE-C2DA-41D5-A877-D10AEFF1775B}"/>
    <cellStyle name="40% - Akzent1 10 6 2" xfId="4776" xr:uid="{473EDE0D-1289-4E6F-9C3F-80FE94C7DCCC}"/>
    <cellStyle name="40% - Akzent1 10 6 2 2" xfId="24213" xr:uid="{80E70763-71D1-4C05-BC33-A427128B1E52}"/>
    <cellStyle name="40% - Akzent1 10 6 3" xfId="24212" xr:uid="{E06FE63A-B195-4BAA-81A3-747162F39A94}"/>
    <cellStyle name="40% - Akzent1 10 7" xfId="4777" xr:uid="{4C2F5D6E-D4C2-46A7-9EA3-0F03AEAE5F05}"/>
    <cellStyle name="40% - Akzent1 10 7 2" xfId="4778" xr:uid="{B11F0E5E-17BD-41D9-91F8-186F5320DCD6}"/>
    <cellStyle name="40% - Akzent1 10 7 2 2" xfId="24215" xr:uid="{7585549B-C337-482A-814E-F6714A80DCC9}"/>
    <cellStyle name="40% - Akzent1 10 7 3" xfId="24214" xr:uid="{EB6ABF3C-5B20-45BB-97D5-4DB723B1EAAE}"/>
    <cellStyle name="40% - Akzent1 10 8" xfId="4779" xr:uid="{EEF82C78-D013-4B2D-92A1-F6255E9771F1}"/>
    <cellStyle name="40% - Akzent1 10 8 2" xfId="4780" xr:uid="{91EA4CC7-963B-4EA0-913C-52B99F74B7DF}"/>
    <cellStyle name="40% - Akzent1 10 8 2 2" xfId="24217" xr:uid="{8D596F96-541C-4FF6-8DF4-70018882B2DC}"/>
    <cellStyle name="40% - Akzent1 10 8 3" xfId="24216" xr:uid="{8FA8EE48-F281-4AD5-AE56-98A432FA493C}"/>
    <cellStyle name="40% - Akzent1 10 9" xfId="4781" xr:uid="{437469C4-2892-4A27-8CA7-006651EE572F}"/>
    <cellStyle name="40% - Akzent1 10 9 2" xfId="4782" xr:uid="{357F2B2B-5DDB-4809-9491-5123343746EC}"/>
    <cellStyle name="40% - Akzent1 10 9 2 2" xfId="24219" xr:uid="{EB60F6A6-2FBC-4747-9B0D-0DFD48F6F44B}"/>
    <cellStyle name="40% - Akzent1 10 9 3" xfId="24218" xr:uid="{632852B1-215F-47DF-BAB3-6C68005D8D2F}"/>
    <cellStyle name="40% - Akzent1 11" xfId="4783" xr:uid="{9BDABC59-AE5D-4660-B812-222E8964FC6D}"/>
    <cellStyle name="40% - Akzent1 11 10" xfId="4784" xr:uid="{7EDD7DC8-4F82-45F8-AEE7-4D37A6A19D4A}"/>
    <cellStyle name="40% - Akzent1 11 10 2" xfId="4785" xr:uid="{A524834B-8902-42A1-A567-81823D6A5618}"/>
    <cellStyle name="40% - Akzent1 11 10 2 2" xfId="24222" xr:uid="{4C70269E-110A-4F5D-A5EB-EABD68ED9E6C}"/>
    <cellStyle name="40% - Akzent1 11 10 3" xfId="24221" xr:uid="{90409646-948E-4AEC-A677-886DA19EFC28}"/>
    <cellStyle name="40% - Akzent1 11 11" xfId="4786" xr:uid="{5BBF964B-57DB-4FA3-8A77-5BFE1ECF53C0}"/>
    <cellStyle name="40% - Akzent1 11 11 2" xfId="4787" xr:uid="{4C625E9C-30F6-4FE9-B334-875B483BE8DD}"/>
    <cellStyle name="40% - Akzent1 11 11 2 2" xfId="24224" xr:uid="{C30C833C-ACE9-4ECA-A4F4-D6738871DA5B}"/>
    <cellStyle name="40% - Akzent1 11 11 3" xfId="24223" xr:uid="{1584AA9C-8FB9-4D86-8A0C-5FF597310EE6}"/>
    <cellStyle name="40% - Akzent1 11 12" xfId="4788" xr:uid="{B4B47C1D-4076-4FBF-8B30-63F03350CB97}"/>
    <cellStyle name="40% - Akzent1 11 12 2" xfId="4789" xr:uid="{DB701B84-0F69-4EDD-8BC9-46B6E9152AD4}"/>
    <cellStyle name="40% - Akzent1 11 12 2 2" xfId="24226" xr:uid="{11AE9F2D-BA4C-486F-9BEA-440B68C17F6F}"/>
    <cellStyle name="40% - Akzent1 11 12 3" xfId="24225" xr:uid="{C7C6CC6A-DBFE-4734-9009-AC1953C77EA0}"/>
    <cellStyle name="40% - Akzent1 11 13" xfId="4790" xr:uid="{9DC6D548-AF56-4666-9B06-57115B06D225}"/>
    <cellStyle name="40% - Akzent1 11 13 2" xfId="4791" xr:uid="{E2ABD160-642E-48BC-9C6B-703CCC4C8FA8}"/>
    <cellStyle name="40% - Akzent1 11 13 2 2" xfId="24228" xr:uid="{AF585D29-F195-414A-A440-03C47DDAF324}"/>
    <cellStyle name="40% - Akzent1 11 13 3" xfId="24227" xr:uid="{0BCBDF34-CFD0-4821-B34E-126E5CA51B11}"/>
    <cellStyle name="40% - Akzent1 11 14" xfId="4792" xr:uid="{57CB7E96-EC86-4161-BD59-C222D2D0E8D3}"/>
    <cellStyle name="40% - Akzent1 11 14 2" xfId="4793" xr:uid="{DEC1ECF5-D913-42D4-84A6-695B7DA63390}"/>
    <cellStyle name="40% - Akzent1 11 14 2 2" xfId="24230" xr:uid="{8E5CA709-3DEC-4EA9-B1EF-2E4B7DEB261A}"/>
    <cellStyle name="40% - Akzent1 11 14 3" xfId="24229" xr:uid="{85429D8F-6118-4799-9A7D-224F59AC1536}"/>
    <cellStyle name="40% - Akzent1 11 15" xfId="4794" xr:uid="{4A5AD226-B56F-4470-8924-83042FED0741}"/>
    <cellStyle name="40% - Akzent1 11 15 2" xfId="4795" xr:uid="{A8E05E95-F1C3-4406-ACA5-99CDAAFCEBD6}"/>
    <cellStyle name="40% - Akzent1 11 15 2 2" xfId="24232" xr:uid="{CFC13B87-DB14-4321-A08F-C425FF08BE51}"/>
    <cellStyle name="40% - Akzent1 11 15 3" xfId="24231" xr:uid="{777C075B-63DA-4CB3-8592-151465F2323A}"/>
    <cellStyle name="40% - Akzent1 11 16" xfId="4796" xr:uid="{EF912330-100E-430D-820C-9B71EC364F08}"/>
    <cellStyle name="40% - Akzent1 11 16 2" xfId="4797" xr:uid="{64D9080F-5DE7-4BDC-B8D3-648BA66A5315}"/>
    <cellStyle name="40% - Akzent1 11 16 2 2" xfId="24234" xr:uid="{D6E34CB0-E968-4654-9780-6EBA1B39CABC}"/>
    <cellStyle name="40% - Akzent1 11 16 3" xfId="24233" xr:uid="{05487E12-678D-4D54-95AB-EA3BE766612E}"/>
    <cellStyle name="40% - Akzent1 11 17" xfId="4798" xr:uid="{E76D355A-469B-4CFF-B27E-AB8D0AB5A34D}"/>
    <cellStyle name="40% - Akzent1 11 17 2" xfId="4799" xr:uid="{370AAF38-4A17-44A7-BF3C-9604CE0D3BEF}"/>
    <cellStyle name="40% - Akzent1 11 17 2 2" xfId="24236" xr:uid="{ECFCDF74-E741-49E2-8CA3-1EEE0173F616}"/>
    <cellStyle name="40% - Akzent1 11 17 3" xfId="24235" xr:uid="{91075CCF-A6CC-41A4-9D1A-1B1529481897}"/>
    <cellStyle name="40% - Akzent1 11 18" xfId="4800" xr:uid="{7BC1681A-4A3E-476D-A963-23ADE13BB350}"/>
    <cellStyle name="40% - Akzent1 11 18 2" xfId="4801" xr:uid="{825407BC-4CE4-483E-8BAE-9CE4C3BDAE46}"/>
    <cellStyle name="40% - Akzent1 11 18 2 2" xfId="24238" xr:uid="{5DCFDF2C-B772-4F79-AAA4-CD4725906B1A}"/>
    <cellStyle name="40% - Akzent1 11 18 3" xfId="24237" xr:uid="{F8777C4A-2853-4BBB-A6C3-8502C7FAA1B8}"/>
    <cellStyle name="40% - Akzent1 11 19" xfId="4802" xr:uid="{49B65C6C-1B3A-4662-ADF0-322B82CC06C6}"/>
    <cellStyle name="40% - Akzent1 11 19 2" xfId="4803" xr:uid="{4228340B-8E64-4752-BE9E-0691F7514B59}"/>
    <cellStyle name="40% - Akzent1 11 19 2 2" xfId="24240" xr:uid="{D491FF57-9F52-40FA-8934-8433872D4A1C}"/>
    <cellStyle name="40% - Akzent1 11 19 3" xfId="24239" xr:uid="{34C4B6A8-684C-4A5C-B752-2BCFA73EC5D3}"/>
    <cellStyle name="40% - Akzent1 11 2" xfId="4804" xr:uid="{7E7236E9-753E-4296-9C60-6BD7FCAED5DE}"/>
    <cellStyle name="40% - Akzent1 11 2 2" xfId="4805" xr:uid="{5A4CDB2A-FA7D-4F30-BB77-F3097D215671}"/>
    <cellStyle name="40% - Akzent1 11 2 2 2" xfId="24242" xr:uid="{C48482D2-643A-46EE-A6B6-684097B5BCC9}"/>
    <cellStyle name="40% - Akzent1 11 2 3" xfId="24241" xr:uid="{588F4F64-737D-460E-B09F-E585EBE4D796}"/>
    <cellStyle name="40% - Akzent1 11 20" xfId="4806" xr:uid="{92CD62F5-A21F-4D97-A55E-879A56E7CB41}"/>
    <cellStyle name="40% - Akzent1 11 20 2" xfId="4807" xr:uid="{402B1E08-270E-49B3-BDB5-C903BA539D53}"/>
    <cellStyle name="40% - Akzent1 11 20 2 2" xfId="24244" xr:uid="{17A9CED5-9C50-4696-8183-098FDF297891}"/>
    <cellStyle name="40% - Akzent1 11 20 3" xfId="24243" xr:uid="{7C486AE5-EC54-4287-A4F5-33C6ECCD2441}"/>
    <cellStyle name="40% - Akzent1 11 21" xfId="4808" xr:uid="{DA99A538-75FD-4AC9-9192-B35D641F6248}"/>
    <cellStyle name="40% - Akzent1 11 21 2" xfId="4809" xr:uid="{DA9A709C-918D-4C4F-B67E-2308836C8A0A}"/>
    <cellStyle name="40% - Akzent1 11 21 2 2" xfId="24246" xr:uid="{5B0BD1C9-A929-4A8E-AA3B-5BADD8F5BCDA}"/>
    <cellStyle name="40% - Akzent1 11 21 3" xfId="24245" xr:uid="{9DDDBAA3-70EC-414B-95C6-85FEEA80092F}"/>
    <cellStyle name="40% - Akzent1 11 22" xfId="4810" xr:uid="{0C6DFE1E-AEC7-4F37-8C8E-BCEF9EFF7E8C}"/>
    <cellStyle name="40% - Akzent1 11 22 2" xfId="24247" xr:uid="{73E4920F-9E99-4568-A50D-1150D2CCFD41}"/>
    <cellStyle name="40% - Akzent1 11 23" xfId="24220" xr:uid="{BB7458BF-6508-4211-9725-1522789AEC8B}"/>
    <cellStyle name="40% - Akzent1 11 3" xfId="4811" xr:uid="{24910F5F-B0D8-46B3-B599-270039ED1C27}"/>
    <cellStyle name="40% - Akzent1 11 3 2" xfId="4812" xr:uid="{139AEB2E-C269-4FC6-AA67-B5B85B592652}"/>
    <cellStyle name="40% - Akzent1 11 3 2 2" xfId="24249" xr:uid="{23DDA985-0A53-479D-AD53-9828E08FFCB1}"/>
    <cellStyle name="40% - Akzent1 11 3 3" xfId="24248" xr:uid="{70BC6670-DA23-4BD9-9071-47646839B1C4}"/>
    <cellStyle name="40% - Akzent1 11 4" xfId="4813" xr:uid="{707E795A-7B4D-47A2-B405-441EB80F7E79}"/>
    <cellStyle name="40% - Akzent1 11 4 2" xfId="4814" xr:uid="{93161BF3-51E9-41D4-B5AA-5427FCA35280}"/>
    <cellStyle name="40% - Akzent1 11 4 2 2" xfId="24251" xr:uid="{47BD4188-A510-4323-9ED6-8EE8D0889C04}"/>
    <cellStyle name="40% - Akzent1 11 4 3" xfId="24250" xr:uid="{FF85B46D-3B9D-48C6-A092-9A317B2725E9}"/>
    <cellStyle name="40% - Akzent1 11 5" xfId="4815" xr:uid="{681D7E72-85C2-477F-B66E-86DCE394A662}"/>
    <cellStyle name="40% - Akzent1 11 5 2" xfId="4816" xr:uid="{5CAEEC0B-F29A-4D71-9A2E-59A50BD682E3}"/>
    <cellStyle name="40% - Akzent1 11 5 2 2" xfId="24253" xr:uid="{2A40D38E-C6CF-41B4-A02C-5491039A1203}"/>
    <cellStyle name="40% - Akzent1 11 5 3" xfId="24252" xr:uid="{F3A24E93-665A-40AD-8AB5-238CCED20F0A}"/>
    <cellStyle name="40% - Akzent1 11 6" xfId="4817" xr:uid="{334C1FFD-A282-4391-911D-D2B9DC3F6B30}"/>
    <cellStyle name="40% - Akzent1 11 6 2" xfId="4818" xr:uid="{BC5532A6-D8B9-46B7-9449-A9A0FFB73A98}"/>
    <cellStyle name="40% - Akzent1 11 6 2 2" xfId="24255" xr:uid="{0D3F2861-5D24-4FAE-9275-5F0CD30DEA7C}"/>
    <cellStyle name="40% - Akzent1 11 6 3" xfId="24254" xr:uid="{125E2A43-3864-4DAD-A82D-879BE3A0F76C}"/>
    <cellStyle name="40% - Akzent1 11 7" xfId="4819" xr:uid="{394AB2D0-B61E-445A-ADD0-AED5EA28B193}"/>
    <cellStyle name="40% - Akzent1 11 7 2" xfId="4820" xr:uid="{A44F3426-48F4-4FE4-A7DE-471AD816D6BF}"/>
    <cellStyle name="40% - Akzent1 11 7 2 2" xfId="24257" xr:uid="{70F19427-F281-4FF7-9EF7-B319F19097B3}"/>
    <cellStyle name="40% - Akzent1 11 7 3" xfId="24256" xr:uid="{A78DC3B3-B613-47AB-8253-BD0207C9C550}"/>
    <cellStyle name="40% - Akzent1 11 8" xfId="4821" xr:uid="{F0287013-3090-40BA-8001-0CD61803ECDD}"/>
    <cellStyle name="40% - Akzent1 11 8 2" xfId="4822" xr:uid="{45BBD153-CAE7-4D47-BC2B-FEBA05369B3E}"/>
    <cellStyle name="40% - Akzent1 11 8 2 2" xfId="24259" xr:uid="{9BEB982F-A603-45ED-9983-985E3EF41D02}"/>
    <cellStyle name="40% - Akzent1 11 8 3" xfId="24258" xr:uid="{30342309-A04B-4811-8698-2AB50BFF8D17}"/>
    <cellStyle name="40% - Akzent1 11 9" xfId="4823" xr:uid="{9819EF3B-A7CF-4C31-AF7C-1D63F07DC63D}"/>
    <cellStyle name="40% - Akzent1 11 9 2" xfId="4824" xr:uid="{45860294-FA27-4C08-956A-74DBACFD145F}"/>
    <cellStyle name="40% - Akzent1 11 9 2 2" xfId="24261" xr:uid="{88D759C8-A565-49C4-B40C-C46AA838618B}"/>
    <cellStyle name="40% - Akzent1 11 9 3" xfId="24260" xr:uid="{6F73924C-9727-4FDF-BB7B-F1EE57B603E8}"/>
    <cellStyle name="40% - Akzent1 12" xfId="4825" xr:uid="{0DF6F70C-487B-4F4E-9105-121AC022C6A6}"/>
    <cellStyle name="40% - Akzent1 12 10" xfId="4826" xr:uid="{A47F2B39-80EB-46B3-B720-E3BBF55A39EE}"/>
    <cellStyle name="40% - Akzent1 12 10 2" xfId="4827" xr:uid="{E28E1A12-9CB8-4135-B020-F5B8A2FB3562}"/>
    <cellStyle name="40% - Akzent1 12 10 2 2" xfId="24264" xr:uid="{38B0AAB3-D0F4-475F-BDD7-9B1B30C2AD80}"/>
    <cellStyle name="40% - Akzent1 12 10 3" xfId="24263" xr:uid="{F0571FAC-D070-49F5-9892-B36F3680BCB0}"/>
    <cellStyle name="40% - Akzent1 12 11" xfId="4828" xr:uid="{06E9F2D8-0DE9-4064-9498-1C063E8B18C9}"/>
    <cellStyle name="40% - Akzent1 12 11 2" xfId="4829" xr:uid="{B930AE0C-59E3-475E-B278-E09FB6349CA1}"/>
    <cellStyle name="40% - Akzent1 12 11 2 2" xfId="24266" xr:uid="{A4BB15A8-1A3B-4CB0-BA21-8CDD8E180A53}"/>
    <cellStyle name="40% - Akzent1 12 11 3" xfId="24265" xr:uid="{80AB9017-4D30-4CA4-80A6-118BF4C2CD6C}"/>
    <cellStyle name="40% - Akzent1 12 12" xfId="4830" xr:uid="{3B34D9B8-BCA4-4A25-9F48-7F75FF130705}"/>
    <cellStyle name="40% - Akzent1 12 12 2" xfId="4831" xr:uid="{DADC2B7E-9D76-486F-A3BC-D0BFDCC30EB1}"/>
    <cellStyle name="40% - Akzent1 12 12 2 2" xfId="24268" xr:uid="{D4BF45E1-ECA8-4861-B1F8-7DAA90FF8B85}"/>
    <cellStyle name="40% - Akzent1 12 12 3" xfId="24267" xr:uid="{F355EB39-E300-42D1-9968-AEBD348CCC05}"/>
    <cellStyle name="40% - Akzent1 12 13" xfId="4832" xr:uid="{A30E19B8-8597-47D5-9C78-2A0E9C44C6AC}"/>
    <cellStyle name="40% - Akzent1 12 13 2" xfId="4833" xr:uid="{E1CCE58A-3DBD-4190-BFAE-09C5FDB08BB3}"/>
    <cellStyle name="40% - Akzent1 12 13 2 2" xfId="24270" xr:uid="{4CE5E5E1-5147-4B0D-8EA1-305F027A4231}"/>
    <cellStyle name="40% - Akzent1 12 13 3" xfId="24269" xr:uid="{CDF06F43-3981-4F64-9849-B4C971DE6068}"/>
    <cellStyle name="40% - Akzent1 12 14" xfId="4834" xr:uid="{EC9F697B-B194-49FD-A101-F9B4CE714260}"/>
    <cellStyle name="40% - Akzent1 12 14 2" xfId="4835" xr:uid="{8112D716-99F6-4D18-A455-59D9B7BAAE71}"/>
    <cellStyle name="40% - Akzent1 12 14 2 2" xfId="24272" xr:uid="{C9B1E14F-EBCE-483A-9562-F04EC2A4CFED}"/>
    <cellStyle name="40% - Akzent1 12 14 3" xfId="24271" xr:uid="{076855D0-CAB0-46C7-B60F-1A62E4164CCA}"/>
    <cellStyle name="40% - Akzent1 12 15" xfId="4836" xr:uid="{3FDCDFFA-C5B2-42CC-9655-3CD7C6540E1A}"/>
    <cellStyle name="40% - Akzent1 12 15 2" xfId="4837" xr:uid="{D080821A-25EE-4E46-8B28-CC37BE56A57F}"/>
    <cellStyle name="40% - Akzent1 12 15 2 2" xfId="24274" xr:uid="{90078354-61DD-4D72-BBAA-29E84F47E76E}"/>
    <cellStyle name="40% - Akzent1 12 15 3" xfId="24273" xr:uid="{E4D20CFF-CD5F-4C99-8809-1A259282C2D6}"/>
    <cellStyle name="40% - Akzent1 12 16" xfId="4838" xr:uid="{984F5E9A-6CCA-4B1C-A66F-84458C0C595C}"/>
    <cellStyle name="40% - Akzent1 12 16 2" xfId="4839" xr:uid="{731B1615-6DE1-48CC-BFE1-234CF962516C}"/>
    <cellStyle name="40% - Akzent1 12 16 2 2" xfId="24276" xr:uid="{FF1BA5AA-310C-4879-87F5-0D4C72790CD5}"/>
    <cellStyle name="40% - Akzent1 12 16 3" xfId="24275" xr:uid="{D2857138-5715-45E2-A18D-1200B18B059E}"/>
    <cellStyle name="40% - Akzent1 12 17" xfId="4840" xr:uid="{19C724FC-77BA-491A-A4D3-6A771CF199C4}"/>
    <cellStyle name="40% - Akzent1 12 17 2" xfId="4841" xr:uid="{FBCB86C0-01D0-43C2-BB3A-39CB32869D74}"/>
    <cellStyle name="40% - Akzent1 12 17 2 2" xfId="24278" xr:uid="{7BA4BF48-8E99-41C8-8BD9-7F5E5FA75E0F}"/>
    <cellStyle name="40% - Akzent1 12 17 3" xfId="24277" xr:uid="{1DDDD2BD-4DD1-4046-A805-D0A2B2DD287D}"/>
    <cellStyle name="40% - Akzent1 12 18" xfId="4842" xr:uid="{8BDB7AB2-4DF2-42CE-A767-18FB6867A808}"/>
    <cellStyle name="40% - Akzent1 12 18 2" xfId="4843" xr:uid="{D8802430-6CF1-4EEC-BF57-6B50C7F6358A}"/>
    <cellStyle name="40% - Akzent1 12 18 2 2" xfId="24280" xr:uid="{80E5FDF2-87F4-48DC-A0B3-6E2B3AF24F5E}"/>
    <cellStyle name="40% - Akzent1 12 18 3" xfId="24279" xr:uid="{B473B7E0-8926-4104-8595-9188324C3CC1}"/>
    <cellStyle name="40% - Akzent1 12 19" xfId="4844" xr:uid="{2C838A52-47E6-4687-A247-F3E59B73620F}"/>
    <cellStyle name="40% - Akzent1 12 19 2" xfId="4845" xr:uid="{1F6C3BA2-4A7B-41E4-9AA7-C1E403DD580A}"/>
    <cellStyle name="40% - Akzent1 12 19 2 2" xfId="24282" xr:uid="{86513F8A-3840-44ED-8801-60F79CC4A92D}"/>
    <cellStyle name="40% - Akzent1 12 19 3" xfId="24281" xr:uid="{46C00496-B813-445F-8233-2311ACE4B2C0}"/>
    <cellStyle name="40% - Akzent1 12 2" xfId="4846" xr:uid="{CF49BDF4-2E44-4B51-9C27-CEC59A0A043D}"/>
    <cellStyle name="40% - Akzent1 12 2 2" xfId="4847" xr:uid="{F660CD45-8295-4CCA-A5C6-56AC574113AD}"/>
    <cellStyle name="40% - Akzent1 12 2 2 2" xfId="24284" xr:uid="{0D086520-EEC7-4775-A8B1-4D9A412F258A}"/>
    <cellStyle name="40% - Akzent1 12 2 3" xfId="24283" xr:uid="{EB69281C-7FCA-4817-8FCB-8E8DF825807D}"/>
    <cellStyle name="40% - Akzent1 12 20" xfId="4848" xr:uid="{7D75FD1E-A9F9-4D5F-80A0-F9BF3A464B7D}"/>
    <cellStyle name="40% - Akzent1 12 20 2" xfId="4849" xr:uid="{4846F304-1851-4DA2-AB63-0FD3D4C84DC3}"/>
    <cellStyle name="40% - Akzent1 12 20 2 2" xfId="24286" xr:uid="{5ED1219A-FAFD-45D1-8C8B-67FFB9E77D4D}"/>
    <cellStyle name="40% - Akzent1 12 20 3" xfId="24285" xr:uid="{64018B60-5AB3-4D9A-BCAE-1086E2784BDD}"/>
    <cellStyle name="40% - Akzent1 12 21" xfId="4850" xr:uid="{F19AEB82-6D91-4344-87C9-A2EB7FB75F48}"/>
    <cellStyle name="40% - Akzent1 12 21 2" xfId="4851" xr:uid="{6F4CE2DD-C3E0-4ACB-91F8-8CE4E37F2842}"/>
    <cellStyle name="40% - Akzent1 12 21 2 2" xfId="24288" xr:uid="{50AE8D52-8757-49D2-AE36-1E3F38D05400}"/>
    <cellStyle name="40% - Akzent1 12 21 3" xfId="24287" xr:uid="{8E5813FB-B17F-4D18-9D8F-5CFA62B96684}"/>
    <cellStyle name="40% - Akzent1 12 22" xfId="4852" xr:uid="{010DFC05-7548-40AC-AFDF-DA759DAB08B3}"/>
    <cellStyle name="40% - Akzent1 12 22 2" xfId="24289" xr:uid="{E2ACE07E-E76C-4AD1-8ADB-97EABDFBA404}"/>
    <cellStyle name="40% - Akzent1 12 23" xfId="24262" xr:uid="{2095813B-C597-4D63-B11D-6A9B6195AA65}"/>
    <cellStyle name="40% - Akzent1 12 3" xfId="4853" xr:uid="{557E853F-76D5-4D91-A1A5-0AD0F7D1A2C4}"/>
    <cellStyle name="40% - Akzent1 12 3 2" xfId="4854" xr:uid="{1F0CD4D0-92A0-4F56-9387-84B9FB271C9A}"/>
    <cellStyle name="40% - Akzent1 12 3 2 2" xfId="24291" xr:uid="{5F24E61E-7DD4-4D10-9C8B-4F4C183C123A}"/>
    <cellStyle name="40% - Akzent1 12 3 3" xfId="24290" xr:uid="{CFB41059-25A0-412F-B398-0C011B17B365}"/>
    <cellStyle name="40% - Akzent1 12 4" xfId="4855" xr:uid="{1E9F305C-6893-4DD6-A48F-C08D5A561C6B}"/>
    <cellStyle name="40% - Akzent1 12 4 2" xfId="4856" xr:uid="{54FB5243-083D-44D9-8A82-8016B45AEFF3}"/>
    <cellStyle name="40% - Akzent1 12 4 2 2" xfId="24293" xr:uid="{22BA3655-9373-44C2-A31A-6B5497FF4084}"/>
    <cellStyle name="40% - Akzent1 12 4 3" xfId="24292" xr:uid="{A92D4804-EB7F-4BB9-AACC-57817695D362}"/>
    <cellStyle name="40% - Akzent1 12 5" xfId="4857" xr:uid="{DA18CC57-4971-46DA-BBE0-7DF6B93E935C}"/>
    <cellStyle name="40% - Akzent1 12 5 2" xfId="4858" xr:uid="{EA42EB56-87A8-48AA-91BB-4121CED06F5B}"/>
    <cellStyle name="40% - Akzent1 12 5 2 2" xfId="24295" xr:uid="{FD4FB320-8B55-4681-8550-201FD05D396C}"/>
    <cellStyle name="40% - Akzent1 12 5 3" xfId="24294" xr:uid="{B4B37F17-23C8-44C3-AFF5-EFE039E2EA62}"/>
    <cellStyle name="40% - Akzent1 12 6" xfId="4859" xr:uid="{23D75231-2919-44AE-8D7A-DA88355A38F3}"/>
    <cellStyle name="40% - Akzent1 12 6 2" xfId="4860" xr:uid="{D6D7275B-FC3B-4BF6-82E7-CFA5E32B559B}"/>
    <cellStyle name="40% - Akzent1 12 6 2 2" xfId="24297" xr:uid="{894BC535-6667-4279-84F1-D5E9BAB50F68}"/>
    <cellStyle name="40% - Akzent1 12 6 3" xfId="24296" xr:uid="{85B7582F-7AED-4DD0-9B05-3B4B44D19819}"/>
    <cellStyle name="40% - Akzent1 12 7" xfId="4861" xr:uid="{1A9CD05E-7A62-41AD-B6E5-D9A4324CCD09}"/>
    <cellStyle name="40% - Akzent1 12 7 2" xfId="4862" xr:uid="{37AD0C41-ADB6-445B-9C3C-267033CBE05B}"/>
    <cellStyle name="40% - Akzent1 12 7 2 2" xfId="24299" xr:uid="{17B919FF-2A6D-4791-9D41-0E1ED373E349}"/>
    <cellStyle name="40% - Akzent1 12 7 3" xfId="24298" xr:uid="{0D78A812-FC05-446B-9C7E-7D7ADD6A55B5}"/>
    <cellStyle name="40% - Akzent1 12 8" xfId="4863" xr:uid="{7045443D-8D5D-44F4-B73B-E301CBA3E95A}"/>
    <cellStyle name="40% - Akzent1 12 8 2" xfId="4864" xr:uid="{8BB4F62E-C839-4B50-8EA5-412CC1FFA548}"/>
    <cellStyle name="40% - Akzent1 12 8 2 2" xfId="24301" xr:uid="{E98CFB73-1CA4-4F28-9B7F-A61A3469FFA2}"/>
    <cellStyle name="40% - Akzent1 12 8 3" xfId="24300" xr:uid="{21BCEBCB-9EBD-4AE6-ACD9-3882261C35E8}"/>
    <cellStyle name="40% - Akzent1 12 9" xfId="4865" xr:uid="{D47E8B2C-F18B-4FD7-ABF6-CADF27AEBC69}"/>
    <cellStyle name="40% - Akzent1 12 9 2" xfId="4866" xr:uid="{27C663B6-8AFD-4F21-82BF-4E71101AD86A}"/>
    <cellStyle name="40% - Akzent1 12 9 2 2" xfId="24303" xr:uid="{E0B509E4-A935-4CAA-904B-51A6495826CA}"/>
    <cellStyle name="40% - Akzent1 12 9 3" xfId="24302" xr:uid="{2B310615-2CCB-4696-B8D4-11A116CA35E3}"/>
    <cellStyle name="40% - Akzent1 13" xfId="4867" xr:uid="{C3B07B16-B54A-4FAE-9EF5-8C48A942B0B0}"/>
    <cellStyle name="40% - Akzent1 13 10" xfId="4868" xr:uid="{9E7C5EB2-43CD-4656-8969-61C135B2CEF2}"/>
    <cellStyle name="40% - Akzent1 13 10 2" xfId="4869" xr:uid="{23F30E3C-D449-424B-B2DE-FE408A65F54F}"/>
    <cellStyle name="40% - Akzent1 13 10 2 2" xfId="24306" xr:uid="{30839EC9-2CF8-4698-A36F-37D2449A2340}"/>
    <cellStyle name="40% - Akzent1 13 10 3" xfId="24305" xr:uid="{504C321F-6578-4DA9-9A47-71EF493EDB74}"/>
    <cellStyle name="40% - Akzent1 13 11" xfId="4870" xr:uid="{00329A9B-3DCE-428F-9A5F-F73EC377AFF2}"/>
    <cellStyle name="40% - Akzent1 13 11 2" xfId="4871" xr:uid="{388A90AA-76E0-432B-BA25-0AEEAA4D57E2}"/>
    <cellStyle name="40% - Akzent1 13 11 2 2" xfId="24308" xr:uid="{1D6D3B8D-8E20-4414-98B0-2FFE7E81AECF}"/>
    <cellStyle name="40% - Akzent1 13 11 3" xfId="24307" xr:uid="{CB813085-9297-4B49-872A-2DDAFA8C3EB6}"/>
    <cellStyle name="40% - Akzent1 13 12" xfId="4872" xr:uid="{B42B7D30-361B-4A14-87EC-B123F09A8E0F}"/>
    <cellStyle name="40% - Akzent1 13 12 2" xfId="4873" xr:uid="{5A485194-4BD3-4EF3-901E-95B5E38ED83A}"/>
    <cellStyle name="40% - Akzent1 13 12 2 2" xfId="24310" xr:uid="{917162FB-5A26-4093-9575-FEBB6ED70A84}"/>
    <cellStyle name="40% - Akzent1 13 12 3" xfId="24309" xr:uid="{F059611A-94D4-47CB-BB5B-D1FB202E3713}"/>
    <cellStyle name="40% - Akzent1 13 13" xfId="4874" xr:uid="{CE3B6760-126D-490A-998E-7D2F43C2A9FF}"/>
    <cellStyle name="40% - Akzent1 13 13 2" xfId="4875" xr:uid="{6AE7880B-6421-45DD-ADB6-2D728206469F}"/>
    <cellStyle name="40% - Akzent1 13 13 2 2" xfId="24312" xr:uid="{36585FC9-833A-45B0-AC61-1147908F3EDC}"/>
    <cellStyle name="40% - Akzent1 13 13 3" xfId="24311" xr:uid="{7BD0879E-9DC9-44DC-9626-CC0EF4C937F4}"/>
    <cellStyle name="40% - Akzent1 13 14" xfId="4876" xr:uid="{872ADE53-F2A4-4189-B2BC-5B13B7B9688B}"/>
    <cellStyle name="40% - Akzent1 13 14 2" xfId="24313" xr:uid="{16DF112B-0A79-4E69-B332-1532DACE7603}"/>
    <cellStyle name="40% - Akzent1 13 15" xfId="24304" xr:uid="{310A4166-36FC-426C-8D9D-9F6A4BCD4DD9}"/>
    <cellStyle name="40% - Akzent1 13 2" xfId="4877" xr:uid="{ADB5D770-7280-4972-9F2B-3109B60BA55F}"/>
    <cellStyle name="40% - Akzent1 13 2 2" xfId="4878" xr:uid="{10E7D263-CA37-42DF-B02C-CA1363E23D2A}"/>
    <cellStyle name="40% - Akzent1 13 2 2 2" xfId="24315" xr:uid="{C6A3EFFF-FCED-4A25-AF9D-078D04A2429D}"/>
    <cellStyle name="40% - Akzent1 13 2 3" xfId="24314" xr:uid="{EEE2ED5F-F248-469C-A69C-D47DD13A638D}"/>
    <cellStyle name="40% - Akzent1 13 3" xfId="4879" xr:uid="{3D2E6A78-54AC-4B4E-9A08-CA14D7F111AD}"/>
    <cellStyle name="40% - Akzent1 13 3 2" xfId="4880" xr:uid="{A1974015-A120-4784-95B8-22351E69EA87}"/>
    <cellStyle name="40% - Akzent1 13 3 2 2" xfId="24317" xr:uid="{CF290D81-6276-48AE-A090-25505F955C3D}"/>
    <cellStyle name="40% - Akzent1 13 3 3" xfId="24316" xr:uid="{7D821CF7-9C2D-46A5-ACD8-F4E62956BD4B}"/>
    <cellStyle name="40% - Akzent1 13 4" xfId="4881" xr:uid="{47729C83-276E-44EF-ACDF-5D32E72B40F7}"/>
    <cellStyle name="40% - Akzent1 13 4 2" xfId="4882" xr:uid="{5C4AC22B-4951-4B02-894E-469CC536B5A3}"/>
    <cellStyle name="40% - Akzent1 13 4 2 2" xfId="24319" xr:uid="{7844939A-5FFB-4780-BFD3-F6E5E5E88B44}"/>
    <cellStyle name="40% - Akzent1 13 4 3" xfId="24318" xr:uid="{5DF40621-5EE9-4F63-8C5B-A14A9CB78775}"/>
    <cellStyle name="40% - Akzent1 13 5" xfId="4883" xr:uid="{FBF3A763-52B8-4CD8-AC3F-38F069494E3A}"/>
    <cellStyle name="40% - Akzent1 13 5 2" xfId="4884" xr:uid="{ADB3EA6F-82EF-44F7-8FEF-C0A96699D081}"/>
    <cellStyle name="40% - Akzent1 13 5 2 2" xfId="24321" xr:uid="{E32CEFF5-6B8D-4449-8F80-FC64E7CABE6E}"/>
    <cellStyle name="40% - Akzent1 13 5 3" xfId="24320" xr:uid="{F8AB5AB2-9048-47A1-BD78-777D392E90BC}"/>
    <cellStyle name="40% - Akzent1 13 6" xfId="4885" xr:uid="{3A368422-17F2-4DB1-904A-D755BFE32A4D}"/>
    <cellStyle name="40% - Akzent1 13 6 2" xfId="4886" xr:uid="{290F1C78-7386-469B-BE36-20247CAC0253}"/>
    <cellStyle name="40% - Akzent1 13 6 2 2" xfId="24323" xr:uid="{2AECD660-05B9-4706-927F-D7C056AE98B1}"/>
    <cellStyle name="40% - Akzent1 13 6 3" xfId="24322" xr:uid="{0503EC97-056C-4816-895E-3E72328723B0}"/>
    <cellStyle name="40% - Akzent1 13 7" xfId="4887" xr:uid="{66E147A9-707C-45B2-83B6-1CC355C78B61}"/>
    <cellStyle name="40% - Akzent1 13 7 2" xfId="4888" xr:uid="{39E9C0AB-57D5-4619-95B7-33F9DE44C9C1}"/>
    <cellStyle name="40% - Akzent1 13 7 2 2" xfId="24325" xr:uid="{B040CB6F-8EE7-4735-B09E-84000883E43B}"/>
    <cellStyle name="40% - Akzent1 13 7 3" xfId="24324" xr:uid="{6827D908-8336-45EA-A384-D80A8BF88923}"/>
    <cellStyle name="40% - Akzent1 13 8" xfId="4889" xr:uid="{7E3EC612-EA5A-49F3-B900-B376B197F295}"/>
    <cellStyle name="40% - Akzent1 13 8 2" xfId="4890" xr:uid="{47DC0FEF-A89C-44B5-9179-2AF9045DB642}"/>
    <cellStyle name="40% - Akzent1 13 8 2 2" xfId="24327" xr:uid="{01D289B6-A112-4082-8B35-B0BE8C53C336}"/>
    <cellStyle name="40% - Akzent1 13 8 3" xfId="24326" xr:uid="{855B79D2-5374-40E6-9FFA-DB26512B7F85}"/>
    <cellStyle name="40% - Akzent1 13 9" xfId="4891" xr:uid="{50E6E936-90E3-45F6-A616-10D05FF850C1}"/>
    <cellStyle name="40% - Akzent1 13 9 2" xfId="4892" xr:uid="{ECEDFD18-A926-4DA2-8F87-A28DDA6FE8EB}"/>
    <cellStyle name="40% - Akzent1 13 9 2 2" xfId="24329" xr:uid="{EAB493EE-C9F6-4939-A3AB-7B194C9A9BEA}"/>
    <cellStyle name="40% - Akzent1 13 9 3" xfId="24328" xr:uid="{06554945-1365-468E-AD55-5285F93B27F3}"/>
    <cellStyle name="40% - Akzent1 14" xfId="4893" xr:uid="{50BD729D-2262-41FB-9ED6-943EA739C639}"/>
    <cellStyle name="40% - Akzent1 14 2" xfId="4894" xr:uid="{935D17BF-CDE2-462B-B0D9-54B9EAB07D00}"/>
    <cellStyle name="40% - Akzent1 14 2 2" xfId="24331" xr:uid="{BC601570-966E-4852-A4DC-267FA46A986E}"/>
    <cellStyle name="40% - Akzent1 14 3" xfId="4895" xr:uid="{E64675BC-2793-4AB3-92DE-913292F43288}"/>
    <cellStyle name="40% - Akzent1 14 3 2" xfId="24332" xr:uid="{E3C46097-763A-4780-9AE8-7671F2264E97}"/>
    <cellStyle name="40% - Akzent1 14 4" xfId="24330" xr:uid="{60B87548-FEA2-46F3-8D74-7C540DA273D3}"/>
    <cellStyle name="40% - Akzent1 15" xfId="4896" xr:uid="{18AA7FAC-CED5-4DD0-81D3-2C14E2B7821D}"/>
    <cellStyle name="40% - Akzent1 15 2" xfId="4897" xr:uid="{B15B8603-5F72-4B48-8A3A-F7B46C4F1D86}"/>
    <cellStyle name="40% - Akzent1 15 2 2" xfId="24334" xr:uid="{E9BDB790-6669-4882-B8C7-56E80D5A5354}"/>
    <cellStyle name="40% - Akzent1 15 3" xfId="4898" xr:uid="{18214D80-58C7-42FE-B44F-3EBFD3CC49B8}"/>
    <cellStyle name="40% - Akzent1 15 3 2" xfId="24335" xr:uid="{0C430C3A-4D82-470E-8B6B-8098BF3F6459}"/>
    <cellStyle name="40% - Akzent1 15 4" xfId="24333" xr:uid="{F8FF5000-2FF5-4A72-9F1D-E89256675091}"/>
    <cellStyle name="40% - Akzent1 16" xfId="4899" xr:uid="{90D20F3C-7BEC-432B-8F15-79052D5DDEED}"/>
    <cellStyle name="40% - Akzent1 16 2" xfId="4900" xr:uid="{A3E29BB6-53CC-496C-A294-DCABB3CE06E9}"/>
    <cellStyle name="40% - Akzent1 16 2 2" xfId="24337" xr:uid="{A75BA292-D073-401D-A9B0-FF37F9EB0796}"/>
    <cellStyle name="40% - Akzent1 16 3" xfId="4901" xr:uid="{B2A875F3-5A1D-46D2-9067-611E67ACE1AC}"/>
    <cellStyle name="40% - Akzent1 16 3 2" xfId="24338" xr:uid="{02FD5D43-3C32-41F6-B12F-859CD1569A04}"/>
    <cellStyle name="40% - Akzent1 16 4" xfId="24336" xr:uid="{A4849DEA-F253-4C89-8786-EFFE4FA245BE}"/>
    <cellStyle name="40% - Akzent1 17" xfId="4902" xr:uid="{585E07D1-A667-4258-80BF-E82BD3D178A1}"/>
    <cellStyle name="40% - Akzent1 17 2" xfId="4903" xr:uid="{ADF42C60-F4D7-4926-B1D2-C9DB0057DC64}"/>
    <cellStyle name="40% - Akzent1 17 2 2" xfId="24340" xr:uid="{7872A0E5-D7DD-4E5C-872A-3B226D6C8B05}"/>
    <cellStyle name="40% - Akzent1 17 3" xfId="4904" xr:uid="{E7AF5295-C482-4EF5-92E1-D937D7B9CA8A}"/>
    <cellStyle name="40% - Akzent1 17 3 2" xfId="24341" xr:uid="{C4599E5B-7208-4750-8E2A-230BFE8725F4}"/>
    <cellStyle name="40% - Akzent1 17 4" xfId="24339" xr:uid="{A1DEAD42-7BD7-4E93-BD4F-4DDACBFCACFA}"/>
    <cellStyle name="40% - Akzent1 18" xfId="4905" xr:uid="{12078B26-61A9-4B88-BAE5-912F606272B3}"/>
    <cellStyle name="40% - Akzent1 18 2" xfId="4906" xr:uid="{FC66667C-DC28-4823-A648-B5A4D9BF45DA}"/>
    <cellStyle name="40% - Akzent1 18 2 2" xfId="24343" xr:uid="{503FA4DD-741E-4C8A-AA34-1BB9123F402C}"/>
    <cellStyle name="40% - Akzent1 18 3" xfId="4907" xr:uid="{558D5432-0BD8-416B-A0D3-25310A931637}"/>
    <cellStyle name="40% - Akzent1 18 3 2" xfId="24344" xr:uid="{2945B5CA-EB0A-48B1-B041-1250DAD2C656}"/>
    <cellStyle name="40% - Akzent1 18 4" xfId="24342" xr:uid="{A04A2E0B-AC00-4D2B-98F2-A7030A951B23}"/>
    <cellStyle name="40% - Akzent1 19" xfId="4908" xr:uid="{F8326183-78FF-4687-B072-7DAD0FDEDFA0}"/>
    <cellStyle name="40% - Akzent1 19 2" xfId="4909" xr:uid="{E2C87811-3D7A-4EDC-AFF9-72F11200FE88}"/>
    <cellStyle name="40% - Akzent1 19 2 2" xfId="24346" xr:uid="{28EDA468-A11D-4EAA-BF14-70EAE1E61599}"/>
    <cellStyle name="40% - Akzent1 19 3" xfId="4910" xr:uid="{3919319C-FAAA-4492-AFC3-932FEB2F7E89}"/>
    <cellStyle name="40% - Akzent1 19 3 2" xfId="24347" xr:uid="{5FA0C1AC-D28C-4892-AE80-F267B845E32B}"/>
    <cellStyle name="40% - Akzent1 19 4" xfId="24345" xr:uid="{3C0FCCAC-7A47-4A3F-8BE6-5088666EDF5A}"/>
    <cellStyle name="40% - Akzent1 2" xfId="98" xr:uid="{BF56C2F2-E591-4421-B945-3F6D1372CA44}"/>
    <cellStyle name="40% - Akzent1 2 10" xfId="4912" xr:uid="{90268071-4FBF-422E-BEBC-C57314DC9FB6}"/>
    <cellStyle name="40% - Akzent1 2 10 2" xfId="4913" xr:uid="{BC5C6100-0BCC-4173-846D-E3E748193602}"/>
    <cellStyle name="40% - Akzent1 2 10 2 2" xfId="24350" xr:uid="{D0EAD3A8-9125-4554-9BB6-C1428ABCDD53}"/>
    <cellStyle name="40% - Akzent1 2 10 3" xfId="24349" xr:uid="{549F7A3C-E862-4268-BE39-0C8B85467B21}"/>
    <cellStyle name="40% - Akzent1 2 11" xfId="4914" xr:uid="{E590FB21-81DC-4F0A-981E-DDEA1A1D087A}"/>
    <cellStyle name="40% - Akzent1 2 11 2" xfId="4915" xr:uid="{F9BB3C7A-9BAD-416D-BCE0-1AFE69984903}"/>
    <cellStyle name="40% - Akzent1 2 11 2 2" xfId="24352" xr:uid="{E5C03947-316B-4025-95BE-B58801DC21D0}"/>
    <cellStyle name="40% - Akzent1 2 11 3" xfId="24351" xr:uid="{F7E5A03C-AA45-483D-87D8-48E062E31259}"/>
    <cellStyle name="40% - Akzent1 2 12" xfId="4916" xr:uid="{7731FD48-A137-4284-A162-DEB1B544588A}"/>
    <cellStyle name="40% - Akzent1 2 12 2" xfId="4917" xr:uid="{EF04E47B-FFA6-4877-AFE7-83D778FE8DE1}"/>
    <cellStyle name="40% - Akzent1 2 12 2 2" xfId="24354" xr:uid="{AF478BBE-E602-4DEF-9E3D-0FEEE58228EB}"/>
    <cellStyle name="40% - Akzent1 2 12 3" xfId="24353" xr:uid="{BB8EB43A-0781-47F4-BFC1-D1C11B632DA2}"/>
    <cellStyle name="40% - Akzent1 2 13" xfId="4918" xr:uid="{FCCB0C92-10D0-4358-AD41-67458D607104}"/>
    <cellStyle name="40% - Akzent1 2 13 2" xfId="4919" xr:uid="{65D548CF-7DAF-446D-B11B-8D2721BA3ABF}"/>
    <cellStyle name="40% - Akzent1 2 13 2 2" xfId="24356" xr:uid="{019EB262-0693-40D8-82FA-D24C377167D7}"/>
    <cellStyle name="40% - Akzent1 2 13 3" xfId="24355" xr:uid="{044BFBFB-9537-492E-AC5A-28B73A354240}"/>
    <cellStyle name="40% - Akzent1 2 14" xfId="4920" xr:uid="{36AB6205-47F8-431A-A81D-14F69F6DAE5E}"/>
    <cellStyle name="40% - Akzent1 2 14 2" xfId="4921" xr:uid="{85DDAAA1-3E78-44D3-BA18-1B70182D697D}"/>
    <cellStyle name="40% - Akzent1 2 14 2 2" xfId="24358" xr:uid="{5AAC0FEC-C46F-4A82-8DB7-0B4DF3CB222C}"/>
    <cellStyle name="40% - Akzent1 2 14 3" xfId="24357" xr:uid="{5F8E4B37-C592-4F34-B68F-E89A32D1571F}"/>
    <cellStyle name="40% - Akzent1 2 15" xfId="4922" xr:uid="{92E8CE89-F036-43B5-8873-E8C8C424A9A9}"/>
    <cellStyle name="40% - Akzent1 2 15 2" xfId="4923" xr:uid="{0F0C3E7B-8748-4D14-B7AF-92A6C6689AA1}"/>
    <cellStyle name="40% - Akzent1 2 15 2 2" xfId="24360" xr:uid="{FA1BFE00-761C-4712-BD22-3DDD38642478}"/>
    <cellStyle name="40% - Akzent1 2 15 3" xfId="24359" xr:uid="{6685BCC3-137D-4D81-9CB8-A116B0814124}"/>
    <cellStyle name="40% - Akzent1 2 16" xfId="4924" xr:uid="{5C113C0C-3623-4DC7-A62E-097A9B548DCF}"/>
    <cellStyle name="40% - Akzent1 2 16 2" xfId="4925" xr:uid="{FF01E42D-5EF6-4144-B0A0-6D153E498A9D}"/>
    <cellStyle name="40% - Akzent1 2 16 2 2" xfId="24362" xr:uid="{EBAB0855-251E-4E99-A750-0740CC206C0D}"/>
    <cellStyle name="40% - Akzent1 2 16 3" xfId="24361" xr:uid="{61B695D7-BE3D-43D8-B326-39AD231D30EA}"/>
    <cellStyle name="40% - Akzent1 2 17" xfId="4926" xr:uid="{28A74D14-D90C-4023-A413-08F64CB8522A}"/>
    <cellStyle name="40% - Akzent1 2 17 2" xfId="4927" xr:uid="{4221DD0B-3FAB-4379-A374-4C9E0380368A}"/>
    <cellStyle name="40% - Akzent1 2 17 2 2" xfId="24364" xr:uid="{36666A15-F576-4D36-9C1A-5D707CC6B6E5}"/>
    <cellStyle name="40% - Akzent1 2 17 3" xfId="24363" xr:uid="{8C9CD5FF-9D27-46F5-99A7-A6169188CE47}"/>
    <cellStyle name="40% - Akzent1 2 18" xfId="4928" xr:uid="{FC8E9ACD-9D99-4FBE-9239-E070823CE6F4}"/>
    <cellStyle name="40% - Akzent1 2 18 2" xfId="4929" xr:uid="{95B1BAE4-90DF-47ED-83A7-C505064E81D7}"/>
    <cellStyle name="40% - Akzent1 2 18 2 2" xfId="24366" xr:uid="{181A1827-F563-418B-B986-DAA6A023626B}"/>
    <cellStyle name="40% - Akzent1 2 18 3" xfId="24365" xr:uid="{1958AE96-DB68-4B43-96E6-FAE44CCF9EC4}"/>
    <cellStyle name="40% - Akzent1 2 19" xfId="4930" xr:uid="{3E34DDD9-B59F-4849-BDEA-2AEDF9C858B4}"/>
    <cellStyle name="40% - Akzent1 2 19 2" xfId="4931" xr:uid="{A63060BF-1752-4F2E-A926-8E0DF8E801CF}"/>
    <cellStyle name="40% - Akzent1 2 19 2 2" xfId="24368" xr:uid="{9D338D75-48C8-424A-9B7A-6A6F5712ACBF}"/>
    <cellStyle name="40% - Akzent1 2 19 3" xfId="24367" xr:uid="{4C8A7A7E-7767-489C-83C1-4A3983B83FEA}"/>
    <cellStyle name="40% - Akzent1 2 2" xfId="4932" xr:uid="{E9C9433B-51BE-4243-B7A6-19F51B60A57D}"/>
    <cellStyle name="40% - Akzent1 2 2 10" xfId="4933" xr:uid="{74981759-9DEA-44E5-BD2D-C116230781EC}"/>
    <cellStyle name="40% - Akzent1 2 2 10 2" xfId="24370" xr:uid="{96AED39B-2D01-4FC1-A1D8-9C84C97F8E6F}"/>
    <cellStyle name="40% - Akzent1 2 2 11" xfId="4934" xr:uid="{4A656DD6-6CCC-4F1C-8A88-84796B7AFBC4}"/>
    <cellStyle name="40% - Akzent1 2 2 11 2" xfId="24371" xr:uid="{7B03DA72-2A4A-4BC2-9598-FBFD8B5BC64A}"/>
    <cellStyle name="40% - Akzent1 2 2 12" xfId="4935" xr:uid="{EA20F994-A06E-4E4A-882E-0D5159BEFE26}"/>
    <cellStyle name="40% - Akzent1 2 2 12 2" xfId="24372" xr:uid="{26637E59-DEBF-41BB-BCA8-A2412F3295B7}"/>
    <cellStyle name="40% - Akzent1 2 2 13" xfId="4936" xr:uid="{8A038088-DE66-4799-BFE4-C5503B255C67}"/>
    <cellStyle name="40% - Akzent1 2 2 13 2" xfId="4937" xr:uid="{DEE148B1-9E10-4FE9-A0D5-EC1C0F776B4B}"/>
    <cellStyle name="40% - Akzent1 2 2 13 2 2" xfId="24374" xr:uid="{A4FF1418-6171-4C29-A56A-E824092EC907}"/>
    <cellStyle name="40% - Akzent1 2 2 13 3" xfId="24373" xr:uid="{0A70DF7F-0D8B-44F2-A86C-AA1B391D7A97}"/>
    <cellStyle name="40% - Akzent1 2 2 14" xfId="4938" xr:uid="{23EBE2E6-E490-4965-A861-D657BE439CA0}"/>
    <cellStyle name="40% - Akzent1 2 2 14 2" xfId="4939" xr:uid="{564C7C74-7096-4274-8364-0698E595625D}"/>
    <cellStyle name="40% - Akzent1 2 2 14 2 2" xfId="24376" xr:uid="{377ED2DB-40CF-48B9-A496-6F198351B97C}"/>
    <cellStyle name="40% - Akzent1 2 2 14 3" xfId="24375" xr:uid="{A9BA2942-C6CE-48EB-8B0B-B049E5878B93}"/>
    <cellStyle name="40% - Akzent1 2 2 15" xfId="4940" xr:uid="{63B4E226-3AD1-4634-880B-3A8B362D9A01}"/>
    <cellStyle name="40% - Akzent1 2 2 15 2" xfId="4941" xr:uid="{40342345-99CE-4FB8-97BA-6DC17BD7AF39}"/>
    <cellStyle name="40% - Akzent1 2 2 15 2 2" xfId="24378" xr:uid="{F90F228E-5F9A-4AE9-A991-003A47D46227}"/>
    <cellStyle name="40% - Akzent1 2 2 15 3" xfId="24377" xr:uid="{47FA0789-C397-4B13-B551-AD2912C86263}"/>
    <cellStyle name="40% - Akzent1 2 2 16" xfId="4942" xr:uid="{A2E2E209-70B4-461D-A34C-6909CC71CDF0}"/>
    <cellStyle name="40% - Akzent1 2 2 16 2" xfId="4943" xr:uid="{A6FF3DC5-D87C-49FA-8ABD-2596FEE69B5A}"/>
    <cellStyle name="40% - Akzent1 2 2 16 2 2" xfId="24380" xr:uid="{586673AC-F248-4537-A11B-5229CDCAF0DF}"/>
    <cellStyle name="40% - Akzent1 2 2 16 3" xfId="24379" xr:uid="{F6D85855-2347-4057-9129-20606327616A}"/>
    <cellStyle name="40% - Akzent1 2 2 17" xfId="4944" xr:uid="{7C26515C-8392-484F-8E60-ED70658973B0}"/>
    <cellStyle name="40% - Akzent1 2 2 17 2" xfId="4945" xr:uid="{D0661D0D-02F6-4D40-AF26-E6735D79979C}"/>
    <cellStyle name="40% - Akzent1 2 2 17 2 2" xfId="24382" xr:uid="{F26F8FE2-18DD-42FC-8DDF-2F524246D1EC}"/>
    <cellStyle name="40% - Akzent1 2 2 17 3" xfId="24381" xr:uid="{0F443B65-61F1-4D86-81B6-BD1726D17337}"/>
    <cellStyle name="40% - Akzent1 2 2 18" xfId="4946" xr:uid="{3F493973-FA78-4616-810E-A9BDC1D77CC9}"/>
    <cellStyle name="40% - Akzent1 2 2 18 2" xfId="4947" xr:uid="{9D4495C2-C38B-4F78-ABB1-6AF54D33FB63}"/>
    <cellStyle name="40% - Akzent1 2 2 18 2 2" xfId="24384" xr:uid="{7990465F-001D-4547-BDC6-362682F7F8C9}"/>
    <cellStyle name="40% - Akzent1 2 2 18 3" xfId="24383" xr:uid="{E32C8E75-56DB-467E-8953-B71B507D612E}"/>
    <cellStyle name="40% - Akzent1 2 2 19" xfId="4948" xr:uid="{131C2394-A183-464D-B5D9-70753C70428D}"/>
    <cellStyle name="40% - Akzent1 2 2 19 2" xfId="4949" xr:uid="{3E569F72-25D8-4D2A-BB93-76B3319B73BB}"/>
    <cellStyle name="40% - Akzent1 2 2 19 2 2" xfId="24386" xr:uid="{72C959B1-FA0D-41B2-A8BA-40C1C1D39E3C}"/>
    <cellStyle name="40% - Akzent1 2 2 19 3" xfId="24385" xr:uid="{71013E24-52EC-4806-81B0-9AA0269817BB}"/>
    <cellStyle name="40% - Akzent1 2 2 2" xfId="4950" xr:uid="{E7F1AED5-E69D-4C13-821D-F867E846EE80}"/>
    <cellStyle name="40% - Akzent1 2 2 2 10" xfId="4951" xr:uid="{035ED50C-54FF-44EF-A9DC-2C1FD517FBAD}"/>
    <cellStyle name="40% - Akzent1 2 2 2 10 2" xfId="4952" xr:uid="{6F073188-0A14-4A2D-921D-E0B90054532F}"/>
    <cellStyle name="40% - Akzent1 2 2 2 10 2 2" xfId="24389" xr:uid="{94C7835E-6337-438D-8952-AC6D7603E107}"/>
    <cellStyle name="40% - Akzent1 2 2 2 10 3" xfId="24388" xr:uid="{0ADE1534-0FAB-4C75-8680-B1CA9743616A}"/>
    <cellStyle name="40% - Akzent1 2 2 2 11" xfId="4953" xr:uid="{A1DD0171-B9B6-4BBD-8DF4-5E1116CEC07B}"/>
    <cellStyle name="40% - Akzent1 2 2 2 11 2" xfId="24390" xr:uid="{4E6FCD4A-D4C3-407F-8D8C-EA40A37913A0}"/>
    <cellStyle name="40% - Akzent1 2 2 2 12" xfId="24387" xr:uid="{C9DF3BBC-5E1F-4811-8806-90CE619005AE}"/>
    <cellStyle name="40% - Akzent1 2 2 2 13" xfId="39937" xr:uid="{3D436B36-CDE8-4A79-85FC-4D0544A0E3D9}"/>
    <cellStyle name="40% - Akzent1 2 2 2 2" xfId="4954" xr:uid="{1F1D42EB-357A-465B-9096-F44FA5B3279C}"/>
    <cellStyle name="40% - Akzent1 2 2 2 2 10" xfId="40883" xr:uid="{3E5CF06A-B07B-4E6A-BA51-DD9A00345067}"/>
    <cellStyle name="40% - Akzent1 2 2 2 2 2" xfId="4955" xr:uid="{7054B301-B257-4C3E-BDB0-22A548157804}"/>
    <cellStyle name="40% - Akzent1 2 2 2 2 2 10" xfId="24392" xr:uid="{5CD495A7-A950-4FA9-93FE-C156A40400C3}"/>
    <cellStyle name="40% - Akzent1 2 2 2 2 2 2" xfId="4956" xr:uid="{19EEB26A-FA4C-4DB5-A851-BE2385B421B6}"/>
    <cellStyle name="40% - Akzent1 2 2 2 2 2 2 2" xfId="4957" xr:uid="{97DA9D0D-2BAC-45E9-8ED3-51BA8C33AC95}"/>
    <cellStyle name="40% - Akzent1 2 2 2 2 2 2 2 2" xfId="4958" xr:uid="{B8E42C60-1BE4-47E8-AF9D-CD10BA24268B}"/>
    <cellStyle name="40% - Akzent1 2 2 2 2 2 2 2 2 2" xfId="24395" xr:uid="{712248C2-72D3-48FC-9E21-1BAA81CED939}"/>
    <cellStyle name="40% - Akzent1 2 2 2 2 2 2 2 3" xfId="24394" xr:uid="{D6A84E6F-A1E8-455C-9D7D-237121C899E2}"/>
    <cellStyle name="40% - Akzent1 2 2 2 2 2 2 3" xfId="24393" xr:uid="{41BBBF58-1D74-406B-A0D2-A03C57F77E7C}"/>
    <cellStyle name="40% - Akzent1 2 2 2 2 2 3" xfId="4959" xr:uid="{D4BCCAEF-5EC9-43AB-9322-5C22892D9297}"/>
    <cellStyle name="40% - Akzent1 2 2 2 2 2 3 2" xfId="4960" xr:uid="{422D897A-5AD7-470D-91A4-90B1FD58B2E6}"/>
    <cellStyle name="40% - Akzent1 2 2 2 2 2 3 2 2" xfId="24397" xr:uid="{E20B85A5-A14E-4BEA-BDA2-5A2295922782}"/>
    <cellStyle name="40% - Akzent1 2 2 2 2 2 3 3" xfId="24396" xr:uid="{807E5B74-AD21-4A5F-988D-9B491E57A4FC}"/>
    <cellStyle name="40% - Akzent1 2 2 2 2 2 4" xfId="4961" xr:uid="{2CA9854D-79BA-4580-8AFE-16DDDB60E6DA}"/>
    <cellStyle name="40% - Akzent1 2 2 2 2 2 4 2" xfId="4962" xr:uid="{EBFDE7E0-E8C9-40B0-9515-2CCA27A465A4}"/>
    <cellStyle name="40% - Akzent1 2 2 2 2 2 4 2 2" xfId="24399" xr:uid="{DC04C792-AA2E-4E19-99C3-4D945C759650}"/>
    <cellStyle name="40% - Akzent1 2 2 2 2 2 4 3" xfId="24398" xr:uid="{16180ED3-55DF-4554-B501-382F13AE8918}"/>
    <cellStyle name="40% - Akzent1 2 2 2 2 2 5" xfId="4963" xr:uid="{7E8AF6E4-BADF-48A4-B48E-710D2B8B8E93}"/>
    <cellStyle name="40% - Akzent1 2 2 2 2 2 5 2" xfId="4964" xr:uid="{B8C396FF-7D39-484A-9596-6FCB8019B34B}"/>
    <cellStyle name="40% - Akzent1 2 2 2 2 2 5 2 2" xfId="24401" xr:uid="{0CA6A46A-CCC1-434B-A496-75BC43D761D7}"/>
    <cellStyle name="40% - Akzent1 2 2 2 2 2 5 3" xfId="24400" xr:uid="{B2031DEF-E553-4056-821C-B4DAB9986B00}"/>
    <cellStyle name="40% - Akzent1 2 2 2 2 2 6" xfId="4965" xr:uid="{AF65558F-D12D-4C51-B5B8-9B46A951E29B}"/>
    <cellStyle name="40% - Akzent1 2 2 2 2 2 6 2" xfId="4966" xr:uid="{8389C77D-DB07-4317-BC40-19A4768F5970}"/>
    <cellStyle name="40% - Akzent1 2 2 2 2 2 6 2 2" xfId="24403" xr:uid="{72938E0F-8A50-4E3A-ADAC-8DEFAAAF6E2E}"/>
    <cellStyle name="40% - Akzent1 2 2 2 2 2 6 3" xfId="24402" xr:uid="{5A878D7C-66B4-48DB-B90A-8BA989845107}"/>
    <cellStyle name="40% - Akzent1 2 2 2 2 2 7" xfId="4967" xr:uid="{1CB70AA5-E86F-4971-9AE7-F3C9CC5FA14D}"/>
    <cellStyle name="40% - Akzent1 2 2 2 2 2 7 2" xfId="4968" xr:uid="{4EB9AAA6-52BB-4ADC-8441-B21002CC6312}"/>
    <cellStyle name="40% - Akzent1 2 2 2 2 2 7 2 2" xfId="24405" xr:uid="{C4511376-D4C9-47CB-B5B3-8F218173E1CC}"/>
    <cellStyle name="40% - Akzent1 2 2 2 2 2 7 3" xfId="24404" xr:uid="{D1719A34-127D-4961-8D8C-3939A7ACC4F0}"/>
    <cellStyle name="40% - Akzent1 2 2 2 2 2 8" xfId="4969" xr:uid="{67BCBE9C-64E9-42AC-BFCB-20B8AC905F99}"/>
    <cellStyle name="40% - Akzent1 2 2 2 2 2 8 2" xfId="4970" xr:uid="{5148062F-5D85-4CBC-A91C-E5240487ABDA}"/>
    <cellStyle name="40% - Akzent1 2 2 2 2 2 8 2 2" xfId="24407" xr:uid="{7D535158-0BD0-4B93-90DB-66E324C9313B}"/>
    <cellStyle name="40% - Akzent1 2 2 2 2 2 8 3" xfId="24406" xr:uid="{AEFC7F7D-7BE7-4E1B-B5AD-9C6A774B87E5}"/>
    <cellStyle name="40% - Akzent1 2 2 2 2 2 9" xfId="4971" xr:uid="{4E2557E0-DD07-46C4-8103-11B61E41E923}"/>
    <cellStyle name="40% - Akzent1 2 2 2 2 2 9 2" xfId="24408" xr:uid="{44D123B3-D006-4B94-A449-2E68BE1DEBB2}"/>
    <cellStyle name="40% - Akzent1 2 2 2 2 3" xfId="4972" xr:uid="{3713EAD1-159F-493C-94ED-79B08F0CE027}"/>
    <cellStyle name="40% - Akzent1 2 2 2 2 3 2" xfId="4973" xr:uid="{0BF054F3-BD02-44E1-920E-32DAA3A7DEC6}"/>
    <cellStyle name="40% - Akzent1 2 2 2 2 3 2 2" xfId="24410" xr:uid="{CEB746A9-C8A9-4E5D-9553-0AECD3869FE1}"/>
    <cellStyle name="40% - Akzent1 2 2 2 2 3 3" xfId="4974" xr:uid="{EDB846C0-D841-4351-B386-4593D40C5BD0}"/>
    <cellStyle name="40% - Akzent1 2 2 2 2 3 3 2" xfId="24411" xr:uid="{F4546368-E73F-44C8-89F6-8D5D877FB8FD}"/>
    <cellStyle name="40% - Akzent1 2 2 2 2 3 4" xfId="24409" xr:uid="{CD1F6142-AAB3-40C1-910F-CF3D88DE0C16}"/>
    <cellStyle name="40% - Akzent1 2 2 2 2 4" xfId="4975" xr:uid="{8450B05D-A087-4745-8C85-8021682BAB13}"/>
    <cellStyle name="40% - Akzent1 2 2 2 2 4 2" xfId="24412" xr:uid="{982D6B57-23EC-4710-99D2-6C141F8BEDBF}"/>
    <cellStyle name="40% - Akzent1 2 2 2 2 5" xfId="4976" xr:uid="{D6AFC041-13CA-4577-A85E-755168C8914C}"/>
    <cellStyle name="40% - Akzent1 2 2 2 2 5 2" xfId="24413" xr:uid="{6A3529CE-156B-40B3-B4CB-517688D7E0F3}"/>
    <cellStyle name="40% - Akzent1 2 2 2 2 6" xfId="4977" xr:uid="{CCE75D75-E168-4EF1-B276-EBC7561C38FF}"/>
    <cellStyle name="40% - Akzent1 2 2 2 2 6 2" xfId="24414" xr:uid="{D9E71881-2B0D-4DBF-80E0-054EB3602186}"/>
    <cellStyle name="40% - Akzent1 2 2 2 2 7" xfId="4978" xr:uid="{1D6304DD-3EE7-4893-8D20-B943F28518C5}"/>
    <cellStyle name="40% - Akzent1 2 2 2 2 7 2" xfId="24415" xr:uid="{B6B075D7-3C10-49DC-892C-B384BB7B0FEC}"/>
    <cellStyle name="40% - Akzent1 2 2 2 2 8" xfId="4979" xr:uid="{2A027824-3E62-474D-98BF-424739F91552}"/>
    <cellStyle name="40% - Akzent1 2 2 2 2 8 2" xfId="24416" xr:uid="{D5FECD58-0E89-47D5-9B12-2A55F3002B60}"/>
    <cellStyle name="40% - Akzent1 2 2 2 2 9" xfId="24391" xr:uid="{C53D9492-E144-41DD-A08C-30AB6B908D65}"/>
    <cellStyle name="40% - Akzent1 2 2 2 3" xfId="4980" xr:uid="{0DB6CC35-7CDB-4CEC-878A-E39DA67B8417}"/>
    <cellStyle name="40% - Akzent1 2 2 2 3 2" xfId="4981" xr:uid="{D5013ED4-702F-41BF-B812-1974CBBBD51E}"/>
    <cellStyle name="40% - Akzent1 2 2 2 3 2 2" xfId="24418" xr:uid="{D6BBF342-7886-4750-BCEF-81A5B60C0621}"/>
    <cellStyle name="40% - Akzent1 2 2 2 3 3" xfId="24417" xr:uid="{521C5D09-F597-41D4-81B2-48332DAC2003}"/>
    <cellStyle name="40% - Akzent1 2 2 2 3 4" xfId="41743" xr:uid="{72398A67-6ED4-4501-94E7-B7E3D522CF86}"/>
    <cellStyle name="40% - Akzent1 2 2 2 4" xfId="4982" xr:uid="{DFDA7D32-43BE-421F-BC39-D049C9263D86}"/>
    <cellStyle name="40% - Akzent1 2 2 2 4 2" xfId="4983" xr:uid="{6B2E7E7E-DFAC-4D7F-9437-1332F5F3C36A}"/>
    <cellStyle name="40% - Akzent1 2 2 2 4 2 2" xfId="24420" xr:uid="{A4305D6A-14F1-41C9-ABFD-D9A541C49CCC}"/>
    <cellStyle name="40% - Akzent1 2 2 2 4 3" xfId="24419" xr:uid="{60D82F42-81AE-4F4D-97C8-9A42B11140BD}"/>
    <cellStyle name="40% - Akzent1 2 2 2 5" xfId="4984" xr:uid="{EFC9B524-3D18-478D-B164-79097F4A645F}"/>
    <cellStyle name="40% - Akzent1 2 2 2 5 2" xfId="4985" xr:uid="{BCAD159D-E12A-44BD-9DE2-925A94818B3A}"/>
    <cellStyle name="40% - Akzent1 2 2 2 5 2 2" xfId="4986" xr:uid="{A576C2C4-69E3-4165-9578-7B2633ACBD49}"/>
    <cellStyle name="40% - Akzent1 2 2 2 5 2 2 2" xfId="24423" xr:uid="{3D9C2FB1-761F-4E9F-9F05-69C2C9BDE7B1}"/>
    <cellStyle name="40% - Akzent1 2 2 2 5 2 3" xfId="24422" xr:uid="{C9AA3CF9-AD3E-45E5-93FA-1DC692F45B85}"/>
    <cellStyle name="40% - Akzent1 2 2 2 5 3" xfId="24421" xr:uid="{DBBCC481-9C96-4032-9457-F1D1B697B503}"/>
    <cellStyle name="40% - Akzent1 2 2 2 6" xfId="4987" xr:uid="{2BD11623-D601-45A7-BC58-D3F3496E0B46}"/>
    <cellStyle name="40% - Akzent1 2 2 2 6 2" xfId="4988" xr:uid="{2B90FCC3-E80D-4F6A-8A72-115C71C9333D}"/>
    <cellStyle name="40% - Akzent1 2 2 2 6 2 2" xfId="24425" xr:uid="{BD4CA87F-D833-4CCA-82CA-D01B9E7055EA}"/>
    <cellStyle name="40% - Akzent1 2 2 2 6 3" xfId="24424" xr:uid="{E8771969-C731-4C56-95CD-B0488F6349FB}"/>
    <cellStyle name="40% - Akzent1 2 2 2 7" xfId="4989" xr:uid="{0E42ED2D-79B7-4841-9722-B15E237C809C}"/>
    <cellStyle name="40% - Akzent1 2 2 2 7 2" xfId="4990" xr:uid="{2A1CE327-2016-494D-BC5C-D14A29A62D2C}"/>
    <cellStyle name="40% - Akzent1 2 2 2 7 2 2" xfId="24427" xr:uid="{3EBDFB52-EC88-4AD0-9B9C-5E4C76F043A5}"/>
    <cellStyle name="40% - Akzent1 2 2 2 7 3" xfId="24426" xr:uid="{4BF3CA87-CD5A-42AC-B3C9-840D42A37B83}"/>
    <cellStyle name="40% - Akzent1 2 2 2 8" xfId="4991" xr:uid="{71928BC9-37E3-4A38-B2B8-457929EAA6B2}"/>
    <cellStyle name="40% - Akzent1 2 2 2 8 2" xfId="4992" xr:uid="{F6CFF826-29CA-4FD7-94A2-557881DC7D46}"/>
    <cellStyle name="40% - Akzent1 2 2 2 8 2 2" xfId="24429" xr:uid="{CD9D9C5D-95C3-427B-A530-CF4987EC52C5}"/>
    <cellStyle name="40% - Akzent1 2 2 2 8 3" xfId="24428" xr:uid="{6E007F9F-45C6-43D6-A572-A284E4B7E1A1}"/>
    <cellStyle name="40% - Akzent1 2 2 2 9" xfId="4993" xr:uid="{BDFCF34B-761C-44E0-B0C8-AB1D26101490}"/>
    <cellStyle name="40% - Akzent1 2 2 2 9 2" xfId="4994" xr:uid="{DB0FE4C6-77B6-4BF9-B2B0-DE38681FEBF4}"/>
    <cellStyle name="40% - Akzent1 2 2 2 9 2 2" xfId="24431" xr:uid="{24D80CF4-B190-47CE-9012-764A5BFF25DC}"/>
    <cellStyle name="40% - Akzent1 2 2 2 9 3" xfId="24430" xr:uid="{A2A7DBA7-48C0-442B-8DAF-3C562549F5BE}"/>
    <cellStyle name="40% - Akzent1 2 2 20" xfId="4995" xr:uid="{59225C26-FB78-49CB-BE34-BD787C76C6B4}"/>
    <cellStyle name="40% - Akzent1 2 2 20 2" xfId="4996" xr:uid="{FF1AA01B-BAA1-45DC-9E31-48844B979F4E}"/>
    <cellStyle name="40% - Akzent1 2 2 20 2 2" xfId="24433" xr:uid="{96189FBA-E2EC-4422-BB3D-0D23435A863E}"/>
    <cellStyle name="40% - Akzent1 2 2 20 3" xfId="24432" xr:uid="{4F387A13-291E-4FE5-AECE-8A36DB922EDE}"/>
    <cellStyle name="40% - Akzent1 2 2 21" xfId="4997" xr:uid="{E345B425-362B-425F-9967-6DFF0C2D085D}"/>
    <cellStyle name="40% - Akzent1 2 2 21 2" xfId="4998" xr:uid="{7387DF79-815F-46C6-9538-5519EBCD9EE6}"/>
    <cellStyle name="40% - Akzent1 2 2 21 2 2" xfId="24435" xr:uid="{BB374D4E-9C55-4231-A75C-169C245E3740}"/>
    <cellStyle name="40% - Akzent1 2 2 21 3" xfId="24434" xr:uid="{15B98227-EB15-4155-AC96-8300DD77B104}"/>
    <cellStyle name="40% - Akzent1 2 2 22" xfId="4999" xr:uid="{B5BAE77C-E511-49C8-B452-44D52AF82544}"/>
    <cellStyle name="40% - Akzent1 2 2 22 2" xfId="24436" xr:uid="{9FF9412F-E317-439C-B028-74F5FED290C1}"/>
    <cellStyle name="40% - Akzent1 2 2 23" xfId="24369" xr:uid="{5FD286B9-73A5-489E-BBE9-FBA8CCEBB4D7}"/>
    <cellStyle name="40% - Akzent1 2 2 24" xfId="39305" xr:uid="{49ED8604-42FF-42D3-B63E-8AD48DB1132A}"/>
    <cellStyle name="40% - Akzent1 2 2 3" xfId="5000" xr:uid="{BFA9E878-7B27-4BF3-A7A3-C5D11D725FEE}"/>
    <cellStyle name="40% - Akzent1 2 2 3 2" xfId="5001" xr:uid="{EB61FB5C-CB57-4611-83E4-1B6A88389D7B}"/>
    <cellStyle name="40% - Akzent1 2 2 3 2 2" xfId="24438" xr:uid="{36071494-A91E-4CA5-96F9-CDB36F7C516D}"/>
    <cellStyle name="40% - Akzent1 2 2 3 3" xfId="24437" xr:uid="{13BE5344-3B0D-431D-827B-A16F4498DA42}"/>
    <cellStyle name="40% - Akzent1 2 2 3 4" xfId="40455" xr:uid="{ABA22CFB-A5F0-4374-8596-262C7D62B950}"/>
    <cellStyle name="40% - Akzent1 2 2 4" xfId="5002" xr:uid="{51B4AE63-DA79-425D-9143-7F5AC4945ADC}"/>
    <cellStyle name="40% - Akzent1 2 2 4 2" xfId="5003" xr:uid="{BD354417-0518-49C5-9C2B-0843BC0E6107}"/>
    <cellStyle name="40% - Akzent1 2 2 4 2 2" xfId="24440" xr:uid="{B0D9FF7B-8F15-40DC-8936-7ECC68DA55F0}"/>
    <cellStyle name="40% - Akzent1 2 2 4 3" xfId="24439" xr:uid="{4FBB8AB3-5AF5-48ED-88AF-B95CCF133967}"/>
    <cellStyle name="40% - Akzent1 2 2 4 4" xfId="41315" xr:uid="{CC54B6E7-34E3-4EAC-A738-E0278334F87B}"/>
    <cellStyle name="40% - Akzent1 2 2 5" xfId="5004" xr:uid="{747B8797-91F5-4E4A-867F-8E7215BBEE7A}"/>
    <cellStyle name="40% - Akzent1 2 2 5 2" xfId="5005" xr:uid="{E2C1AC6B-0748-4CD8-A56A-C9996C8B6CC1}"/>
    <cellStyle name="40% - Akzent1 2 2 5 2 2" xfId="24442" xr:uid="{2F639E8B-2499-4E65-95EA-0AF746E805CD}"/>
    <cellStyle name="40% - Akzent1 2 2 5 3" xfId="5006" xr:uid="{77716982-7BFC-4181-ABEA-4D34DA606765}"/>
    <cellStyle name="40% - Akzent1 2 2 5 3 2" xfId="24443" xr:uid="{E73F173D-C45D-496E-87FA-B68EEC2564E4}"/>
    <cellStyle name="40% - Akzent1 2 2 5 4" xfId="24441" xr:uid="{3FDEC028-E51F-4264-B8F3-53485B898897}"/>
    <cellStyle name="40% - Akzent1 2 2 6" xfId="5007" xr:uid="{68A1D5F3-0D7F-4E12-81D7-473D2337FD9A}"/>
    <cellStyle name="40% - Akzent1 2 2 6 2" xfId="24444" xr:uid="{13437255-6767-42BB-82CD-EC9AB7907753}"/>
    <cellStyle name="40% - Akzent1 2 2 7" xfId="5008" xr:uid="{1124C9C2-E5C6-4144-B36D-C310091440DB}"/>
    <cellStyle name="40% - Akzent1 2 2 7 2" xfId="5009" xr:uid="{4CC0D2DE-4D7C-4F13-8EBB-D2D59AABD61A}"/>
    <cellStyle name="40% - Akzent1 2 2 7 2 2" xfId="24446" xr:uid="{A7DE0BE9-7FC1-4A4B-B16B-6471345B9862}"/>
    <cellStyle name="40% - Akzent1 2 2 7 3" xfId="5010" xr:uid="{66E41930-C612-41A7-94A0-F6ABE9C3BF29}"/>
    <cellStyle name="40% - Akzent1 2 2 7 3 2" xfId="24447" xr:uid="{7DB3571F-F96E-4ABC-B5F4-96A2BF302A5D}"/>
    <cellStyle name="40% - Akzent1 2 2 7 4" xfId="24445" xr:uid="{F7372657-CBC6-4BEA-9121-A14707FC478E}"/>
    <cellStyle name="40% - Akzent1 2 2 8" xfId="5011" xr:uid="{3FC1B5F4-96B5-487B-ABAE-B8BE6DADBC51}"/>
    <cellStyle name="40% - Akzent1 2 2 8 2" xfId="24448" xr:uid="{03BD56EC-489C-4177-A5F0-FE881680852B}"/>
    <cellStyle name="40% - Akzent1 2 2 9" xfId="5012" xr:uid="{1A0B8119-3887-44B7-AB3B-FB2C1F5D797A}"/>
    <cellStyle name="40% - Akzent1 2 2 9 2" xfId="24449" xr:uid="{8B8EC0D4-0471-4736-8DCC-BC8276DBE10E}"/>
    <cellStyle name="40% - Akzent1 2 20" xfId="5013" xr:uid="{75257001-933D-46D8-A1CA-09A5524E46C1}"/>
    <cellStyle name="40% - Akzent1 2 20 2" xfId="5014" xr:uid="{1339D82A-09D7-49C9-9F42-F905229BA9EE}"/>
    <cellStyle name="40% - Akzent1 2 20 2 2" xfId="24451" xr:uid="{29CD9F37-6124-4CB5-AC50-82BF24869287}"/>
    <cellStyle name="40% - Akzent1 2 20 3" xfId="24450" xr:uid="{6DFB84F2-A760-424D-9428-506C27BF21C0}"/>
    <cellStyle name="40% - Akzent1 2 21" xfId="5015" xr:uid="{D9EDBDC7-1F2B-4754-85A1-8DF1C7F622B1}"/>
    <cellStyle name="40% - Akzent1 2 21 2" xfId="5016" xr:uid="{24915F0F-B1DA-4ADB-8A5D-86BE106901D0}"/>
    <cellStyle name="40% - Akzent1 2 21 2 2" xfId="24453" xr:uid="{9A1F7AF9-66FA-4232-8E0D-A37D0ECE9425}"/>
    <cellStyle name="40% - Akzent1 2 21 3" xfId="24452" xr:uid="{7261032A-CBF3-4401-BC3C-917DB4E7E3F7}"/>
    <cellStyle name="40% - Akzent1 2 22" xfId="5017" xr:uid="{96967DAA-5625-4EE3-B93E-E4DF10F68052}"/>
    <cellStyle name="40% - Akzent1 2 22 2" xfId="5018" xr:uid="{E6EA2499-1E94-411D-A1D9-077B00642070}"/>
    <cellStyle name="40% - Akzent1 2 22 2 2" xfId="24455" xr:uid="{FFAE2DBE-612E-4025-8794-08609DC87F07}"/>
    <cellStyle name="40% - Akzent1 2 22 3" xfId="24454" xr:uid="{2EED846C-E9CE-4B58-9C24-A7F8CF48C4BA}"/>
    <cellStyle name="40% - Akzent1 2 23" xfId="5019" xr:uid="{AAF179F3-1E7F-41E3-8085-3E93679B4BD6}"/>
    <cellStyle name="40% - Akzent1 2 23 2" xfId="5020" xr:uid="{20202CE7-FF05-41B8-B9A7-43861427E595}"/>
    <cellStyle name="40% - Akzent1 2 23 2 2" xfId="24457" xr:uid="{7EA8E757-6AA7-416C-96A6-D44AD0CB6348}"/>
    <cellStyle name="40% - Akzent1 2 23 3" xfId="24456" xr:uid="{8B39FF7E-EEC7-4EFE-90FE-CBB7AF9E3D04}"/>
    <cellStyle name="40% - Akzent1 2 24" xfId="5021" xr:uid="{183FD5F3-9B99-430A-9739-992B51F1F495}"/>
    <cellStyle name="40% - Akzent1 2 24 2" xfId="24458" xr:uid="{2EDEC6F7-6101-44AE-9B20-5A1078579532}"/>
    <cellStyle name="40% - Akzent1 2 25" xfId="24348" xr:uid="{720C37AA-484F-42AE-8491-D7852ABE08F2}"/>
    <cellStyle name="40% - Akzent1 2 26" xfId="39304" xr:uid="{742797F0-EAA6-47BC-9C56-1187E7E2B30A}"/>
    <cellStyle name="40% - Akzent1 2 27" xfId="4911" xr:uid="{AA7AABE1-D49A-4913-9042-1C7E03F0B01F}"/>
    <cellStyle name="40% - Akzent1 2 3" xfId="5022" xr:uid="{7DA00669-1399-435F-9DB2-6B17368361D4}"/>
    <cellStyle name="40% - Akzent1 2 3 10" xfId="5023" xr:uid="{284BCA4E-EAE2-4068-AA99-6AB83A0D0C3F}"/>
    <cellStyle name="40% - Akzent1 2 3 10 2" xfId="5024" xr:uid="{663ABC92-73CC-4006-9A16-9AD5F7E503ED}"/>
    <cellStyle name="40% - Akzent1 2 3 10 2 2" xfId="24461" xr:uid="{9C7C86F7-E7EC-4026-9AE1-0FAF61E393DD}"/>
    <cellStyle name="40% - Akzent1 2 3 10 3" xfId="24460" xr:uid="{FA87FD46-020B-4DD0-9781-778EA750A8E7}"/>
    <cellStyle name="40% - Akzent1 2 3 11" xfId="5025" xr:uid="{7B4B1F95-C171-4D01-9C5A-C4F674989E42}"/>
    <cellStyle name="40% - Akzent1 2 3 11 2" xfId="5026" xr:uid="{81341032-BFE7-4A1A-8389-338B539D6A2A}"/>
    <cellStyle name="40% - Akzent1 2 3 11 2 2" xfId="24463" xr:uid="{BD5EC718-C36B-400A-9859-BA1EC425F598}"/>
    <cellStyle name="40% - Akzent1 2 3 11 3" xfId="24462" xr:uid="{78698F17-4118-4573-837E-E1FF7CD4C58C}"/>
    <cellStyle name="40% - Akzent1 2 3 12" xfId="5027" xr:uid="{0E8177BA-B41C-4B17-92E4-D56308982295}"/>
    <cellStyle name="40% - Akzent1 2 3 12 2" xfId="5028" xr:uid="{6BC5CFD0-66C5-491C-8C5D-C9C2DEA29C0C}"/>
    <cellStyle name="40% - Akzent1 2 3 12 2 2" xfId="24465" xr:uid="{8D361562-240D-4AB0-8F1E-23FEB404F893}"/>
    <cellStyle name="40% - Akzent1 2 3 12 3" xfId="24464" xr:uid="{C54A2D2E-BBD6-4ADD-B3C2-E36D0CDAB8F3}"/>
    <cellStyle name="40% - Akzent1 2 3 13" xfId="5029" xr:uid="{053794A6-4194-42BD-8F0E-5717B054754D}"/>
    <cellStyle name="40% - Akzent1 2 3 13 2" xfId="5030" xr:uid="{32D341B1-04B4-4C71-87EF-92F274F4E6C8}"/>
    <cellStyle name="40% - Akzent1 2 3 13 2 2" xfId="24467" xr:uid="{72E8B59C-5E14-48FA-82AD-77F2D0E2FED7}"/>
    <cellStyle name="40% - Akzent1 2 3 13 3" xfId="24466" xr:uid="{43FA62E5-D608-4DD5-B986-E36C1FC9A069}"/>
    <cellStyle name="40% - Akzent1 2 3 14" xfId="5031" xr:uid="{816221DB-3D43-415F-A25E-28B4F77D9843}"/>
    <cellStyle name="40% - Akzent1 2 3 14 2" xfId="5032" xr:uid="{E39AB53A-1A72-4E40-821E-45D86534E1B4}"/>
    <cellStyle name="40% - Akzent1 2 3 14 2 2" xfId="24469" xr:uid="{BB3FAA84-8C65-4A82-AF2C-C59C6501897C}"/>
    <cellStyle name="40% - Akzent1 2 3 14 3" xfId="24468" xr:uid="{FB145C13-D102-4D1B-B61B-8CC3E0E073A4}"/>
    <cellStyle name="40% - Akzent1 2 3 15" xfId="5033" xr:uid="{18B10015-14FE-4BC2-9081-5B8B813343B9}"/>
    <cellStyle name="40% - Akzent1 2 3 15 2" xfId="5034" xr:uid="{BA5DB318-A2FE-45FA-8D97-EB1B59611B2B}"/>
    <cellStyle name="40% - Akzent1 2 3 15 2 2" xfId="24471" xr:uid="{C995CF12-9875-4526-BBF9-6BA0AA5B0F41}"/>
    <cellStyle name="40% - Akzent1 2 3 15 3" xfId="24470" xr:uid="{8912C863-6456-4378-9E1D-EB9F41782095}"/>
    <cellStyle name="40% - Akzent1 2 3 16" xfId="5035" xr:uid="{9A4F461D-5BE2-42A1-A70D-808413C972C3}"/>
    <cellStyle name="40% - Akzent1 2 3 16 2" xfId="5036" xr:uid="{16B928C5-7998-4590-9A1F-AF6347553690}"/>
    <cellStyle name="40% - Akzent1 2 3 16 2 2" xfId="24473" xr:uid="{A697E954-E74C-4267-84E8-8F7D226E248A}"/>
    <cellStyle name="40% - Akzent1 2 3 16 3" xfId="24472" xr:uid="{8964A80B-208B-41A2-A160-87CC3A5ADAA4}"/>
    <cellStyle name="40% - Akzent1 2 3 17" xfId="5037" xr:uid="{203D9F5C-59DF-4793-9217-CAA06810AB90}"/>
    <cellStyle name="40% - Akzent1 2 3 17 2" xfId="5038" xr:uid="{4D40CBFC-FB36-4DA6-8144-3BA91A68DB78}"/>
    <cellStyle name="40% - Akzent1 2 3 17 2 2" xfId="24475" xr:uid="{CD0E01F1-3B33-4C9F-840C-3FA6D9394AF9}"/>
    <cellStyle name="40% - Akzent1 2 3 17 3" xfId="24474" xr:uid="{3B31C9AF-3B80-4732-AED9-841B7F000ED8}"/>
    <cellStyle name="40% - Akzent1 2 3 18" xfId="5039" xr:uid="{3E43C405-8B2B-47F6-A449-77D1D7B9BFDA}"/>
    <cellStyle name="40% - Akzent1 2 3 18 2" xfId="5040" xr:uid="{27C21B46-1CA8-4F24-965E-196646F04883}"/>
    <cellStyle name="40% - Akzent1 2 3 18 2 2" xfId="24477" xr:uid="{898A2C18-ED7C-4481-BD3B-27B7DDCD6784}"/>
    <cellStyle name="40% - Akzent1 2 3 18 3" xfId="24476" xr:uid="{2043D9DB-694C-4F1E-BC35-1DF2CB3ABFC4}"/>
    <cellStyle name="40% - Akzent1 2 3 19" xfId="5041" xr:uid="{16705CDE-EBBD-4CD9-A95E-E26D637A2A50}"/>
    <cellStyle name="40% - Akzent1 2 3 19 2" xfId="5042" xr:uid="{73749B15-31E2-4564-B1EB-353B3DFF36BD}"/>
    <cellStyle name="40% - Akzent1 2 3 19 2 2" xfId="24479" xr:uid="{8C32896D-CB64-4E40-A9E7-BE803A4CB97B}"/>
    <cellStyle name="40% - Akzent1 2 3 19 3" xfId="24478" xr:uid="{B3C67116-554B-434C-AA37-D5889915FC49}"/>
    <cellStyle name="40% - Akzent1 2 3 2" xfId="5043" xr:uid="{32068A36-331C-4CF2-8728-F2D0964B60C7}"/>
    <cellStyle name="40% - Akzent1 2 3 2 2" xfId="5044" xr:uid="{2854C660-9D9A-424E-BA5D-289A6D12215A}"/>
    <cellStyle name="40% - Akzent1 2 3 2 2 2" xfId="24481" xr:uid="{30D49BC4-3B7C-43DB-B42E-EF8A13C38960}"/>
    <cellStyle name="40% - Akzent1 2 3 2 3" xfId="24480" xr:uid="{FC263595-ECB8-49A1-BAD8-84F2B39830D4}"/>
    <cellStyle name="40% - Akzent1 2 3 2 4" xfId="40882" xr:uid="{6B9C0266-0F95-4CD9-B1F1-7195225F86D4}"/>
    <cellStyle name="40% - Akzent1 2 3 20" xfId="5045" xr:uid="{B486611A-86FC-4A1D-8129-3370F795CF4E}"/>
    <cellStyle name="40% - Akzent1 2 3 20 2" xfId="5046" xr:uid="{3477873C-D3B4-4181-87C1-97C434DA5D89}"/>
    <cellStyle name="40% - Akzent1 2 3 20 2 2" xfId="24483" xr:uid="{D31861BB-0762-4B1E-8650-EAD735399B03}"/>
    <cellStyle name="40% - Akzent1 2 3 20 3" xfId="24482" xr:uid="{0ACD732D-25C9-4E04-BFD5-73B22A748801}"/>
    <cellStyle name="40% - Akzent1 2 3 21" xfId="5047" xr:uid="{EE8E973E-D3E5-4146-8D1B-A21559CAAE53}"/>
    <cellStyle name="40% - Akzent1 2 3 21 2" xfId="5048" xr:uid="{7148236F-03D9-43E7-BA22-B73447748E7A}"/>
    <cellStyle name="40% - Akzent1 2 3 21 2 2" xfId="24485" xr:uid="{DE8CFEB3-477C-4B1E-AF91-A2C300CB77AF}"/>
    <cellStyle name="40% - Akzent1 2 3 21 3" xfId="24484" xr:uid="{825D32A7-B2BB-4B25-9D3F-44F1E4B0104E}"/>
    <cellStyle name="40% - Akzent1 2 3 22" xfId="5049" xr:uid="{C3D37C7D-CF68-4EFC-B37E-2AE7F994E465}"/>
    <cellStyle name="40% - Akzent1 2 3 22 2" xfId="24486" xr:uid="{AFCD337F-1A3F-4AD4-B897-6A37F06A8C1C}"/>
    <cellStyle name="40% - Akzent1 2 3 23" xfId="24459" xr:uid="{F345CA02-F84F-4FCE-8C48-020DBB7BAFCB}"/>
    <cellStyle name="40% - Akzent1 2 3 24" xfId="39936" xr:uid="{3B19733E-EB63-440D-B86C-C73DD2CFDB6C}"/>
    <cellStyle name="40% - Akzent1 2 3 3" xfId="5050" xr:uid="{CAC7E77F-75CD-4549-85ED-30CB16C486F5}"/>
    <cellStyle name="40% - Akzent1 2 3 3 2" xfId="5051" xr:uid="{2CC4D558-2FC3-47EB-88B5-DCFA64D4744D}"/>
    <cellStyle name="40% - Akzent1 2 3 3 2 2" xfId="24488" xr:uid="{55CD0AD2-9232-46A1-B626-8AB93CE85684}"/>
    <cellStyle name="40% - Akzent1 2 3 3 3" xfId="24487" xr:uid="{845CDF28-856C-4121-8571-1DD50F0A7525}"/>
    <cellStyle name="40% - Akzent1 2 3 3 4" xfId="41742" xr:uid="{DF580770-736F-4BC6-89F6-51CEBD024139}"/>
    <cellStyle name="40% - Akzent1 2 3 4" xfId="5052" xr:uid="{F2D9D6DE-15F5-4DA1-9E01-635FA934B7F7}"/>
    <cellStyle name="40% - Akzent1 2 3 4 2" xfId="5053" xr:uid="{5B5068D9-BDE8-4FAD-B9EF-522A7F560481}"/>
    <cellStyle name="40% - Akzent1 2 3 4 2 2" xfId="24490" xr:uid="{F2DB5C91-5AFB-4515-9A8E-0DAB282A1B4D}"/>
    <cellStyle name="40% - Akzent1 2 3 4 3" xfId="24489" xr:uid="{8F42454B-49A2-40B5-83AD-FF54942C7F41}"/>
    <cellStyle name="40% - Akzent1 2 3 5" xfId="5054" xr:uid="{587B2E44-EC7F-486B-A9C2-B51FAFD0B340}"/>
    <cellStyle name="40% - Akzent1 2 3 5 2" xfId="5055" xr:uid="{DCA63104-AF9F-43AE-95CB-0D6E384261A0}"/>
    <cellStyle name="40% - Akzent1 2 3 5 2 2" xfId="24492" xr:uid="{C9804E5D-48C0-4179-A546-F6B0E8CE6322}"/>
    <cellStyle name="40% - Akzent1 2 3 5 3" xfId="24491" xr:uid="{952C59D0-44A1-4B69-9621-FC05EBAA7325}"/>
    <cellStyle name="40% - Akzent1 2 3 6" xfId="5056" xr:uid="{92F17391-855D-4678-ADBE-ED4C00928407}"/>
    <cellStyle name="40% - Akzent1 2 3 6 2" xfId="5057" xr:uid="{962EE2D1-3A58-49A2-8385-29C61F43F85C}"/>
    <cellStyle name="40% - Akzent1 2 3 6 2 2" xfId="24494" xr:uid="{41A84487-8976-419C-8909-D52F23F8E8BC}"/>
    <cellStyle name="40% - Akzent1 2 3 6 3" xfId="24493" xr:uid="{A4C22F4C-B343-4BE2-87F2-3C2E4A8E5948}"/>
    <cellStyle name="40% - Akzent1 2 3 7" xfId="5058" xr:uid="{1EA24241-6433-4D51-B6A2-66065FC8ECFF}"/>
    <cellStyle name="40% - Akzent1 2 3 7 2" xfId="5059" xr:uid="{816D1E1C-5C3E-40B6-981F-15696A222BC1}"/>
    <cellStyle name="40% - Akzent1 2 3 7 2 2" xfId="24496" xr:uid="{6213BEDA-A1EE-469C-A2DC-264C0B8D6DC3}"/>
    <cellStyle name="40% - Akzent1 2 3 7 3" xfId="24495" xr:uid="{A81FF19F-A185-47EB-9DB0-2823B7C378BE}"/>
    <cellStyle name="40% - Akzent1 2 3 8" xfId="5060" xr:uid="{6AD1F205-6051-4B31-93DC-FDB2F80C14D2}"/>
    <cellStyle name="40% - Akzent1 2 3 8 2" xfId="5061" xr:uid="{ED9B1B79-9872-4D6E-9C4C-CE576EBA3D64}"/>
    <cellStyle name="40% - Akzent1 2 3 8 2 2" xfId="24498" xr:uid="{A1EC8A17-7F4F-4CFC-8D7B-DEC194797F3A}"/>
    <cellStyle name="40% - Akzent1 2 3 8 3" xfId="24497" xr:uid="{49EC4E0D-DC10-4E36-B871-ECCDAD8A24A0}"/>
    <cellStyle name="40% - Akzent1 2 3 9" xfId="5062" xr:uid="{36E0B9B6-137B-4E6A-BE9E-38DE828FE12F}"/>
    <cellStyle name="40% - Akzent1 2 3 9 2" xfId="5063" xr:uid="{E557B899-462A-42CC-9A68-51C695186A89}"/>
    <cellStyle name="40% - Akzent1 2 3 9 2 2" xfId="24500" xr:uid="{3CB8EEF2-FD00-4E9C-8454-4849E42285F4}"/>
    <cellStyle name="40% - Akzent1 2 3 9 3" xfId="24499" xr:uid="{A0877E47-328F-44CA-B793-0FADF37268C7}"/>
    <cellStyle name="40% - Akzent1 2 4" xfId="5064" xr:uid="{A58E2D32-0754-433C-86A1-8D6AA2115355}"/>
    <cellStyle name="40% - Akzent1 2 4 2" xfId="5065" xr:uid="{2630E67F-59AD-426E-A033-F07B8CA10911}"/>
    <cellStyle name="40% - Akzent1 2 4 2 2" xfId="5066" xr:uid="{2BCFF861-81A4-4857-83BC-96BD3F52AB0B}"/>
    <cellStyle name="40% - Akzent1 2 4 2 2 2" xfId="24503" xr:uid="{707B409B-28E6-431F-8BEC-C17B62BBFC73}"/>
    <cellStyle name="40% - Akzent1 2 4 2 3" xfId="5067" xr:uid="{A8F85E47-041C-4C01-ABCF-84B2350AE0EE}"/>
    <cellStyle name="40% - Akzent1 2 4 2 3 2" xfId="24504" xr:uid="{387FAB22-BFD0-48C6-88F3-FB9A4A2D4A63}"/>
    <cellStyle name="40% - Akzent1 2 4 2 4" xfId="24502" xr:uid="{1B94C343-05EC-4B88-BD1B-01FEC8F73656}"/>
    <cellStyle name="40% - Akzent1 2 4 3" xfId="5068" xr:uid="{E9E4E460-C921-457C-BDA8-04B91A594E81}"/>
    <cellStyle name="40% - Akzent1 2 4 3 2" xfId="24505" xr:uid="{F3A66095-BDD0-476A-96F4-F94207508D67}"/>
    <cellStyle name="40% - Akzent1 2 4 4" xfId="5069" xr:uid="{5500DAFB-F0C9-40CD-9337-69215145A456}"/>
    <cellStyle name="40% - Akzent1 2 4 4 2" xfId="24506" xr:uid="{FC5B4302-A512-4C7D-8A13-BA49DDC4C0DF}"/>
    <cellStyle name="40% - Akzent1 2 4 5" xfId="24501" xr:uid="{CB8744A8-D54B-4FBC-9685-9809A1EEADED}"/>
    <cellStyle name="40% - Akzent1 2 4 6" xfId="40454" xr:uid="{251DDFE8-3888-4EDF-8FD0-10BE9AC00C2D}"/>
    <cellStyle name="40% - Akzent1 2 5" xfId="5070" xr:uid="{EAE3E41C-1198-4E3C-A73A-F400A6CC87A9}"/>
    <cellStyle name="40% - Akzent1 2 5 2" xfId="24507" xr:uid="{D02FFC66-D4AC-4BF0-8B45-043F2838B894}"/>
    <cellStyle name="40% - Akzent1 2 5 3" xfId="41314" xr:uid="{03C7E27D-E3DD-4F0C-8B26-BDFA8B9F2B71}"/>
    <cellStyle name="40% - Akzent1 2 6" xfId="5071" xr:uid="{18DDAC45-251D-440D-9389-81B3CE3A3F00}"/>
    <cellStyle name="40% - Akzent1 2 6 2" xfId="5072" xr:uid="{4F09C1AB-0A12-46CA-A5FA-48F36C7D1840}"/>
    <cellStyle name="40% - Akzent1 2 6 2 2" xfId="5073" xr:uid="{7BBCAE84-D864-4195-8552-BBEB129BCA3A}"/>
    <cellStyle name="40% - Akzent1 2 6 2 2 2" xfId="24510" xr:uid="{2979B425-AD1D-4D1D-8A54-38AB3FB5542A}"/>
    <cellStyle name="40% - Akzent1 2 6 2 3" xfId="24509" xr:uid="{AA76E056-79AF-418F-8EDE-5215F8E6D13B}"/>
    <cellStyle name="40% - Akzent1 2 6 3" xfId="24508" xr:uid="{769FDC74-8FC2-4EF8-A320-B49ECB9D8186}"/>
    <cellStyle name="40% - Akzent1 2 7" xfId="5074" xr:uid="{8493E06A-8A87-48AE-86C0-1C335CD8AED2}"/>
    <cellStyle name="40% - Akzent1 2 7 2" xfId="5075" xr:uid="{4A6A70AE-73CC-4B76-AC0F-E2D982F1683F}"/>
    <cellStyle name="40% - Akzent1 2 7 2 2" xfId="24512" xr:uid="{BA81CF37-6686-4A7F-B6F3-94757B87AF51}"/>
    <cellStyle name="40% - Akzent1 2 7 3" xfId="24511" xr:uid="{2C8DF50F-CE45-4A1F-9885-4656F19ED9C5}"/>
    <cellStyle name="40% - Akzent1 2 8" xfId="5076" xr:uid="{3FF940E4-AE05-479B-9938-D633ADFB3C0C}"/>
    <cellStyle name="40% - Akzent1 2 8 2" xfId="5077" xr:uid="{BC6C5E7E-6049-4243-B921-9AF4C3520CF3}"/>
    <cellStyle name="40% - Akzent1 2 8 2 2" xfId="5078" xr:uid="{DD3127B9-BAB9-42EC-BEF9-0311FDE16407}"/>
    <cellStyle name="40% - Akzent1 2 8 2 2 2" xfId="24515" xr:uid="{1E9BFF1E-2691-4DCB-90F2-8F4426947670}"/>
    <cellStyle name="40% - Akzent1 2 8 2 3" xfId="24514" xr:uid="{C83A3713-499A-488C-B7BF-9FF68B119E90}"/>
    <cellStyle name="40% - Akzent1 2 8 3" xfId="24513" xr:uid="{9C833256-6040-4CF1-BC95-8695BEAB0A0E}"/>
    <cellStyle name="40% - Akzent1 2 9" xfId="5079" xr:uid="{2F99C703-A108-4BE0-BFC6-964682E4FB0F}"/>
    <cellStyle name="40% - Akzent1 2 9 2" xfId="5080" xr:uid="{334884CE-FE56-4C91-9E8B-370E9E94DFD4}"/>
    <cellStyle name="40% - Akzent1 2 9 2 2" xfId="24517" xr:uid="{D97BB6E9-2AF2-4C4B-9F7A-658BB6690381}"/>
    <cellStyle name="40% - Akzent1 2 9 3" xfId="24516" xr:uid="{BC2E7B53-D3C2-4098-B75B-4574A15271E6}"/>
    <cellStyle name="40% - Akzent1 20" xfId="5081" xr:uid="{21CB6E6E-FD78-4344-86A4-A9854A168081}"/>
    <cellStyle name="40% - Akzent1 20 2" xfId="5082" xr:uid="{32E3FF2F-213E-4DFE-96DC-3C602C37EFB3}"/>
    <cellStyle name="40% - Akzent1 20 2 2" xfId="24519" xr:uid="{7B6D16E4-4FC7-4A43-AA83-50451FB54E23}"/>
    <cellStyle name="40% - Akzent1 20 3" xfId="5083" xr:uid="{130A0EE1-5C61-4758-A058-842E9016711D}"/>
    <cellStyle name="40% - Akzent1 20 3 2" xfId="24520" xr:uid="{19A7C637-A418-46B3-A32F-FCB1E37A9778}"/>
    <cellStyle name="40% - Akzent1 20 4" xfId="24518" xr:uid="{81206A18-DF9D-4A8B-8E25-8D6CA88808A4}"/>
    <cellStyle name="40% - Akzent1 21" xfId="5084" xr:uid="{3F990177-59B7-4CA4-A505-D0265B54B4BD}"/>
    <cellStyle name="40% - Akzent1 21 2" xfId="5085" xr:uid="{D82A0A83-2191-4C64-8AB9-4FD1842DE872}"/>
    <cellStyle name="40% - Akzent1 21 2 2" xfId="24522" xr:uid="{AE7F2BB5-7821-4F60-8283-A72FA3F91A78}"/>
    <cellStyle name="40% - Akzent1 21 3" xfId="5086" xr:uid="{79429A2E-F175-4499-946B-B05D929780BE}"/>
    <cellStyle name="40% - Akzent1 21 3 2" xfId="24523" xr:uid="{EE504A8E-F1AE-46B0-B088-4A5BC90F94E7}"/>
    <cellStyle name="40% - Akzent1 21 4" xfId="24521" xr:uid="{F7BEA68C-B737-43BE-A66B-3C881AA0E777}"/>
    <cellStyle name="40% - Akzent1 22" xfId="5087" xr:uid="{7CC3361A-371C-46C6-89C9-F95DF5E23E50}"/>
    <cellStyle name="40% - Akzent1 22 2" xfId="5088" xr:uid="{83B62335-1D45-490B-8B91-1DA8E6B15582}"/>
    <cellStyle name="40% - Akzent1 22 2 2" xfId="24525" xr:uid="{8C0FB765-D8F0-479D-BFCE-D097A8DB1E5A}"/>
    <cellStyle name="40% - Akzent1 22 3" xfId="5089" xr:uid="{ACD99237-E781-431B-994C-646E0A5D4CFB}"/>
    <cellStyle name="40% - Akzent1 22 3 2" xfId="24526" xr:uid="{B6CC8DFA-0FE8-4EEE-8E5D-C8AC468C37DA}"/>
    <cellStyle name="40% - Akzent1 22 4" xfId="24524" xr:uid="{364C3304-DB9F-44B3-A1A4-074C4D80A6E1}"/>
    <cellStyle name="40% - Akzent1 23" xfId="5090" xr:uid="{DAB7A5A8-10D1-40F0-980F-F4A6D4880708}"/>
    <cellStyle name="40% - Akzent1 23 2" xfId="5091" xr:uid="{368D2EDF-B10C-4C7B-97B5-AD2FDA14956B}"/>
    <cellStyle name="40% - Akzent1 23 2 2" xfId="24528" xr:uid="{8B77C1DA-6558-433F-911D-88997090E98F}"/>
    <cellStyle name="40% - Akzent1 23 3" xfId="5092" xr:uid="{72EDD180-90B3-4F7E-8B0C-AC6A811E375F}"/>
    <cellStyle name="40% - Akzent1 23 3 2" xfId="24529" xr:uid="{CE5DA41E-6C2E-4FB6-9519-6607A0059E33}"/>
    <cellStyle name="40% - Akzent1 23 4" xfId="24527" xr:uid="{8FE729C7-49A4-4DA7-92AC-1767593CA888}"/>
    <cellStyle name="40% - Akzent1 24" xfId="5093" xr:uid="{A1EBEC83-0469-4EA1-9C96-6BC7666B7738}"/>
    <cellStyle name="40% - Akzent1 24 2" xfId="5094" xr:uid="{0428FD3C-D030-4AB4-A756-350A5253A785}"/>
    <cellStyle name="40% - Akzent1 24 2 2" xfId="24531" xr:uid="{D2EE0F8E-F538-4549-A396-4D5F660018B2}"/>
    <cellStyle name="40% - Akzent1 24 3" xfId="5095" xr:uid="{E62FB6CD-C9DB-4487-B5D5-6F26F3B7F43A}"/>
    <cellStyle name="40% - Akzent1 24 3 2" xfId="24532" xr:uid="{0099BDF6-FA1A-4EDD-838A-9FA19E043A3E}"/>
    <cellStyle name="40% - Akzent1 24 4" xfId="24530" xr:uid="{A7206A4F-F028-4ACB-90FE-1D61DC82B076}"/>
    <cellStyle name="40% - Akzent1 25" xfId="5096" xr:uid="{788D8105-084E-49C2-976F-B4A2ADBB0831}"/>
    <cellStyle name="40% - Akzent1 25 2" xfId="5097" xr:uid="{D8035973-3260-433F-884B-330B765547DB}"/>
    <cellStyle name="40% - Akzent1 25 2 2" xfId="24534" xr:uid="{BAA146B3-B08E-4DE4-9F3B-EA3D19D143DE}"/>
    <cellStyle name="40% - Akzent1 25 3" xfId="5098" xr:uid="{F828BD93-C19E-48AF-9128-4B40B4172FAD}"/>
    <cellStyle name="40% - Akzent1 25 3 2" xfId="24535" xr:uid="{F1B1CC99-6FF8-49AB-B950-60FBB39407AB}"/>
    <cellStyle name="40% - Akzent1 25 4" xfId="24533" xr:uid="{A80FB3C0-EEF7-4593-9D27-C110DD4344D7}"/>
    <cellStyle name="40% - Akzent1 26" xfId="5099" xr:uid="{514840B0-1931-4B72-B56F-E3EACFF6D3B7}"/>
    <cellStyle name="40% - Akzent1 26 2" xfId="5100" xr:uid="{07FD8CEC-8531-4FD0-8024-67886F463985}"/>
    <cellStyle name="40% - Akzent1 26 2 2" xfId="24537" xr:uid="{DBF9DDFD-FFA6-49A8-ABB2-622051B6B594}"/>
    <cellStyle name="40% - Akzent1 26 3" xfId="5101" xr:uid="{07125120-C016-41E3-8513-9B3D7F82E507}"/>
    <cellStyle name="40% - Akzent1 26 3 2" xfId="24538" xr:uid="{9BAE8A4A-EAA7-4FF1-94CE-7D21BB4A5F64}"/>
    <cellStyle name="40% - Akzent1 26 4" xfId="24536" xr:uid="{29DB61C2-14A4-401E-A4EF-D0082080558E}"/>
    <cellStyle name="40% - Akzent1 27" xfId="5102" xr:uid="{828F8F34-7641-4ADC-A58B-CB71136B0CDC}"/>
    <cellStyle name="40% - Akzent1 27 2" xfId="5103" xr:uid="{86D8FD64-6732-4D5F-A976-997E1AEB2FDB}"/>
    <cellStyle name="40% - Akzent1 27 2 2" xfId="24540" xr:uid="{0AF092F2-D659-45B1-9699-50AFDBCB23F2}"/>
    <cellStyle name="40% - Akzent1 27 3" xfId="5104" xr:uid="{AA9A5652-2FCC-4718-8B73-CC4B6B8A4E0D}"/>
    <cellStyle name="40% - Akzent1 27 3 2" xfId="24541" xr:uid="{A35CBF03-6C5B-4D07-9D3A-65EA7BB3B803}"/>
    <cellStyle name="40% - Akzent1 27 4" xfId="24539" xr:uid="{2E56017F-B8BF-4792-8700-963B55C2D94D}"/>
    <cellStyle name="40% - Akzent1 28" xfId="5105" xr:uid="{E03EC5A1-7910-45F1-8D63-B92DA4F8758E}"/>
    <cellStyle name="40% - Akzent1 28 2" xfId="5106" xr:uid="{A13AAB3D-494C-475A-8104-DB1C63802673}"/>
    <cellStyle name="40% - Akzent1 28 2 2" xfId="24543" xr:uid="{482B018D-CF03-4339-BED3-9B1279942469}"/>
    <cellStyle name="40% - Akzent1 28 3" xfId="5107" xr:uid="{83DCED9C-1C26-49C4-9E5D-6D284C42CB3F}"/>
    <cellStyle name="40% - Akzent1 28 3 2" xfId="24544" xr:uid="{6CBD0A69-8BD8-4923-97E5-BD7DA2A55918}"/>
    <cellStyle name="40% - Akzent1 28 4" xfId="24542" xr:uid="{94AEABEF-F510-471E-98A7-E607055041F2}"/>
    <cellStyle name="40% - Akzent1 29" xfId="5108" xr:uid="{27BF751C-4A7B-43DC-8645-D5D2962712AC}"/>
    <cellStyle name="40% - Akzent1 29 2" xfId="5109" xr:uid="{14527018-A919-498C-BAB3-4CC826513C16}"/>
    <cellStyle name="40% - Akzent1 29 2 2" xfId="24546" xr:uid="{E7C4F758-773C-4A04-9D27-A5D174E4468F}"/>
    <cellStyle name="40% - Akzent1 29 3" xfId="5110" xr:uid="{744B3330-2621-4034-ABE6-F86B6A3BB3D8}"/>
    <cellStyle name="40% - Akzent1 29 3 2" xfId="24547" xr:uid="{FEC3CA90-8A65-4139-A971-4AECEA1A6FC2}"/>
    <cellStyle name="40% - Akzent1 29 4" xfId="24545" xr:uid="{7053ED4B-2EF4-4883-BA3C-83FD4ABD5624}"/>
    <cellStyle name="40% - Akzent1 3" xfId="114" xr:uid="{751A21C4-06F7-44AA-B9EF-91466D5CD4AC}"/>
    <cellStyle name="40% - Akzent1 3 10" xfId="5112" xr:uid="{9EDAB06C-6196-4AC7-96CA-102E11CAA3B5}"/>
    <cellStyle name="40% - Akzent1 3 10 2" xfId="5113" xr:uid="{D26BF220-D4A5-450F-9504-F4AA8F5A4582}"/>
    <cellStyle name="40% - Akzent1 3 10 2 2" xfId="24550" xr:uid="{2B52BD49-D7CB-4E24-9AA5-67CEA6BC2F72}"/>
    <cellStyle name="40% - Akzent1 3 10 3" xfId="24549" xr:uid="{C4B43A39-3562-4031-BF32-D64F6D682367}"/>
    <cellStyle name="40% - Akzent1 3 11" xfId="5114" xr:uid="{8A1FA761-C23D-4D04-A7DB-A2037EAC6E53}"/>
    <cellStyle name="40% - Akzent1 3 11 2" xfId="5115" xr:uid="{4EDD86DA-B23B-4290-8F69-97FD3DE4CEF5}"/>
    <cellStyle name="40% - Akzent1 3 11 2 2" xfId="24552" xr:uid="{87901720-52D9-44AB-9A9C-45BB0B63B0CF}"/>
    <cellStyle name="40% - Akzent1 3 11 3" xfId="24551" xr:uid="{CDB3BA64-4E39-433D-90F6-0746115A548D}"/>
    <cellStyle name="40% - Akzent1 3 12" xfId="5116" xr:uid="{002CAEBF-5C0A-499B-80CF-2E6AF8D4B877}"/>
    <cellStyle name="40% - Akzent1 3 12 2" xfId="5117" xr:uid="{3B320D8F-491A-4222-887E-D6B0060D5587}"/>
    <cellStyle name="40% - Akzent1 3 12 2 2" xfId="24554" xr:uid="{70FFDDAE-9BE6-49FC-B79C-DC611FBDFEC3}"/>
    <cellStyle name="40% - Akzent1 3 12 3" xfId="24553" xr:uid="{62A92999-A20B-4234-807C-64600520054B}"/>
    <cellStyle name="40% - Akzent1 3 13" xfId="5118" xr:uid="{3BD0490C-5E1A-4894-A846-542690F69A3E}"/>
    <cellStyle name="40% - Akzent1 3 13 2" xfId="5119" xr:uid="{211C44D4-06C4-4B48-8D7E-0E069BFB2E90}"/>
    <cellStyle name="40% - Akzent1 3 13 2 2" xfId="24556" xr:uid="{E9B4330E-50E3-48E6-8B34-71C0ECF2CBA8}"/>
    <cellStyle name="40% - Akzent1 3 13 3" xfId="24555" xr:uid="{4530E9C3-C0A6-40CD-B68E-CB725E1D5C2B}"/>
    <cellStyle name="40% - Akzent1 3 14" xfId="5120" xr:uid="{A6EFC67C-F1DA-4096-9FAE-32CDD75735AD}"/>
    <cellStyle name="40% - Akzent1 3 14 2" xfId="5121" xr:uid="{F7FE2507-A7C4-46EE-A411-D89341AF264A}"/>
    <cellStyle name="40% - Akzent1 3 14 2 2" xfId="24558" xr:uid="{E6437F7B-B09B-4C79-ADC9-46EB07D065B7}"/>
    <cellStyle name="40% - Akzent1 3 14 3" xfId="24557" xr:uid="{BB114D65-9747-4968-B935-452703EC94DC}"/>
    <cellStyle name="40% - Akzent1 3 15" xfId="5122" xr:uid="{9EA881B0-BE2C-49DB-92D5-90EB35BE0991}"/>
    <cellStyle name="40% - Akzent1 3 15 2" xfId="5123" xr:uid="{A625EE25-4926-450B-91F6-A4DAF3982DD9}"/>
    <cellStyle name="40% - Akzent1 3 15 2 2" xfId="24560" xr:uid="{F51DD915-696D-4D29-BF7E-7FFC01B52D19}"/>
    <cellStyle name="40% - Akzent1 3 15 3" xfId="24559" xr:uid="{6E21E6B1-6676-4A9B-A7CF-D541EA5A5221}"/>
    <cellStyle name="40% - Akzent1 3 16" xfId="5124" xr:uid="{D91A76AF-756E-4894-A2BA-97070B2E7AD5}"/>
    <cellStyle name="40% - Akzent1 3 16 2" xfId="5125" xr:uid="{41C43DAA-EDB0-4526-8DD7-C9BFF0A0A656}"/>
    <cellStyle name="40% - Akzent1 3 16 2 2" xfId="24562" xr:uid="{F472D437-639F-4D27-81A4-175FD6BB7B8F}"/>
    <cellStyle name="40% - Akzent1 3 16 3" xfId="24561" xr:uid="{3AF96473-1994-48FB-8BA7-C30FF699965F}"/>
    <cellStyle name="40% - Akzent1 3 17" xfId="5126" xr:uid="{CD405BBF-2A88-4DAF-898A-BAE970FFCD9E}"/>
    <cellStyle name="40% - Akzent1 3 17 2" xfId="5127" xr:uid="{701E6E56-BEBC-4BEB-AE5A-A4A3E9EAA8FF}"/>
    <cellStyle name="40% - Akzent1 3 17 2 2" xfId="24564" xr:uid="{C8EF17DD-A5C0-4D7C-B7D9-DB9018A2710C}"/>
    <cellStyle name="40% - Akzent1 3 17 3" xfId="24563" xr:uid="{CA044735-4B1B-4E93-8355-5177684CFB0E}"/>
    <cellStyle name="40% - Akzent1 3 18" xfId="5128" xr:uid="{0FB76FE7-83CA-499D-ABED-8397E9A7486F}"/>
    <cellStyle name="40% - Akzent1 3 18 2" xfId="5129" xr:uid="{49FA18E6-53A7-4896-8B37-0DC6A97FE943}"/>
    <cellStyle name="40% - Akzent1 3 18 2 2" xfId="24566" xr:uid="{8402B396-1C0D-4F2D-AA72-1D4ADF81488D}"/>
    <cellStyle name="40% - Akzent1 3 18 3" xfId="24565" xr:uid="{07E38999-257D-4E0D-B9DE-95A6DFFDD611}"/>
    <cellStyle name="40% - Akzent1 3 19" xfId="5130" xr:uid="{CA266439-0C39-4ADF-8E67-FD66351281E7}"/>
    <cellStyle name="40% - Akzent1 3 19 2" xfId="5131" xr:uid="{08CEED03-96E4-4028-9F35-43782B34D981}"/>
    <cellStyle name="40% - Akzent1 3 19 2 2" xfId="24568" xr:uid="{83C2368F-A693-444C-BCCB-43B22F2382FA}"/>
    <cellStyle name="40% - Akzent1 3 19 3" xfId="24567" xr:uid="{ADAA6F46-161F-4639-900A-34F8985F5C41}"/>
    <cellStyle name="40% - Akzent1 3 2" xfId="5132" xr:uid="{13BD4EB8-D3AC-4DBA-AB03-EFE1D33736C6}"/>
    <cellStyle name="40% - Akzent1 3 2 2" xfId="5133" xr:uid="{EFB43C8E-A6FC-4FF4-82D8-0664CF751621}"/>
    <cellStyle name="40% - Akzent1 3 2 2 2" xfId="5134" xr:uid="{FE2B0BB8-CD10-406D-8C0F-E07DEDD56442}"/>
    <cellStyle name="40% - Akzent1 3 2 2 2 2" xfId="24571" xr:uid="{FF805D91-1FA7-44D0-A5C4-8850CEF1EA95}"/>
    <cellStyle name="40% - Akzent1 3 2 2 3" xfId="5135" xr:uid="{D639526E-7FCA-441D-83E1-25E6CCE6A499}"/>
    <cellStyle name="40% - Akzent1 3 2 2 3 2" xfId="24572" xr:uid="{071C195F-DDC5-44E7-AD31-EDB463093393}"/>
    <cellStyle name="40% - Akzent1 3 2 2 4" xfId="24570" xr:uid="{ABB2BF16-FD1B-44E8-82E1-71315C7154E7}"/>
    <cellStyle name="40% - Akzent1 3 2 2 5" xfId="40885" xr:uid="{1017806B-BABD-4342-9CEB-626B52AA2B70}"/>
    <cellStyle name="40% - Akzent1 3 2 3" xfId="5136" xr:uid="{788A51CC-F7F5-448C-A71D-4EE573918002}"/>
    <cellStyle name="40% - Akzent1 3 2 3 2" xfId="24573" xr:uid="{D8F4DF6C-08F3-4DD9-ADE0-A1543A3A4A49}"/>
    <cellStyle name="40% - Akzent1 3 2 3 3" xfId="41745" xr:uid="{306E6993-5498-4E1F-BA20-4C5327C8DD2F}"/>
    <cellStyle name="40% - Akzent1 3 2 4" xfId="5137" xr:uid="{2D4CB180-3542-4BA0-9AD4-03B97C9ECF28}"/>
    <cellStyle name="40% - Akzent1 3 2 4 2" xfId="24574" xr:uid="{4F9E9818-0D78-4A2A-9216-B546C3BFE234}"/>
    <cellStyle name="40% - Akzent1 3 2 5" xfId="24569" xr:uid="{46407B09-DBE0-4403-AAE5-A88C4204CDCB}"/>
    <cellStyle name="40% - Akzent1 3 2 6" xfId="39939" xr:uid="{63FB186E-EBBE-4F8C-8682-28E749C13E3D}"/>
    <cellStyle name="40% - Akzent1 3 20" xfId="5138" xr:uid="{1E054DA2-FE8D-416B-81CC-CDA07FABA20B}"/>
    <cellStyle name="40% - Akzent1 3 20 2" xfId="5139" xr:uid="{C303E22B-C600-4B85-8F75-66FEB4E10D4C}"/>
    <cellStyle name="40% - Akzent1 3 20 2 2" xfId="24576" xr:uid="{FD6CC2E3-81F6-428E-AD93-C1542D46C663}"/>
    <cellStyle name="40% - Akzent1 3 20 3" xfId="24575" xr:uid="{FD341CDC-8465-418F-8D99-776200630041}"/>
    <cellStyle name="40% - Akzent1 3 21" xfId="5140" xr:uid="{8FC0261A-7D89-4315-80E1-54DA660EE580}"/>
    <cellStyle name="40% - Akzent1 3 21 2" xfId="5141" xr:uid="{68B0959E-F0B8-46D1-AE0E-94A3C1B01474}"/>
    <cellStyle name="40% - Akzent1 3 21 2 2" xfId="24578" xr:uid="{0EED0BD8-AA81-4042-B7B5-5075D8FE96D3}"/>
    <cellStyle name="40% - Akzent1 3 21 3" xfId="24577" xr:uid="{8243FA5C-24A3-42BF-91A7-C94836C16E1C}"/>
    <cellStyle name="40% - Akzent1 3 22" xfId="5142" xr:uid="{F37B3E95-5ECF-444D-89EA-A75733C74AA3}"/>
    <cellStyle name="40% - Akzent1 3 22 2" xfId="24579" xr:uid="{15B82611-DC78-4BF1-902D-631368824621}"/>
    <cellStyle name="40% - Akzent1 3 23" xfId="5143" xr:uid="{E0401E25-4D5A-43FE-8CF9-CDD46EE9145F}"/>
    <cellStyle name="40% - Akzent1 3 23 2" xfId="24580" xr:uid="{82F29E9A-E517-43DB-BC92-7AD84F299CCC}"/>
    <cellStyle name="40% - Akzent1 3 24" xfId="24548" xr:uid="{80AE87B6-09ED-4BF0-818E-428A0F1128F6}"/>
    <cellStyle name="40% - Akzent1 3 25" xfId="39306" xr:uid="{7FF3A0A2-E514-4CD7-86AF-06B4A6F6BEBC}"/>
    <cellStyle name="40% - Akzent1 3 26" xfId="5111" xr:uid="{E078BC59-0CEF-42C2-B0A6-F84D63DCF07B}"/>
    <cellStyle name="40% - Akzent1 3 3" xfId="5144" xr:uid="{576F8329-E214-4552-9989-863329DFD4E0}"/>
    <cellStyle name="40% - Akzent1 3 3 2" xfId="24581" xr:uid="{8D0EB6FD-0B94-4900-AE8D-CC0B3D25F8D7}"/>
    <cellStyle name="40% - Akzent1 3 3 2 2" xfId="40884" xr:uid="{FB05BC93-6639-42C2-8AB4-CF36B2B869A9}"/>
    <cellStyle name="40% - Akzent1 3 3 3" xfId="41744" xr:uid="{8A375CD8-A669-42C9-99AB-8A5F8C5CFD0F}"/>
    <cellStyle name="40% - Akzent1 3 3 4" xfId="39938" xr:uid="{1AE7EA92-FC8C-4A23-87A9-48F4C5A44365}"/>
    <cellStyle name="40% - Akzent1 3 4" xfId="5145" xr:uid="{A3CE4179-3E1D-4141-820A-7A8494B39645}"/>
    <cellStyle name="40% - Akzent1 3 4 2" xfId="24582" xr:uid="{56F87784-28CD-49D6-AAE5-4CB7266034D3}"/>
    <cellStyle name="40% - Akzent1 3 4 3" xfId="40456" xr:uid="{E88B06A5-C257-4219-BF96-B00BE98F1E50}"/>
    <cellStyle name="40% - Akzent1 3 5" xfId="5146" xr:uid="{C477A604-C163-41B7-A7F3-49E3E1DC017D}"/>
    <cellStyle name="40% - Akzent1 3 5 2" xfId="5147" xr:uid="{672DE978-B4DE-439C-9476-345A07582E20}"/>
    <cellStyle name="40% - Akzent1 3 5 2 2" xfId="5148" xr:uid="{6890D1C6-ED2D-405A-8937-550D704146F1}"/>
    <cellStyle name="40% - Akzent1 3 5 2 2 2" xfId="24585" xr:uid="{40E68413-D958-4301-8CE0-A5175CB93505}"/>
    <cellStyle name="40% - Akzent1 3 5 2 3" xfId="24584" xr:uid="{E472557B-4E68-4BFD-8D37-835177A9E13F}"/>
    <cellStyle name="40% - Akzent1 3 5 3" xfId="24583" xr:uid="{30C42680-B931-497E-9446-DA710E35830E}"/>
    <cellStyle name="40% - Akzent1 3 5 4" xfId="41316" xr:uid="{F4F283F3-0022-4C32-970E-AAE35C095F8A}"/>
    <cellStyle name="40% - Akzent1 3 6" xfId="5149" xr:uid="{EBEDDE71-2B86-4256-B8AE-E802E06AD266}"/>
    <cellStyle name="40% - Akzent1 3 6 2" xfId="5150" xr:uid="{B3F1BD56-6812-4D55-831F-D8D527C9E068}"/>
    <cellStyle name="40% - Akzent1 3 6 2 2" xfId="24587" xr:uid="{102A5D6A-C3DF-4664-AAE6-ABA98E2921B8}"/>
    <cellStyle name="40% - Akzent1 3 6 3" xfId="24586" xr:uid="{869081B8-BF83-444C-85DD-E81384E45475}"/>
    <cellStyle name="40% - Akzent1 3 7" xfId="5151" xr:uid="{D1DA31FD-B096-4B3F-8D8F-4D200323CA98}"/>
    <cellStyle name="40% - Akzent1 3 7 2" xfId="5152" xr:uid="{8BB831B4-2F70-49D1-BAEF-92EEE1F1013B}"/>
    <cellStyle name="40% - Akzent1 3 7 2 2" xfId="24589" xr:uid="{AAD1F051-D317-408E-B678-B512855C6A90}"/>
    <cellStyle name="40% - Akzent1 3 7 3" xfId="24588" xr:uid="{5436DC06-6409-4FA9-AE75-F117B5BFBBDB}"/>
    <cellStyle name="40% - Akzent1 3 8" xfId="5153" xr:uid="{E2A70F48-8E0C-473D-8BB2-AEF22E0E2C6E}"/>
    <cellStyle name="40% - Akzent1 3 8 2" xfId="5154" xr:uid="{81E11FEF-F8B1-4F41-A1F5-EC6DF56CF7A0}"/>
    <cellStyle name="40% - Akzent1 3 8 2 2" xfId="24591" xr:uid="{AD4244B7-5F67-4D63-A07C-EFB5E70F752A}"/>
    <cellStyle name="40% - Akzent1 3 8 3" xfId="24590" xr:uid="{5DC9AB23-4C53-4487-8E8B-9288B3C0A52B}"/>
    <cellStyle name="40% - Akzent1 3 9" xfId="5155" xr:uid="{A9865738-897F-43C7-B1FC-FCE194E12114}"/>
    <cellStyle name="40% - Akzent1 3 9 2" xfId="5156" xr:uid="{638AF0F9-438B-460E-851F-2A198B370DD8}"/>
    <cellStyle name="40% - Akzent1 3 9 2 2" xfId="24593" xr:uid="{50CD33C8-1F67-4559-93A4-4C6117303A3E}"/>
    <cellStyle name="40% - Akzent1 3 9 3" xfId="24592" xr:uid="{60D2E045-B04F-4330-A109-5454EDD36D73}"/>
    <cellStyle name="40% - Akzent1 30" xfId="5157" xr:uid="{BE6C28FE-C8F6-4496-B53F-8489A008ECD0}"/>
    <cellStyle name="40% - Akzent1 30 2" xfId="5158" xr:uid="{7CFCF245-6F4E-42B5-915D-5C947E218A9B}"/>
    <cellStyle name="40% - Akzent1 30 2 2" xfId="24595" xr:uid="{CE83A258-2144-4A89-9251-4569873CC3B1}"/>
    <cellStyle name="40% - Akzent1 30 3" xfId="5159" xr:uid="{E10C6275-FBDF-4735-A48E-A1056233B97F}"/>
    <cellStyle name="40% - Akzent1 30 3 2" xfId="24596" xr:uid="{CF104EEB-93F4-4C67-AE72-B1CBD2C2BDEE}"/>
    <cellStyle name="40% - Akzent1 30 4" xfId="24594" xr:uid="{0D7B0BEB-F3A1-4321-83C1-FB74E18CCE06}"/>
    <cellStyle name="40% - Akzent1 31" xfId="5160" xr:uid="{CE9E5963-37F8-4F36-B6AE-798E54FB71AE}"/>
    <cellStyle name="40% - Akzent1 31 2" xfId="5161" xr:uid="{C92C3553-A9B0-43BB-8331-6D9D7E1860E6}"/>
    <cellStyle name="40% - Akzent1 31 2 2" xfId="24598" xr:uid="{363F48D1-5751-461A-8344-0D0FCD2E837E}"/>
    <cellStyle name="40% - Akzent1 31 3" xfId="5162" xr:uid="{FAEDD032-D148-4049-BB5A-047C1C7D97A8}"/>
    <cellStyle name="40% - Akzent1 31 3 2" xfId="24599" xr:uid="{7099E04A-3780-4602-BC27-4B49050A6EF6}"/>
    <cellStyle name="40% - Akzent1 31 4" xfId="24597" xr:uid="{694B04C5-2F91-4FF1-B6F8-B7FEEF405CF3}"/>
    <cellStyle name="40% - Akzent1 32" xfId="5163" xr:uid="{0B4D4EC6-FE76-4857-A0C8-165856CC4ECC}"/>
    <cellStyle name="40% - Akzent1 32 2" xfId="5164" xr:uid="{E7ABCDB3-B60C-4676-A49A-84CBB59D9882}"/>
    <cellStyle name="40% - Akzent1 32 2 2" xfId="24601" xr:uid="{9451E06F-A60B-41D8-BE1A-D046F25E8799}"/>
    <cellStyle name="40% - Akzent1 32 3" xfId="5165" xr:uid="{EB84A8A8-8120-44E5-8504-1F9074BBC6B6}"/>
    <cellStyle name="40% - Akzent1 32 3 2" xfId="24602" xr:uid="{56929CD5-355C-49E5-B7BB-009CF0FB1026}"/>
    <cellStyle name="40% - Akzent1 32 4" xfId="24600" xr:uid="{4F761AB9-A317-4C6F-BD0E-4E5ED7031EB3}"/>
    <cellStyle name="40% - Akzent1 33" xfId="5166" xr:uid="{A98D679B-8673-4572-815E-3BCDD00FBA1A}"/>
    <cellStyle name="40% - Akzent1 33 2" xfId="5167" xr:uid="{D8E532A8-9D8D-4050-A97D-9B59F2984917}"/>
    <cellStyle name="40% - Akzent1 33 2 2" xfId="24604" xr:uid="{219DD923-69CC-4A6A-8E7D-D54B54640DCC}"/>
    <cellStyle name="40% - Akzent1 33 3" xfId="5168" xr:uid="{4B166A5B-B344-4812-A1D8-FCB08C4CD669}"/>
    <cellStyle name="40% - Akzent1 33 3 2" xfId="24605" xr:uid="{31956FE9-C2BA-46EE-9D23-2803845DDF70}"/>
    <cellStyle name="40% - Akzent1 33 4" xfId="24603" xr:uid="{3DC0B0D4-BE57-4762-99DF-14FD0409A0E1}"/>
    <cellStyle name="40% - Akzent1 34" xfId="5169" xr:uid="{BACF95BE-E8AE-4CB8-AB25-603179F0D3CB}"/>
    <cellStyle name="40% - Akzent1 34 2" xfId="5170" xr:uid="{7D12921B-D032-4F9E-A2CB-EBF2D8A6EA24}"/>
    <cellStyle name="40% - Akzent1 34 2 2" xfId="24607" xr:uid="{E18BB41B-7DF6-43CB-B869-8989620FF6DE}"/>
    <cellStyle name="40% - Akzent1 34 3" xfId="5171" xr:uid="{E8A885DA-0FDA-4448-8270-A3D993E043F1}"/>
    <cellStyle name="40% - Akzent1 34 3 2" xfId="24608" xr:uid="{F7FC3658-095C-4195-9AEB-22EA8B211E87}"/>
    <cellStyle name="40% - Akzent1 34 4" xfId="24606" xr:uid="{F3949039-3092-4D14-8747-56889B1A6CF5}"/>
    <cellStyle name="40% - Akzent1 35" xfId="5172" xr:uid="{51C33B98-B84E-48EF-850C-24C172D82744}"/>
    <cellStyle name="40% - Akzent1 35 2" xfId="5173" xr:uid="{C79FD714-F2E8-4C7A-9179-BE08657BE052}"/>
    <cellStyle name="40% - Akzent1 35 2 2" xfId="24610" xr:uid="{DECDC7F3-FAD6-4B34-BB24-C940E0C63D0D}"/>
    <cellStyle name="40% - Akzent1 35 3" xfId="5174" xr:uid="{F96638FE-5E66-4DDF-B414-EB1E158EF284}"/>
    <cellStyle name="40% - Akzent1 35 3 2" xfId="24611" xr:uid="{C13A2465-04AF-4DA3-8470-1469EE84FC83}"/>
    <cellStyle name="40% - Akzent1 35 4" xfId="24609" xr:uid="{4DDD4E6E-391A-454E-A137-F3DBBFDC6E2C}"/>
    <cellStyle name="40% - Akzent1 36" xfId="5175" xr:uid="{DF5826C1-B04E-4E2F-B819-7C1148CC56AF}"/>
    <cellStyle name="40% - Akzent1 36 2" xfId="5176" xr:uid="{436364A9-E51E-4A28-87BE-6E8A3AEE2FCE}"/>
    <cellStyle name="40% - Akzent1 36 2 2" xfId="24613" xr:uid="{7A9C6B51-51A7-4178-B15B-0E6DAEF8E735}"/>
    <cellStyle name="40% - Akzent1 36 3" xfId="5177" xr:uid="{8B54F0B4-C057-4451-8F13-D0959CB07E7F}"/>
    <cellStyle name="40% - Akzent1 36 3 2" xfId="24614" xr:uid="{7405E553-7EE5-4533-9C28-B4984461A24B}"/>
    <cellStyle name="40% - Akzent1 36 4" xfId="24612" xr:uid="{3975FFAB-41F0-4F3A-B4C4-5393A83B8188}"/>
    <cellStyle name="40% - Akzent1 37" xfId="5178" xr:uid="{CEF271D9-CB95-407B-8270-792B82EB7470}"/>
    <cellStyle name="40% - Akzent1 37 2" xfId="5179" xr:uid="{D65582CC-F76E-49F7-84E0-EA12E83D5626}"/>
    <cellStyle name="40% - Akzent1 37 2 2" xfId="24616" xr:uid="{079AAEE8-4E4E-4382-961F-D69A6FCAD68C}"/>
    <cellStyle name="40% - Akzent1 37 3" xfId="24615" xr:uid="{1DCFAD86-CD33-40A7-BBCC-53356EDDBF2A}"/>
    <cellStyle name="40% - Akzent1 38" xfId="5180" xr:uid="{24B8CE40-FCF7-4B2F-AFDE-2B3D74D04A0F}"/>
    <cellStyle name="40% - Akzent1 38 2" xfId="5181" xr:uid="{3679D5BC-9DB7-4D31-89EA-A433DB7F417D}"/>
    <cellStyle name="40% - Akzent1 38 2 2" xfId="24618" xr:uid="{5F7CE099-FACA-4F3B-811B-377B67AFA601}"/>
    <cellStyle name="40% - Akzent1 38 3" xfId="24617" xr:uid="{D6EF37C7-6333-40F6-80DE-4C6B8ECC1E42}"/>
    <cellStyle name="40% - Akzent1 39" xfId="5182" xr:uid="{CBAEBD71-088F-4A11-8922-D4348D1F29D8}"/>
    <cellStyle name="40% - Akzent1 39 2" xfId="5183" xr:uid="{0C280162-331C-4BA8-9DA6-71C6B2468936}"/>
    <cellStyle name="40% - Akzent1 39 2 2" xfId="24620" xr:uid="{8823A5D3-9498-439E-8AC9-5DC4C7017407}"/>
    <cellStyle name="40% - Akzent1 39 3" xfId="24619" xr:uid="{DD6F650A-4D00-48CE-83F7-7A4429D531C1}"/>
    <cellStyle name="40% - Akzent1 4" xfId="128" xr:uid="{11313D33-0462-486E-8D88-F3FD5F50D7DC}"/>
    <cellStyle name="40% - Akzent1 4 10" xfId="5185" xr:uid="{96BC65BA-55B5-4E11-AF6C-B069A051EDEA}"/>
    <cellStyle name="40% - Akzent1 4 10 2" xfId="5186" xr:uid="{45ACD05D-3B17-4544-B9D0-7A5EE656FC2C}"/>
    <cellStyle name="40% - Akzent1 4 10 2 2" xfId="24623" xr:uid="{F5928EA9-4E1B-4762-8C89-F26BDEE63599}"/>
    <cellStyle name="40% - Akzent1 4 10 3" xfId="24622" xr:uid="{FCBA3C70-6EBB-4B52-9F95-73363F312DE9}"/>
    <cellStyle name="40% - Akzent1 4 11" xfId="5187" xr:uid="{194D1FAE-72C0-4F57-82DB-000E510A1339}"/>
    <cellStyle name="40% - Akzent1 4 11 2" xfId="5188" xr:uid="{60AF3D7C-4A66-4CF9-80E2-B47DE579FB9D}"/>
    <cellStyle name="40% - Akzent1 4 11 2 2" xfId="24625" xr:uid="{F765A1E8-441E-46E1-BA76-7229D398F92E}"/>
    <cellStyle name="40% - Akzent1 4 11 3" xfId="24624" xr:uid="{2C974341-384D-4B45-89F5-0E427A638404}"/>
    <cellStyle name="40% - Akzent1 4 12" xfId="5189" xr:uid="{6D0D1091-8F7A-4722-BADD-EAFCDFDE92E7}"/>
    <cellStyle name="40% - Akzent1 4 12 2" xfId="5190" xr:uid="{52C7EFDD-5420-4166-8C2B-C37FE5A71D3A}"/>
    <cellStyle name="40% - Akzent1 4 12 2 2" xfId="24627" xr:uid="{00BFC4D1-C589-4837-B687-55331B5AC31B}"/>
    <cellStyle name="40% - Akzent1 4 12 3" xfId="24626" xr:uid="{E4FAA87A-730F-445B-ABBF-C8105E62ED3C}"/>
    <cellStyle name="40% - Akzent1 4 13" xfId="5191" xr:uid="{2CA76492-BD19-4B3B-9A94-54E9E3A1B6D6}"/>
    <cellStyle name="40% - Akzent1 4 13 2" xfId="5192" xr:uid="{A766F856-7FE6-4515-B829-203FC332BDE1}"/>
    <cellStyle name="40% - Akzent1 4 13 2 2" xfId="24629" xr:uid="{8A0AD278-C16F-4C26-B37E-209D371B8B69}"/>
    <cellStyle name="40% - Akzent1 4 13 3" xfId="24628" xr:uid="{37BC97F8-92C8-496A-8276-405C252284AE}"/>
    <cellStyle name="40% - Akzent1 4 14" xfId="5193" xr:uid="{11141EB7-0BD9-4411-88EA-157A86A1D2F9}"/>
    <cellStyle name="40% - Akzent1 4 14 2" xfId="5194" xr:uid="{BBEFEDD9-DC08-485C-81DF-EAEF98D6EF9A}"/>
    <cellStyle name="40% - Akzent1 4 14 2 2" xfId="24631" xr:uid="{A1D4F3D2-EF86-4F29-B96C-F970767BA210}"/>
    <cellStyle name="40% - Akzent1 4 14 3" xfId="24630" xr:uid="{B2FC7D3C-997B-4D23-8F92-CBF6748B57A3}"/>
    <cellStyle name="40% - Akzent1 4 15" xfId="5195" xr:uid="{1E61DF07-360A-4EB5-B2E8-174D6C47CCA5}"/>
    <cellStyle name="40% - Akzent1 4 15 2" xfId="5196" xr:uid="{7E4F4027-D73B-4018-982E-344662840297}"/>
    <cellStyle name="40% - Akzent1 4 15 2 2" xfId="24633" xr:uid="{D8D14B27-1F10-46B5-86CB-68C55BA7A616}"/>
    <cellStyle name="40% - Akzent1 4 15 3" xfId="24632" xr:uid="{A5E7F300-038F-49DB-BAA9-C1982FF292C7}"/>
    <cellStyle name="40% - Akzent1 4 16" xfId="5197" xr:uid="{54AE25C5-0987-4A55-B32A-A2A591BC1AAE}"/>
    <cellStyle name="40% - Akzent1 4 16 2" xfId="5198" xr:uid="{45D8EFE0-FE8A-4FFB-A29E-C9CC40E9D87B}"/>
    <cellStyle name="40% - Akzent1 4 16 2 2" xfId="24635" xr:uid="{7CE5F6A1-D774-4929-BD75-817982FD02E7}"/>
    <cellStyle name="40% - Akzent1 4 16 3" xfId="24634" xr:uid="{1EE72845-0BD8-4B89-9D3E-A9E715013BC8}"/>
    <cellStyle name="40% - Akzent1 4 17" xfId="5199" xr:uid="{F5832B3F-9BA9-44CC-9DE2-7A38B9AA20DC}"/>
    <cellStyle name="40% - Akzent1 4 17 2" xfId="5200" xr:uid="{269D550A-6BB7-463E-8ACD-B578D95BDF51}"/>
    <cellStyle name="40% - Akzent1 4 17 2 2" xfId="24637" xr:uid="{9F400EBA-7FE2-46A8-AFA8-3AB59028066F}"/>
    <cellStyle name="40% - Akzent1 4 17 3" xfId="24636" xr:uid="{34FCC7B5-6F74-4825-914E-51E1F30E45B9}"/>
    <cellStyle name="40% - Akzent1 4 18" xfId="5201" xr:uid="{32A01F3D-5729-4A6B-9C52-4B3E71993B3A}"/>
    <cellStyle name="40% - Akzent1 4 18 2" xfId="5202" xr:uid="{E9F46EC4-91AD-4484-8788-1E007F646EB6}"/>
    <cellStyle name="40% - Akzent1 4 18 2 2" xfId="24639" xr:uid="{4538D8F2-5175-4C93-A866-E45F414E5E53}"/>
    <cellStyle name="40% - Akzent1 4 18 3" xfId="24638" xr:uid="{729262AA-E7C4-443F-9A46-745C244A1AC6}"/>
    <cellStyle name="40% - Akzent1 4 19" xfId="5203" xr:uid="{CA982EBD-2C8C-4433-B39C-5A589F293814}"/>
    <cellStyle name="40% - Akzent1 4 19 2" xfId="5204" xr:uid="{C760E2E4-4B09-4410-8746-24BE108EC00E}"/>
    <cellStyle name="40% - Akzent1 4 19 2 2" xfId="24641" xr:uid="{B6A46527-6596-491C-A06E-208F08D6CFD9}"/>
    <cellStyle name="40% - Akzent1 4 19 3" xfId="24640" xr:uid="{7A72E9AD-9CEC-4E17-8EB8-A0ADF08C1971}"/>
    <cellStyle name="40% - Akzent1 4 2" xfId="5205" xr:uid="{F2530E09-1A81-468C-9A21-829C4A0C813E}"/>
    <cellStyle name="40% - Akzent1 4 2 2" xfId="5206" xr:uid="{24CA67AF-168F-4B6E-9122-3B43319654C1}"/>
    <cellStyle name="40% - Akzent1 4 2 2 2" xfId="5207" xr:uid="{26F978AA-AE15-423C-8DC0-3CBD90A87E6D}"/>
    <cellStyle name="40% - Akzent1 4 2 2 2 2" xfId="24644" xr:uid="{6702CCFF-CB0C-42CB-80DE-87B37F38F299}"/>
    <cellStyle name="40% - Akzent1 4 2 2 3" xfId="24643" xr:uid="{8F49D11A-A29D-47BD-B9DA-0B2E751B5BEB}"/>
    <cellStyle name="40% - Akzent1 4 2 2 4" xfId="40887" xr:uid="{BEBD2E50-9D82-461D-8B7F-388381CA5380}"/>
    <cellStyle name="40% - Akzent1 4 2 3" xfId="24642" xr:uid="{C4F719FD-810D-4155-B998-47DB5EFB8D25}"/>
    <cellStyle name="40% - Akzent1 4 2 3 2" xfId="41747" xr:uid="{6D1C551D-80F3-4E67-879E-ACB71F8D21EA}"/>
    <cellStyle name="40% - Akzent1 4 2 4" xfId="39941" xr:uid="{82D06468-E470-418F-A86A-4863925C399C}"/>
    <cellStyle name="40% - Akzent1 4 20" xfId="5208" xr:uid="{008ED003-F031-48D1-B764-8ECDE6782335}"/>
    <cellStyle name="40% - Akzent1 4 20 2" xfId="5209" xr:uid="{E30FE0B3-6C72-4FAF-9079-D5EF1A26799F}"/>
    <cellStyle name="40% - Akzent1 4 20 2 2" xfId="24646" xr:uid="{18B120B5-7E7E-4991-9B93-0DEF1B5DDDBD}"/>
    <cellStyle name="40% - Akzent1 4 20 3" xfId="24645" xr:uid="{3F3E91CF-C818-4499-BF93-E9BA24F153D9}"/>
    <cellStyle name="40% - Akzent1 4 21" xfId="5210" xr:uid="{7AF55EBA-04E5-46C7-A3F6-0A3A98BB0008}"/>
    <cellStyle name="40% - Akzent1 4 21 2" xfId="5211" xr:uid="{81B14D9D-75B4-4438-A46C-D02626F5CEB4}"/>
    <cellStyle name="40% - Akzent1 4 21 2 2" xfId="24648" xr:uid="{34E3F930-5C71-486A-A0C6-3DC349EA3BDC}"/>
    <cellStyle name="40% - Akzent1 4 21 3" xfId="24647" xr:uid="{0E2B8428-0EA8-4887-85BF-E15397E7BDDD}"/>
    <cellStyle name="40% - Akzent1 4 22" xfId="5212" xr:uid="{E3960C5E-AEF2-4472-8800-086015F7B726}"/>
    <cellStyle name="40% - Akzent1 4 22 2" xfId="24649" xr:uid="{72B12919-E3B5-4B00-9EED-0170ECB1CEB9}"/>
    <cellStyle name="40% - Akzent1 4 23" xfId="5213" xr:uid="{387F66AC-DBBA-42B9-8E31-B712FA6FA835}"/>
    <cellStyle name="40% - Akzent1 4 23 2" xfId="24650" xr:uid="{B0389DB0-F1B0-49DD-848F-FA445431B6C1}"/>
    <cellStyle name="40% - Akzent1 4 24" xfId="24621" xr:uid="{5C1581CB-6209-498F-9C88-3578177DB2EE}"/>
    <cellStyle name="40% - Akzent1 4 25" xfId="39307" xr:uid="{0EA4C0EB-DA07-48EA-9A00-D5DC9A54B594}"/>
    <cellStyle name="40% - Akzent1 4 26" xfId="5184" xr:uid="{FAC70A2D-2BAF-4390-AEED-E9A9FEB4A196}"/>
    <cellStyle name="40% - Akzent1 4 3" xfId="5214" xr:uid="{044C0BFC-9495-4528-B547-9F1CF2D680A1}"/>
    <cellStyle name="40% - Akzent1 4 3 2" xfId="5215" xr:uid="{E41008DC-242D-4785-9629-D34633AA57E7}"/>
    <cellStyle name="40% - Akzent1 4 3 2 2" xfId="24652" xr:uid="{D703701C-6791-4449-B8B1-390BD9162D82}"/>
    <cellStyle name="40% - Akzent1 4 3 2 3" xfId="40886" xr:uid="{31BB6C83-BCEC-4950-8158-2BA2AB3FD68A}"/>
    <cellStyle name="40% - Akzent1 4 3 3" xfId="24651" xr:uid="{63C170A0-FC8C-4466-BCFA-766764A3B761}"/>
    <cellStyle name="40% - Akzent1 4 3 3 2" xfId="41746" xr:uid="{E95F2A89-E57E-4D3D-ADC0-8F9934ABA930}"/>
    <cellStyle name="40% - Akzent1 4 3 4" xfId="39940" xr:uid="{144F004F-94DC-4061-B8FE-40E964D7FF5F}"/>
    <cellStyle name="40% - Akzent1 4 4" xfId="5216" xr:uid="{CB0FB906-F5DF-4FDB-BB43-B2BD23ECDA4B}"/>
    <cellStyle name="40% - Akzent1 4 4 2" xfId="5217" xr:uid="{47ACA83E-D4FC-48C4-BDB9-2638A16C71A3}"/>
    <cellStyle name="40% - Akzent1 4 4 2 2" xfId="24654" xr:uid="{6B4F51F7-3046-4843-A97D-D1455B1A7748}"/>
    <cellStyle name="40% - Akzent1 4 4 3" xfId="24653" xr:uid="{14673148-FCDC-4BCA-AF53-43DEEE43AB30}"/>
    <cellStyle name="40% - Akzent1 4 4 4" xfId="40457" xr:uid="{E7F3AB5E-B3CF-4EB2-AC6F-6C332415B394}"/>
    <cellStyle name="40% - Akzent1 4 5" xfId="5218" xr:uid="{8CB886EC-C6B6-4984-B2EC-A0F6F60788F6}"/>
    <cellStyle name="40% - Akzent1 4 5 2" xfId="5219" xr:uid="{DB620044-4E98-4E46-94FA-6774B9095F4D}"/>
    <cellStyle name="40% - Akzent1 4 5 2 2" xfId="24656" xr:uid="{E3C3079A-0ACA-4D75-AB94-F19C9B41C5C7}"/>
    <cellStyle name="40% - Akzent1 4 5 3" xfId="24655" xr:uid="{3303AEAD-1DB4-4DA3-9B4E-54CEA6025D7E}"/>
    <cellStyle name="40% - Akzent1 4 5 4" xfId="41317" xr:uid="{59FD0916-9132-423A-B2DF-2287CA522A6B}"/>
    <cellStyle name="40% - Akzent1 4 6" xfId="5220" xr:uid="{C247FE72-9B7D-4B65-A55D-DD9C11F3B78C}"/>
    <cellStyle name="40% - Akzent1 4 6 2" xfId="5221" xr:uid="{2F49EC6A-978A-4B51-91E4-E8CD9ACA894D}"/>
    <cellStyle name="40% - Akzent1 4 6 2 2" xfId="24658" xr:uid="{6EB42022-BBEC-4506-8680-A0A0210252AB}"/>
    <cellStyle name="40% - Akzent1 4 6 3" xfId="24657" xr:uid="{8F94FCAF-A7D7-4A39-98FB-E6C360CE7DB2}"/>
    <cellStyle name="40% - Akzent1 4 7" xfId="5222" xr:uid="{34123E00-6E64-4F94-93AB-DEEC73EA62B6}"/>
    <cellStyle name="40% - Akzent1 4 7 2" xfId="5223" xr:uid="{FCD6FC78-07AC-4EDA-9918-2DF74362DFDF}"/>
    <cellStyle name="40% - Akzent1 4 7 2 2" xfId="24660" xr:uid="{D20CFDFF-0D57-4CD1-8068-82295A66D824}"/>
    <cellStyle name="40% - Akzent1 4 7 3" xfId="24659" xr:uid="{EEB43D45-5317-4CCD-9042-90FB181A24B5}"/>
    <cellStyle name="40% - Akzent1 4 8" xfId="5224" xr:uid="{3A0D32BA-3E71-4538-91B5-7AAE2D1D4E77}"/>
    <cellStyle name="40% - Akzent1 4 8 2" xfId="5225" xr:uid="{BED35A81-DB85-49D3-AFF2-C3E03F80228F}"/>
    <cellStyle name="40% - Akzent1 4 8 2 2" xfId="24662" xr:uid="{C0700739-7653-4992-85FD-174C4AD06871}"/>
    <cellStyle name="40% - Akzent1 4 8 3" xfId="24661" xr:uid="{2D9D5594-47BC-4A50-A805-9C989EF2362B}"/>
    <cellStyle name="40% - Akzent1 4 9" xfId="5226" xr:uid="{D23E7553-6EB4-4626-A3A7-24190D01F0D4}"/>
    <cellStyle name="40% - Akzent1 4 9 2" xfId="5227" xr:uid="{56F156D1-9D5E-4928-BA23-5D8578BDC2A8}"/>
    <cellStyle name="40% - Akzent1 4 9 2 2" xfId="24664" xr:uid="{24F52F3B-AED3-4422-BD0B-6C5C80AE89B7}"/>
    <cellStyle name="40% - Akzent1 4 9 3" xfId="24663" xr:uid="{33B3A0A0-37ED-441B-8A95-16B81E88A566}"/>
    <cellStyle name="40% - Akzent1 40" xfId="5228" xr:uid="{4437EE92-A35C-48C5-9B6B-41FA4E86A357}"/>
    <cellStyle name="40% - Akzent1 40 2" xfId="5229" xr:uid="{63214BA2-A5BC-445F-8602-F7A10F7FC266}"/>
    <cellStyle name="40% - Akzent1 40 2 2" xfId="24666" xr:uid="{0D6D8684-6AAD-4B76-9DA0-DAEA67FAEBFE}"/>
    <cellStyle name="40% - Akzent1 40 3" xfId="24665" xr:uid="{65808F33-7E94-432B-AF5B-A3AE884CCF0C}"/>
    <cellStyle name="40% - Akzent1 41" xfId="5230" xr:uid="{80465FD3-1424-49E2-A9EA-D1E4EBC79049}"/>
    <cellStyle name="40% - Akzent1 41 2" xfId="5231" xr:uid="{43704C8D-6283-42D2-9CC3-54E4569263B7}"/>
    <cellStyle name="40% - Akzent1 41 2 2" xfId="24668" xr:uid="{3677E3DA-9051-427D-BAE2-15F9292518E5}"/>
    <cellStyle name="40% - Akzent1 41 3" xfId="24667" xr:uid="{773E1957-0F46-4B8A-8EDC-901D157581C2}"/>
    <cellStyle name="40% - Akzent1 42" xfId="5232" xr:uid="{62904274-5383-47D5-A052-6E317DF1103E}"/>
    <cellStyle name="40% - Akzent1 42 2" xfId="5233" xr:uid="{87E48DB9-09CE-4A08-B32B-C82C2117D3BD}"/>
    <cellStyle name="40% - Akzent1 42 2 2" xfId="24670" xr:uid="{C44B555D-F279-4FC0-A78A-0CBBA99F0C9A}"/>
    <cellStyle name="40% - Akzent1 42 3" xfId="24669" xr:uid="{B962E574-D95C-4FCF-9A74-54509C95FF94}"/>
    <cellStyle name="40% - Akzent1 43" xfId="5234" xr:uid="{48A78450-8375-4005-9257-3B48E51946FE}"/>
    <cellStyle name="40% - Akzent1 43 2" xfId="5235" xr:uid="{3FE366DE-1C8F-4943-B2EE-2537A78D7245}"/>
    <cellStyle name="40% - Akzent1 43 2 2" xfId="24672" xr:uid="{172097C7-B519-47C1-B05F-6F6D693AE8E9}"/>
    <cellStyle name="40% - Akzent1 43 3" xfId="24671" xr:uid="{E4ED46C6-0D02-49F4-BF9F-CF49DB696D82}"/>
    <cellStyle name="40% - Akzent1 44" xfId="5236" xr:uid="{7841EC62-D76E-4FAC-BAE3-65B93232E819}"/>
    <cellStyle name="40% - Akzent1 44 2" xfId="5237" xr:uid="{E5C511A6-8812-4D5B-A8D0-F327FEBCE949}"/>
    <cellStyle name="40% - Akzent1 44 2 2" xfId="24674" xr:uid="{42D31B98-8D26-46F9-A0F1-53A36BDCE080}"/>
    <cellStyle name="40% - Akzent1 44 3" xfId="24673" xr:uid="{4CB556B6-6775-47A2-B6DC-751A34D720E5}"/>
    <cellStyle name="40% - Akzent1 45" xfId="5238" xr:uid="{D10726DF-7D63-437F-9CE9-2BFB057DBDAE}"/>
    <cellStyle name="40% - Akzent1 45 2" xfId="5239" xr:uid="{72977962-72F5-41E6-A395-3D1C12C234ED}"/>
    <cellStyle name="40% - Akzent1 45 2 2" xfId="24676" xr:uid="{F6F944A8-518C-4A3B-B6CB-9890FEAE7D98}"/>
    <cellStyle name="40% - Akzent1 45 3" xfId="24675" xr:uid="{BF005D22-8453-4A32-A343-FB2901EEE32F}"/>
    <cellStyle name="40% - Akzent1 46" xfId="5240" xr:uid="{FF3FFC87-94EA-4919-A480-B155B11BF5E3}"/>
    <cellStyle name="40% - Akzent1 46 2" xfId="5241" xr:uid="{BD18E317-2982-4CE0-9ABE-F495DB8CDC2F}"/>
    <cellStyle name="40% - Akzent1 46 2 2" xfId="24678" xr:uid="{1D34E504-E7D5-4E16-AAC9-881F247A4C9D}"/>
    <cellStyle name="40% - Akzent1 46 3" xfId="24677" xr:uid="{6EFB324A-C41C-4B49-A055-BF0AE9A70656}"/>
    <cellStyle name="40% - Akzent1 47" xfId="5242" xr:uid="{15CA1D35-BD7D-41EF-B8C8-63C3248A9E5A}"/>
    <cellStyle name="40% - Akzent1 47 2" xfId="5243" xr:uid="{D7DA7859-41F3-4297-9238-75C046CE8A6C}"/>
    <cellStyle name="40% - Akzent1 47 2 2" xfId="24680" xr:uid="{64C11CB0-7B05-4964-84F1-6C460D7904D2}"/>
    <cellStyle name="40% - Akzent1 47 3" xfId="24679" xr:uid="{E993075B-13BF-4D89-A4C4-CBAB6AA14D2F}"/>
    <cellStyle name="40% - Akzent1 48" xfId="5244" xr:uid="{87520F76-D086-49F4-AF9A-A383A91B2706}"/>
    <cellStyle name="40% - Akzent1 48 2" xfId="5245" xr:uid="{DAA458C7-CB94-4587-99D6-016F5BBD5BF1}"/>
    <cellStyle name="40% - Akzent1 48 2 2" xfId="24682" xr:uid="{5DABD3D4-75F2-46E9-93B2-5FE803422C63}"/>
    <cellStyle name="40% - Akzent1 48 3" xfId="24681" xr:uid="{54AEC430-4485-4EE8-A62E-338632741041}"/>
    <cellStyle name="40% - Akzent1 49" xfId="5246" xr:uid="{93772EF5-C3AD-4A57-82B1-B0A141B7EFB7}"/>
    <cellStyle name="40% - Akzent1 49 2" xfId="5247" xr:uid="{9A07ADD3-0CAD-4781-8D61-B7FEC562A44F}"/>
    <cellStyle name="40% - Akzent1 49 2 2" xfId="24684" xr:uid="{D9A058DE-A0F6-433C-87E1-062B763934C6}"/>
    <cellStyle name="40% - Akzent1 49 3" xfId="24683" xr:uid="{BC0B988F-5F32-4A77-BA6E-D7871300E79C}"/>
    <cellStyle name="40% - Akzent1 5" xfId="5248" xr:uid="{ED83D2D9-A487-47F0-BC1A-06424E701EB7}"/>
    <cellStyle name="40% - Akzent1 5 10" xfId="5249" xr:uid="{624A3878-5A51-41CE-BD70-158949C081DC}"/>
    <cellStyle name="40% - Akzent1 5 10 2" xfId="5250" xr:uid="{AB94F7DF-5884-4A80-BC9A-D33B00EF40F2}"/>
    <cellStyle name="40% - Akzent1 5 10 2 2" xfId="24687" xr:uid="{3A525484-54E9-409B-9CAE-88376750D83A}"/>
    <cellStyle name="40% - Akzent1 5 10 3" xfId="24686" xr:uid="{39C1628E-1A4D-4D13-9190-9EFDA331F107}"/>
    <cellStyle name="40% - Akzent1 5 11" xfId="5251" xr:uid="{E4F61E39-3A51-4288-AFFC-610AD2D5A92E}"/>
    <cellStyle name="40% - Akzent1 5 11 2" xfId="5252" xr:uid="{55D1D9E2-C719-4631-8D53-718307B70B25}"/>
    <cellStyle name="40% - Akzent1 5 11 2 2" xfId="24689" xr:uid="{6D31B062-1D04-4542-9358-FBB0AAA755A5}"/>
    <cellStyle name="40% - Akzent1 5 11 3" xfId="24688" xr:uid="{24C82ED9-F30E-4476-9018-876530B3D72F}"/>
    <cellStyle name="40% - Akzent1 5 12" xfId="5253" xr:uid="{9F1E268E-D0A0-4931-8667-BA0B0D5D166A}"/>
    <cellStyle name="40% - Akzent1 5 12 2" xfId="5254" xr:uid="{399DCB0D-D02D-4F14-9BF7-D8A8896F08C1}"/>
    <cellStyle name="40% - Akzent1 5 12 2 2" xfId="24691" xr:uid="{E617F976-D12E-4AE2-AA33-A1950AC2B5DD}"/>
    <cellStyle name="40% - Akzent1 5 12 3" xfId="24690" xr:uid="{183D98FF-3635-4E68-A348-BC3470555896}"/>
    <cellStyle name="40% - Akzent1 5 13" xfId="5255" xr:uid="{3181300F-6165-4413-9166-7E2A21D500D7}"/>
    <cellStyle name="40% - Akzent1 5 13 2" xfId="5256" xr:uid="{A2966339-DF52-40DC-B1E0-0AFE1684CDAF}"/>
    <cellStyle name="40% - Akzent1 5 13 2 2" xfId="24693" xr:uid="{F8833D1C-80BF-4D9A-8197-0544F756F8C0}"/>
    <cellStyle name="40% - Akzent1 5 13 3" xfId="24692" xr:uid="{DA967E60-0F65-44FE-9C8B-A74AFAF6AB82}"/>
    <cellStyle name="40% - Akzent1 5 14" xfId="5257" xr:uid="{FA94F716-B604-4387-B358-87334293E902}"/>
    <cellStyle name="40% - Akzent1 5 14 2" xfId="5258" xr:uid="{1AC651C2-1436-40FD-8450-31D6DA6ECDF0}"/>
    <cellStyle name="40% - Akzent1 5 14 2 2" xfId="24695" xr:uid="{1C068A3F-5D67-4018-AC19-E477829240E9}"/>
    <cellStyle name="40% - Akzent1 5 14 3" xfId="24694" xr:uid="{24081C3A-D5BF-4AAC-9F56-9DD55334E623}"/>
    <cellStyle name="40% - Akzent1 5 15" xfId="5259" xr:uid="{EB956E7F-D381-403C-930C-12AB88A2577F}"/>
    <cellStyle name="40% - Akzent1 5 15 2" xfId="5260" xr:uid="{C91C555E-F718-40F5-839D-B91F4D44C2B1}"/>
    <cellStyle name="40% - Akzent1 5 15 2 2" xfId="24697" xr:uid="{C85B4749-A615-41E9-87AE-6FB8DF46DFAA}"/>
    <cellStyle name="40% - Akzent1 5 15 3" xfId="24696" xr:uid="{A3E7B910-75FC-44C5-9401-AABFE872A77B}"/>
    <cellStyle name="40% - Akzent1 5 16" xfId="5261" xr:uid="{DEC37A9A-DD13-4770-8B7F-DA99F7216CFD}"/>
    <cellStyle name="40% - Akzent1 5 16 2" xfId="5262" xr:uid="{9286A9C9-7AF3-4945-9CAC-625EA184472D}"/>
    <cellStyle name="40% - Akzent1 5 16 2 2" xfId="24699" xr:uid="{0388D485-4FD4-4D8E-9C7B-FCC86B014D16}"/>
    <cellStyle name="40% - Akzent1 5 16 3" xfId="24698" xr:uid="{73D5CD76-EC31-4D54-B934-9C81E016400F}"/>
    <cellStyle name="40% - Akzent1 5 17" xfId="5263" xr:uid="{8795250D-C96A-416D-AE41-C9E2FF84025B}"/>
    <cellStyle name="40% - Akzent1 5 17 2" xfId="5264" xr:uid="{AC435B0D-B13E-41BF-9500-E5784ACA8EE0}"/>
    <cellStyle name="40% - Akzent1 5 17 2 2" xfId="24701" xr:uid="{02644B23-4980-49EE-AF32-85C8252A8FCC}"/>
    <cellStyle name="40% - Akzent1 5 17 3" xfId="24700" xr:uid="{773BA709-EC98-4EA9-A221-58470807B549}"/>
    <cellStyle name="40% - Akzent1 5 18" xfId="5265" xr:uid="{0C3D3CC3-E235-4784-9896-052ADC99A424}"/>
    <cellStyle name="40% - Akzent1 5 18 2" xfId="5266" xr:uid="{DE8B2F3D-6820-4892-83BC-243EA7BF51B4}"/>
    <cellStyle name="40% - Akzent1 5 18 2 2" xfId="24703" xr:uid="{31DFEC5B-BC14-4278-8FA2-FA01657FF4F6}"/>
    <cellStyle name="40% - Akzent1 5 18 3" xfId="24702" xr:uid="{183FE4D7-A686-4417-8CC4-E6674D2A54DD}"/>
    <cellStyle name="40% - Akzent1 5 19" xfId="5267" xr:uid="{742A8E25-7FB5-469A-B7D0-1B442CA66171}"/>
    <cellStyle name="40% - Akzent1 5 19 2" xfId="5268" xr:uid="{3F486BEC-94F6-4B9B-9415-BDECFBF7B362}"/>
    <cellStyle name="40% - Akzent1 5 19 2 2" xfId="24705" xr:uid="{13176FCB-686F-4C09-8985-7C40BCFE7208}"/>
    <cellStyle name="40% - Akzent1 5 19 3" xfId="24704" xr:uid="{8961EDDB-A38C-4109-B117-6A65183F933E}"/>
    <cellStyle name="40% - Akzent1 5 2" xfId="5269" xr:uid="{4353E7E9-DD58-4E79-8DA1-194B69BF5F53}"/>
    <cellStyle name="40% - Akzent1 5 2 2" xfId="5270" xr:uid="{2865EB8F-65F9-4E46-9C49-EAD6BBCA42FF}"/>
    <cellStyle name="40% - Akzent1 5 2 2 2" xfId="24707" xr:uid="{523D6C49-04A4-4E0A-A453-1EECC8B3E2C6}"/>
    <cellStyle name="40% - Akzent1 5 2 3" xfId="24706" xr:uid="{5B0379B9-A99A-41FB-A36A-DC8793551698}"/>
    <cellStyle name="40% - Akzent1 5 20" xfId="5271" xr:uid="{5B7FFABD-C6D8-49B9-A0DA-31F39CEECBCF}"/>
    <cellStyle name="40% - Akzent1 5 20 2" xfId="5272" xr:uid="{BB16B651-B4F5-46AF-981C-53808A6F63B3}"/>
    <cellStyle name="40% - Akzent1 5 20 2 2" xfId="24709" xr:uid="{7251F5F5-DE60-4B56-865D-959D7B0C3DBE}"/>
    <cellStyle name="40% - Akzent1 5 20 3" xfId="24708" xr:uid="{C6241780-EA6B-4626-9605-63726FAEE70D}"/>
    <cellStyle name="40% - Akzent1 5 21" xfId="5273" xr:uid="{37EC5572-97B7-4662-A25D-3CED115AAE2E}"/>
    <cellStyle name="40% - Akzent1 5 21 2" xfId="5274" xr:uid="{C5F7A776-F4F1-421D-87B1-E8EF28D999EB}"/>
    <cellStyle name="40% - Akzent1 5 21 2 2" xfId="24711" xr:uid="{5E0DCFC9-D9FE-46D5-A8FD-66C59A9B0D5B}"/>
    <cellStyle name="40% - Akzent1 5 21 3" xfId="24710" xr:uid="{0369D28C-2153-4D57-BB2A-39DED7428976}"/>
    <cellStyle name="40% - Akzent1 5 22" xfId="5275" xr:uid="{A38B209C-FB11-44D9-AB97-8EBEBEE3E7D7}"/>
    <cellStyle name="40% - Akzent1 5 22 2" xfId="24712" xr:uid="{B864FEE1-1555-445D-8D5D-AED071CB249B}"/>
    <cellStyle name="40% - Akzent1 5 23" xfId="5276" xr:uid="{515D5118-A420-46C6-AE57-2B5E39945FE6}"/>
    <cellStyle name="40% - Akzent1 5 23 2" xfId="24713" xr:uid="{551222A3-C16B-40F9-BB74-5C6085FCD5EB}"/>
    <cellStyle name="40% - Akzent1 5 24" xfId="24685" xr:uid="{F319945D-3EC1-405F-8152-249412275DE4}"/>
    <cellStyle name="40% - Akzent1 5 25" xfId="39308" xr:uid="{5570205D-344A-43A5-9BF2-F28D70A507F4}"/>
    <cellStyle name="40% - Akzent1 5 3" xfId="5277" xr:uid="{3D4FEA4C-05D6-46B8-83C7-FE4160E0D30A}"/>
    <cellStyle name="40% - Akzent1 5 3 2" xfId="5278" xr:uid="{AA3A3D1F-C20A-4464-840B-BD6B32C1AA0A}"/>
    <cellStyle name="40% - Akzent1 5 3 2 2" xfId="24715" xr:uid="{E5F6F6A4-60C2-4216-81D2-5706055FDDF8}"/>
    <cellStyle name="40% - Akzent1 5 3 3" xfId="24714" xr:uid="{E85CA78A-1EC3-4508-B4F9-CA51587D2A81}"/>
    <cellStyle name="40% - Akzent1 5 4" xfId="5279" xr:uid="{06F30336-0902-4AC6-8A46-6121FFA6C5E3}"/>
    <cellStyle name="40% - Akzent1 5 4 2" xfId="5280" xr:uid="{ED072766-EC51-4D06-A40E-0461C704C113}"/>
    <cellStyle name="40% - Akzent1 5 4 2 2" xfId="24717" xr:uid="{DF852D55-6D8D-43AE-8F84-21A5A27EF3B6}"/>
    <cellStyle name="40% - Akzent1 5 4 3" xfId="24716" xr:uid="{B6996928-8228-44A0-9A2C-1CAE4FE85CE2}"/>
    <cellStyle name="40% - Akzent1 5 5" xfId="5281" xr:uid="{0900597D-2646-4C2B-8FA1-A705151F6D55}"/>
    <cellStyle name="40% - Akzent1 5 5 2" xfId="5282" xr:uid="{357CED6A-32CA-4B09-8EB8-1F168B61F4EC}"/>
    <cellStyle name="40% - Akzent1 5 5 2 2" xfId="24719" xr:uid="{F3EADC14-1A62-4D0F-A945-AB295F97DCFC}"/>
    <cellStyle name="40% - Akzent1 5 5 3" xfId="24718" xr:uid="{FEA156EE-7A22-4BE3-BE60-9E46812022EB}"/>
    <cellStyle name="40% - Akzent1 5 6" xfId="5283" xr:uid="{D14EB6D9-ADD1-4454-9F72-0B3981E4D29A}"/>
    <cellStyle name="40% - Akzent1 5 6 2" xfId="5284" xr:uid="{E682CDBA-78AA-4D88-870E-D1C0FB18930F}"/>
    <cellStyle name="40% - Akzent1 5 6 2 2" xfId="24721" xr:uid="{42F0D37E-9C80-444C-806D-F31ACD44C16C}"/>
    <cellStyle name="40% - Akzent1 5 6 3" xfId="24720" xr:uid="{CE345C93-02B5-468E-A2DF-FF3FA0F66610}"/>
    <cellStyle name="40% - Akzent1 5 7" xfId="5285" xr:uid="{DC8F9D66-4E4C-4A26-9C3C-B10281860B4F}"/>
    <cellStyle name="40% - Akzent1 5 7 2" xfId="5286" xr:uid="{71F653F0-E7C2-4311-9F45-E7B4B50E087E}"/>
    <cellStyle name="40% - Akzent1 5 7 2 2" xfId="24723" xr:uid="{00141E98-6067-4C1B-B53C-43C5704A83FD}"/>
    <cellStyle name="40% - Akzent1 5 7 3" xfId="24722" xr:uid="{B5E4CAA3-275F-46A5-8D7E-115C9C96E09F}"/>
    <cellStyle name="40% - Akzent1 5 8" xfId="5287" xr:uid="{CBBC805E-DDD8-49B3-8D12-BBDBF1360F9E}"/>
    <cellStyle name="40% - Akzent1 5 8 2" xfId="5288" xr:uid="{747FA42E-B2C6-442F-BE14-6220BAD9578B}"/>
    <cellStyle name="40% - Akzent1 5 8 2 2" xfId="24725" xr:uid="{F26A7A4C-4FC9-4094-9DEA-662F563B64E0}"/>
    <cellStyle name="40% - Akzent1 5 8 3" xfId="24724" xr:uid="{99FCDBF1-139D-4C18-A9D4-1FA93551D521}"/>
    <cellStyle name="40% - Akzent1 5 9" xfId="5289" xr:uid="{6440B7A1-C59A-4D93-BC2B-E4AFB77D36F3}"/>
    <cellStyle name="40% - Akzent1 5 9 2" xfId="5290" xr:uid="{656F59AB-E5AD-4CD0-BF5D-8E02B68F6C8A}"/>
    <cellStyle name="40% - Akzent1 5 9 2 2" xfId="24727" xr:uid="{3FE1103C-6EBC-4C24-8D8C-F4E621AE8CF1}"/>
    <cellStyle name="40% - Akzent1 5 9 3" xfId="24726" xr:uid="{2A80455E-2D7E-41E8-8D4F-D6E1FFCE329A}"/>
    <cellStyle name="40% - Akzent1 50" xfId="5291" xr:uid="{7A88E6D6-0BA6-4A5C-A7F5-36C65D444268}"/>
    <cellStyle name="40% - Akzent1 50 2" xfId="5292" xr:uid="{AC85F475-6EFD-4695-89B6-7497CD23B635}"/>
    <cellStyle name="40% - Akzent1 50 2 2" xfId="24729" xr:uid="{2A531D6E-5BC0-464B-859F-55147836AD6E}"/>
    <cellStyle name="40% - Akzent1 50 3" xfId="24728" xr:uid="{DE42A9D3-B11B-4C90-A3CF-7898D14DC402}"/>
    <cellStyle name="40% - Akzent1 51" xfId="5293" xr:uid="{6A8947C1-6F03-42D6-B933-1872BC3DFBBE}"/>
    <cellStyle name="40% - Akzent1 51 2" xfId="5294" xr:uid="{72FA2A56-0FB5-433A-815C-9E5C253755DB}"/>
    <cellStyle name="40% - Akzent1 51 2 2" xfId="24731" xr:uid="{F8A807E9-C36D-45CA-8852-D449D8FB3C11}"/>
    <cellStyle name="40% - Akzent1 51 3" xfId="24730" xr:uid="{B148FE74-8445-4C86-B0B1-F80E055D7EC8}"/>
    <cellStyle name="40% - Akzent1 52" xfId="5295" xr:uid="{0D3FFEEC-D019-46A9-A239-F427A3385351}"/>
    <cellStyle name="40% - Akzent1 52 2" xfId="5296" xr:uid="{86222C47-67EC-417B-9283-A812E1358594}"/>
    <cellStyle name="40% - Akzent1 52 2 2" xfId="24733" xr:uid="{0222A3FA-B3DC-47AC-8988-240EC6185C4F}"/>
    <cellStyle name="40% - Akzent1 52 3" xfId="24732" xr:uid="{89C797C4-6FF6-4CCC-81BA-E022656BE4B0}"/>
    <cellStyle name="40% - Akzent1 53" xfId="5297" xr:uid="{B205DD3B-96D4-44CC-897C-4A39C54A6478}"/>
    <cellStyle name="40% - Akzent1 53 2" xfId="5298" xr:uid="{A3FA90C1-A4DF-46BF-989F-7A6E2B6D1083}"/>
    <cellStyle name="40% - Akzent1 53 2 2" xfId="24735" xr:uid="{A1127F45-3C7C-4483-83E4-05EBCAE6C795}"/>
    <cellStyle name="40% - Akzent1 53 3" xfId="24734" xr:uid="{B2ECACDF-B4FE-406C-B35C-69DEFA4EEF20}"/>
    <cellStyle name="40% - Akzent1 54" xfId="5299" xr:uid="{95C3EF6D-0D6C-4458-94E5-D7E6AC51B84F}"/>
    <cellStyle name="40% - Akzent1 54 2" xfId="5300" xr:uid="{AF56A49A-77AE-484B-968B-6F15FA6F88DF}"/>
    <cellStyle name="40% - Akzent1 54 2 2" xfId="24737" xr:uid="{7AE4B339-4330-43CE-AB3D-518919CDEFDE}"/>
    <cellStyle name="40% - Akzent1 54 3" xfId="24736" xr:uid="{38611B08-39E2-4D04-A1E8-EF4C6D161F5F}"/>
    <cellStyle name="40% - Akzent1 55" xfId="5301" xr:uid="{C5F36D8C-311C-45A4-8C87-78CB4E2D718B}"/>
    <cellStyle name="40% - Akzent1 55 2" xfId="5302" xr:uid="{7D258E1F-2E7C-4B5B-8D69-B9D74D8638FC}"/>
    <cellStyle name="40% - Akzent1 55 2 2" xfId="24739" xr:uid="{E5EF32CF-5906-410D-B514-691043F2F91E}"/>
    <cellStyle name="40% - Akzent1 55 3" xfId="24738" xr:uid="{A9A02C7B-9971-4403-9C7D-62C9FA116A2D}"/>
    <cellStyle name="40% - Akzent1 56" xfId="5303" xr:uid="{2ABDC7DE-7929-4949-B443-549C8341D448}"/>
    <cellStyle name="40% - Akzent1 56 2" xfId="5304" xr:uid="{DCB47C85-99F3-40B1-B7D6-B1241CDBEED1}"/>
    <cellStyle name="40% - Akzent1 56 2 2" xfId="24741" xr:uid="{6E2E87E0-E409-4263-ABDC-3362F522628B}"/>
    <cellStyle name="40% - Akzent1 56 3" xfId="24740" xr:uid="{EA93080F-4C37-404A-9376-D8E9A65022E8}"/>
    <cellStyle name="40% - Akzent1 57" xfId="5305" xr:uid="{38A596E7-B920-41F3-ACBE-0C1FE3168B48}"/>
    <cellStyle name="40% - Akzent1 57 2" xfId="5306" xr:uid="{0FD29847-CA2C-48F1-BA55-218765057648}"/>
    <cellStyle name="40% - Akzent1 57 2 2" xfId="24743" xr:uid="{F4F31150-AC53-4E13-9871-008039DFE9E4}"/>
    <cellStyle name="40% - Akzent1 57 3" xfId="24742" xr:uid="{73CA3222-9157-4A7F-ACFD-D3B2CA8B8DB7}"/>
    <cellStyle name="40% - Akzent1 58" xfId="5307" xr:uid="{93ED24C9-E6E5-49EB-99BB-E4135D42A726}"/>
    <cellStyle name="40% - Akzent1 58 2" xfId="5308" xr:uid="{A0F54A86-D7DC-4DDC-9F78-E3A9D084DE48}"/>
    <cellStyle name="40% - Akzent1 58 2 2" xfId="24745" xr:uid="{AC2D0923-77D8-45BB-9A24-C9B71A217F7D}"/>
    <cellStyle name="40% - Akzent1 58 3" xfId="24744" xr:uid="{AF620016-2C8F-468E-BFCF-DE81F13CA7B9}"/>
    <cellStyle name="40% - Akzent1 59" xfId="5309" xr:uid="{2B5CA98D-552E-4E3A-8BD1-1E35E3B85003}"/>
    <cellStyle name="40% - Akzent1 59 2" xfId="5310" xr:uid="{40E00DF6-ECCA-4E33-8857-8274F53B5532}"/>
    <cellStyle name="40% - Akzent1 59 2 2" xfId="24747" xr:uid="{37531EAB-155E-4F77-BED4-F98DEB86B1D7}"/>
    <cellStyle name="40% - Akzent1 59 3" xfId="24746" xr:uid="{B1067AD3-A48F-4C9D-A1DB-CE4F509BC455}"/>
    <cellStyle name="40% - Akzent1 6" xfId="5311" xr:uid="{A702EB4F-AE27-4873-949F-3E7E26A70B8B}"/>
    <cellStyle name="40% - Akzent1 6 10" xfId="5312" xr:uid="{624ED994-420A-4C6A-8C7A-AE721CA3C59F}"/>
    <cellStyle name="40% - Akzent1 6 10 2" xfId="5313" xr:uid="{4F35056A-3976-4A2A-A4DB-BB20FBA4A8BA}"/>
    <cellStyle name="40% - Akzent1 6 10 2 2" xfId="24750" xr:uid="{139C856D-8715-4D12-9ABA-58314180E8FA}"/>
    <cellStyle name="40% - Akzent1 6 10 3" xfId="24749" xr:uid="{08DC4A9D-611D-4145-B915-2FF6918A3155}"/>
    <cellStyle name="40% - Akzent1 6 11" xfId="5314" xr:uid="{0F9573E1-7637-46F2-8176-F286AE397483}"/>
    <cellStyle name="40% - Akzent1 6 11 2" xfId="5315" xr:uid="{15B7F8C6-7B77-48DC-A16D-4B595A746563}"/>
    <cellStyle name="40% - Akzent1 6 11 2 2" xfId="24752" xr:uid="{E2F89732-1E3B-4692-BC6E-61A5698CB51F}"/>
    <cellStyle name="40% - Akzent1 6 11 3" xfId="24751" xr:uid="{868ADD01-4098-4CE8-A94F-30BDA90BECC3}"/>
    <cellStyle name="40% - Akzent1 6 12" xfId="5316" xr:uid="{01DF7C96-AF58-4D73-9516-EEB4019DBD29}"/>
    <cellStyle name="40% - Akzent1 6 12 2" xfId="5317" xr:uid="{06262A3E-1275-45F6-A315-FD3BA58328ED}"/>
    <cellStyle name="40% - Akzent1 6 12 2 2" xfId="24754" xr:uid="{AAC15CF2-64D0-4E67-8649-F1BEF161BAFE}"/>
    <cellStyle name="40% - Akzent1 6 12 3" xfId="24753" xr:uid="{D8159B7C-50E9-44DD-9EEB-B7A534AD63E0}"/>
    <cellStyle name="40% - Akzent1 6 13" xfId="5318" xr:uid="{3E9FDB30-146F-4142-843E-00B94293386E}"/>
    <cellStyle name="40% - Akzent1 6 13 2" xfId="5319" xr:uid="{C3B930E0-DF53-417E-99EE-E13E819CE72D}"/>
    <cellStyle name="40% - Akzent1 6 13 2 2" xfId="24756" xr:uid="{9A958D2B-14AA-487B-8B2A-EA987AC16EDE}"/>
    <cellStyle name="40% - Akzent1 6 13 3" xfId="24755" xr:uid="{B0FE0E1A-06CA-461F-ACA2-2AF17D160806}"/>
    <cellStyle name="40% - Akzent1 6 14" xfId="5320" xr:uid="{41ACA378-9BF3-4A3A-9518-D98274174263}"/>
    <cellStyle name="40% - Akzent1 6 14 2" xfId="5321" xr:uid="{B3BB9031-FE11-4F29-BC9F-6E5A6F940EEE}"/>
    <cellStyle name="40% - Akzent1 6 14 2 2" xfId="24758" xr:uid="{A0CD9C22-DFD0-4CFF-93A4-7D1C42DCB297}"/>
    <cellStyle name="40% - Akzent1 6 14 3" xfId="24757" xr:uid="{6FA973F8-43EE-4393-A7A2-B15C96938649}"/>
    <cellStyle name="40% - Akzent1 6 15" xfId="5322" xr:uid="{820CED5F-150E-45ED-98AE-27286F4C42EE}"/>
    <cellStyle name="40% - Akzent1 6 15 2" xfId="5323" xr:uid="{40C6CF78-59F2-4880-8B48-D10E834F557A}"/>
    <cellStyle name="40% - Akzent1 6 15 2 2" xfId="24760" xr:uid="{2A1545CB-146A-4872-B7E6-979FA11F9CA3}"/>
    <cellStyle name="40% - Akzent1 6 15 3" xfId="24759" xr:uid="{C5A71A09-131B-4DFA-B3F8-BB9875D2ABE8}"/>
    <cellStyle name="40% - Akzent1 6 16" xfId="5324" xr:uid="{B67D23EE-F8E8-4B96-80DE-21929A0D9179}"/>
    <cellStyle name="40% - Akzent1 6 16 2" xfId="5325" xr:uid="{8C740855-025E-4AED-8DD6-6C06209D945F}"/>
    <cellStyle name="40% - Akzent1 6 16 2 2" xfId="24762" xr:uid="{F79E2131-AB15-4C18-ADD9-E58F04B70F1D}"/>
    <cellStyle name="40% - Akzent1 6 16 3" xfId="24761" xr:uid="{11377202-B240-487D-81F3-6C5CDFD6D941}"/>
    <cellStyle name="40% - Akzent1 6 17" xfId="5326" xr:uid="{4CF80F0E-0C8E-4BB0-AAF3-8E15BF6CE46E}"/>
    <cellStyle name="40% - Akzent1 6 17 2" xfId="5327" xr:uid="{8F9A7B3E-1F9B-4F22-85D8-D2E3C855FB09}"/>
    <cellStyle name="40% - Akzent1 6 17 2 2" xfId="24764" xr:uid="{E93EB7FA-6CBC-407C-8E8F-E1916EF0C46B}"/>
    <cellStyle name="40% - Akzent1 6 17 3" xfId="24763" xr:uid="{F21FDB0C-E066-46F0-BE09-8580C8787EAD}"/>
    <cellStyle name="40% - Akzent1 6 18" xfId="5328" xr:uid="{43E6E099-616A-4B55-9269-7667B578B56D}"/>
    <cellStyle name="40% - Akzent1 6 18 2" xfId="5329" xr:uid="{C51E6BB9-1129-4986-8663-B6EE0C7AEF28}"/>
    <cellStyle name="40% - Akzent1 6 18 2 2" xfId="24766" xr:uid="{D6E9A2AF-3D47-4E3A-A287-A7D1E799CEA6}"/>
    <cellStyle name="40% - Akzent1 6 18 3" xfId="24765" xr:uid="{F055B221-07D5-4CA1-B8C6-076BFAA5458A}"/>
    <cellStyle name="40% - Akzent1 6 19" xfId="5330" xr:uid="{36A928E9-BD44-42A3-B520-23EC2E6BCB61}"/>
    <cellStyle name="40% - Akzent1 6 19 2" xfId="5331" xr:uid="{A7F1AB62-ECAD-4EA6-A6EA-E33911E4421E}"/>
    <cellStyle name="40% - Akzent1 6 19 2 2" xfId="24768" xr:uid="{6053384C-461C-4210-BDA1-DFF24F52F6FA}"/>
    <cellStyle name="40% - Akzent1 6 19 3" xfId="24767" xr:uid="{0303E8F4-EF3E-4494-BB20-A98CF79BF91F}"/>
    <cellStyle name="40% - Akzent1 6 2" xfId="5332" xr:uid="{759847EE-3785-4D41-809D-434BF3C6EA37}"/>
    <cellStyle name="40% - Akzent1 6 2 2" xfId="24769" xr:uid="{96A0C7F1-CAC8-4E2C-8FC7-104E877D6C3D}"/>
    <cellStyle name="40% - Akzent1 6 20" xfId="5333" xr:uid="{A602C66E-36DE-45CB-BB9E-81000B2446E1}"/>
    <cellStyle name="40% - Akzent1 6 20 2" xfId="5334" xr:uid="{CDEA6DB5-B486-4072-8410-B1EC9B3F5885}"/>
    <cellStyle name="40% - Akzent1 6 20 2 2" xfId="24771" xr:uid="{445E066E-F2B8-4CDA-A0C0-D0165E64AC8B}"/>
    <cellStyle name="40% - Akzent1 6 20 3" xfId="24770" xr:uid="{7EF1DD83-2B22-4811-812E-CD9AADE021EA}"/>
    <cellStyle name="40% - Akzent1 6 21" xfId="5335" xr:uid="{9F5C2099-0D91-466F-BA21-4AA6743712D3}"/>
    <cellStyle name="40% - Akzent1 6 21 2" xfId="5336" xr:uid="{767486E3-F822-4070-8A05-062E33E05BFA}"/>
    <cellStyle name="40% - Akzent1 6 21 2 2" xfId="24773" xr:uid="{10D853F0-6328-418E-9BAD-EA7949076D8B}"/>
    <cellStyle name="40% - Akzent1 6 21 3" xfId="24772" xr:uid="{27E15055-72BE-41D6-94F0-F69E5F9EF29B}"/>
    <cellStyle name="40% - Akzent1 6 22" xfId="5337" xr:uid="{96E39478-B322-47EE-87C8-D089ABAA5522}"/>
    <cellStyle name="40% - Akzent1 6 22 2" xfId="24774" xr:uid="{DB2B042D-1CFD-4823-8FDC-8AA3AA9C8803}"/>
    <cellStyle name="40% - Akzent1 6 23" xfId="5338" xr:uid="{432543C7-45C0-4358-B1D5-1F1EBE17827D}"/>
    <cellStyle name="40% - Akzent1 6 23 2" xfId="24775" xr:uid="{7ACF6C81-B02B-4DE3-B5C1-A61094A2E7AA}"/>
    <cellStyle name="40% - Akzent1 6 24" xfId="24748" xr:uid="{89394009-D1E3-40B3-94C6-AFE48380006C}"/>
    <cellStyle name="40% - Akzent1 6 25" xfId="39303" xr:uid="{564B3C88-CC7F-4CDF-900F-7FB33B3BF498}"/>
    <cellStyle name="40% - Akzent1 6 3" xfId="5339" xr:uid="{49A2DBF7-BABA-407A-97B0-FF116B8A75CF}"/>
    <cellStyle name="40% - Akzent1 6 3 2" xfId="5340" xr:uid="{8AF62238-9DA1-4838-A03F-6B28E2DC3C7F}"/>
    <cellStyle name="40% - Akzent1 6 3 2 2" xfId="24777" xr:uid="{15E3A369-B3A2-49B0-A631-89708A3E3C45}"/>
    <cellStyle name="40% - Akzent1 6 3 3" xfId="24776" xr:uid="{0A18D30F-C9C8-4D3F-950C-0D6CFD94CDEC}"/>
    <cellStyle name="40% - Akzent1 6 4" xfId="5341" xr:uid="{D0355A1F-9A04-4381-A839-CF53692D73E2}"/>
    <cellStyle name="40% - Akzent1 6 4 2" xfId="5342" xr:uid="{A805CB59-03D9-4995-ADE0-8540C24180E4}"/>
    <cellStyle name="40% - Akzent1 6 4 2 2" xfId="24779" xr:uid="{ECCB6872-FE3B-41C2-95B2-07540FF91F7C}"/>
    <cellStyle name="40% - Akzent1 6 4 3" xfId="24778" xr:uid="{D5BEA54F-5684-4B46-B2D8-7C68FD230F58}"/>
    <cellStyle name="40% - Akzent1 6 5" xfId="5343" xr:uid="{7C0DFAA4-FE23-4C21-85B4-A8182152E83B}"/>
    <cellStyle name="40% - Akzent1 6 5 2" xfId="5344" xr:uid="{0DCC8165-3D3A-4B5C-8F15-B456C21DEC17}"/>
    <cellStyle name="40% - Akzent1 6 5 2 2" xfId="24781" xr:uid="{5396D964-22CB-4035-9E04-AA4253A7953A}"/>
    <cellStyle name="40% - Akzent1 6 5 3" xfId="24780" xr:uid="{2A3162A1-5136-4CCA-A15E-5138059E1866}"/>
    <cellStyle name="40% - Akzent1 6 6" xfId="5345" xr:uid="{76CB9F66-87AC-4C55-A2D0-0DB895617831}"/>
    <cellStyle name="40% - Akzent1 6 6 2" xfId="5346" xr:uid="{2B7C68B5-B951-4CB2-A485-6815C4C178F6}"/>
    <cellStyle name="40% - Akzent1 6 6 2 2" xfId="24783" xr:uid="{72CE153C-EBB0-4DCD-A90D-07FBD4377961}"/>
    <cellStyle name="40% - Akzent1 6 6 3" xfId="24782" xr:uid="{96BC2484-F952-494D-AFD7-058AADA65A1A}"/>
    <cellStyle name="40% - Akzent1 6 7" xfId="5347" xr:uid="{9DDEADA0-C2BF-4CF5-80B4-F26A8D51C639}"/>
    <cellStyle name="40% - Akzent1 6 7 2" xfId="5348" xr:uid="{D69CA0E8-81A7-4AD0-A5EF-A75C3C541314}"/>
    <cellStyle name="40% - Akzent1 6 7 2 2" xfId="24785" xr:uid="{06741A38-B3B2-44C6-94C5-16AE6FF1F1A7}"/>
    <cellStyle name="40% - Akzent1 6 7 3" xfId="24784" xr:uid="{A58200D7-2E2C-4DCC-BE9E-63EAC29675AD}"/>
    <cellStyle name="40% - Akzent1 6 8" xfId="5349" xr:uid="{7EABF6D2-3476-4540-B7D3-052668007465}"/>
    <cellStyle name="40% - Akzent1 6 8 2" xfId="5350" xr:uid="{E033A720-F1FD-4FEC-A50B-28B0654A203F}"/>
    <cellStyle name="40% - Akzent1 6 8 2 2" xfId="24787" xr:uid="{37EED13B-7DA4-49FC-A1BF-F1082170FB76}"/>
    <cellStyle name="40% - Akzent1 6 8 3" xfId="24786" xr:uid="{104ADA0D-5C39-4865-B583-49B0E4E15FAC}"/>
    <cellStyle name="40% - Akzent1 6 9" xfId="5351" xr:uid="{ADFF2440-BDB6-494F-B2FA-E0721572B32B}"/>
    <cellStyle name="40% - Akzent1 6 9 2" xfId="5352" xr:uid="{C5AA0593-1760-4377-8C74-EF100BEB4B7A}"/>
    <cellStyle name="40% - Akzent1 6 9 2 2" xfId="24789" xr:uid="{DEBAB9EC-61C4-48C3-A76F-4046CA2B6A3C}"/>
    <cellStyle name="40% - Akzent1 6 9 3" xfId="24788" xr:uid="{83017EF3-D266-4C59-8A7C-C6FB1BFFABC0}"/>
    <cellStyle name="40% - Akzent1 60" xfId="5353" xr:uid="{99CF2017-F095-4631-9BCE-46A887AF0F40}"/>
    <cellStyle name="40% - Akzent1 60 2" xfId="5354" xr:uid="{35AEBD72-32EC-4DB3-A7FE-216C21A34C95}"/>
    <cellStyle name="40% - Akzent1 60 2 2" xfId="24791" xr:uid="{803929E2-C2A0-4293-A5EF-971FC9E6F00D}"/>
    <cellStyle name="40% - Akzent1 60 3" xfId="24790" xr:uid="{9E1EFD44-8514-4AF7-8B98-A75950AB39B1}"/>
    <cellStyle name="40% - Akzent1 61" xfId="5355" xr:uid="{335BC094-04A9-43B1-9A7C-D4BEA64389E9}"/>
    <cellStyle name="40% - Akzent1 61 2" xfId="5356" xr:uid="{075E1CCC-73A8-4CC1-AC99-1B744B13E9DE}"/>
    <cellStyle name="40% - Akzent1 61 2 2" xfId="24793" xr:uid="{DD4EB68A-BC69-4C82-941A-3BA61A2FF870}"/>
    <cellStyle name="40% - Akzent1 61 3" xfId="24792" xr:uid="{EE96EF95-3AE8-4F3F-8557-C77EB278E300}"/>
    <cellStyle name="40% - Akzent1 62" xfId="5357" xr:uid="{36EFBF4F-1873-402A-809B-7D1DEAC449DB}"/>
    <cellStyle name="40% - Akzent1 62 2" xfId="5358" xr:uid="{A433B27A-8610-4479-B15F-13E5642AE10F}"/>
    <cellStyle name="40% - Akzent1 62 2 2" xfId="24795" xr:uid="{438D4698-0A24-4C57-9342-9668F9D9AAA1}"/>
    <cellStyle name="40% - Akzent1 62 3" xfId="24794" xr:uid="{EDA86E03-4681-434E-A45C-A02F8219AE50}"/>
    <cellStyle name="40% - Akzent1 63" xfId="5359" xr:uid="{B647B107-577A-4358-8AE4-6478D0A700CC}"/>
    <cellStyle name="40% - Akzent1 63 2" xfId="5360" xr:uid="{F667972F-EA57-4702-B06D-97F33DE5BDEE}"/>
    <cellStyle name="40% - Akzent1 63 2 2" xfId="24797" xr:uid="{98ED272C-9A19-4B32-AF5A-4FBEAA039CD3}"/>
    <cellStyle name="40% - Akzent1 63 3" xfId="24796" xr:uid="{0D11A042-68C0-4822-A748-021FC32E7390}"/>
    <cellStyle name="40% - Akzent1 64" xfId="5361" xr:uid="{0ADF21F4-E5C7-4FC7-99B8-7600D202EC3E}"/>
    <cellStyle name="40% - Akzent1 64 2" xfId="5362" xr:uid="{F8F614F9-84E3-4C54-BDD2-8B446C9E4EFF}"/>
    <cellStyle name="40% - Akzent1 64 2 2" xfId="24799" xr:uid="{31D6DAB3-A04D-467B-B484-C92B700F7EB9}"/>
    <cellStyle name="40% - Akzent1 64 3" xfId="24798" xr:uid="{CA73090B-BF8F-45EE-BC83-BD6B1061E4E8}"/>
    <cellStyle name="40% - Akzent1 65" xfId="5363" xr:uid="{843FDDEB-4B1A-409B-94B7-B84FC6ECD7E6}"/>
    <cellStyle name="40% - Akzent1 65 2" xfId="5364" xr:uid="{B9E4D734-0170-4289-8236-215CDD2723C0}"/>
    <cellStyle name="40% - Akzent1 65 2 2" xfId="24801" xr:uid="{3103EDA2-781E-478A-B7BD-0E4D205551D3}"/>
    <cellStyle name="40% - Akzent1 65 3" xfId="24800" xr:uid="{B5E5A3D5-1F51-43D5-A7EA-A26EAE826044}"/>
    <cellStyle name="40% - Akzent1 66" xfId="5365" xr:uid="{75DF544D-BC79-433C-8133-9B76E7CE714B}"/>
    <cellStyle name="40% - Akzent1 66 2" xfId="5366" xr:uid="{AB1B25FD-8104-40A6-9F27-BEA04C1FDA55}"/>
    <cellStyle name="40% - Akzent1 66 2 2" xfId="24803" xr:uid="{2E53EF48-58BA-4B79-AC07-21230EEEBA4C}"/>
    <cellStyle name="40% - Akzent1 66 3" xfId="24802" xr:uid="{40C2E3EB-73D0-47D0-855B-4E4BEEC515EA}"/>
    <cellStyle name="40% - Akzent1 67" xfId="5367" xr:uid="{24CE5D0A-5A72-4162-80F2-97A5948CC63C}"/>
    <cellStyle name="40% - Akzent1 67 2" xfId="5368" xr:uid="{22919302-477E-4A33-813E-C73ACFFD39A8}"/>
    <cellStyle name="40% - Akzent1 67 2 2" xfId="24805" xr:uid="{2BCED5E0-2821-4D9C-83A9-F718A0A56525}"/>
    <cellStyle name="40% - Akzent1 67 3" xfId="24804" xr:uid="{3ED252F6-CDD8-4C06-BC05-06D6150C65C9}"/>
    <cellStyle name="40% - Akzent1 68" xfId="5369" xr:uid="{B889CA90-2BB7-47EC-AE6E-0115E6C0AC4A}"/>
    <cellStyle name="40% - Akzent1 68 2" xfId="5370" xr:uid="{B2CFDCD8-2190-47EE-A4F0-294FBA0DE2FC}"/>
    <cellStyle name="40% - Akzent1 68 2 2" xfId="24807" xr:uid="{6AF09182-C82A-4A0D-8060-AAC26A675EA0}"/>
    <cellStyle name="40% - Akzent1 68 3" xfId="24806" xr:uid="{61AE6C00-3131-470C-AC92-A87912BBB839}"/>
    <cellStyle name="40% - Akzent1 69" xfId="5371" xr:uid="{5084CE7F-1966-498F-88D0-1A54A191A9C7}"/>
    <cellStyle name="40% - Akzent1 69 2" xfId="5372" xr:uid="{4769B962-B4B0-4E09-A3C4-2C6F884AD5E4}"/>
    <cellStyle name="40% - Akzent1 69 2 2" xfId="24809" xr:uid="{1F5CDA32-168B-4F33-91E3-F38111EA095D}"/>
    <cellStyle name="40% - Akzent1 69 3" xfId="24808" xr:uid="{DC85B8CF-AF80-4E6D-B225-75BFF0A73210}"/>
    <cellStyle name="40% - Akzent1 7" xfId="5373" xr:uid="{6A87BB0E-5A80-43FE-BB57-B2A4BCF462F7}"/>
    <cellStyle name="40% - Akzent1 7 10" xfId="5374" xr:uid="{964E9581-D1E8-4B6B-ACBB-8856124AF786}"/>
    <cellStyle name="40% - Akzent1 7 10 2" xfId="5375" xr:uid="{578BE6F9-5B16-43F1-9754-CFA0796BFCBD}"/>
    <cellStyle name="40% - Akzent1 7 10 2 2" xfId="24812" xr:uid="{98C42FDB-D847-4D96-AF5A-AA6CCF0344B5}"/>
    <cellStyle name="40% - Akzent1 7 10 3" xfId="24811" xr:uid="{1607136E-6456-4D65-84D1-1DB1BC1A947A}"/>
    <cellStyle name="40% - Akzent1 7 11" xfId="5376" xr:uid="{C4F54198-E73E-4C16-895B-CB6A2175B0FB}"/>
    <cellStyle name="40% - Akzent1 7 11 2" xfId="5377" xr:uid="{7DB93E83-26DE-441F-B185-A51B645B6CFE}"/>
    <cellStyle name="40% - Akzent1 7 11 2 2" xfId="24814" xr:uid="{7AA06A8B-8E02-4522-A88F-4D699FD56D22}"/>
    <cellStyle name="40% - Akzent1 7 11 3" xfId="24813" xr:uid="{7C3F5E75-3C33-4088-92BA-8B05D6D9AA10}"/>
    <cellStyle name="40% - Akzent1 7 12" xfId="5378" xr:uid="{B7C42508-5E86-4FFF-A997-1CEC67859AD2}"/>
    <cellStyle name="40% - Akzent1 7 12 2" xfId="5379" xr:uid="{212CB5C3-A752-4663-B0EF-9C9A4E0FF152}"/>
    <cellStyle name="40% - Akzent1 7 12 2 2" xfId="24816" xr:uid="{28B2EABF-1B59-45C9-99E0-E08076431C79}"/>
    <cellStyle name="40% - Akzent1 7 12 3" xfId="24815" xr:uid="{A07AADEE-696D-4B65-99A8-1D1F2C081108}"/>
    <cellStyle name="40% - Akzent1 7 13" xfId="5380" xr:uid="{FA4075CC-CE08-4E29-B2EC-7673B23D409F}"/>
    <cellStyle name="40% - Akzent1 7 13 2" xfId="5381" xr:uid="{FE24C8F5-99A8-456F-8698-2CE424EB1DCC}"/>
    <cellStyle name="40% - Akzent1 7 13 2 2" xfId="24818" xr:uid="{15D9F585-0335-4CD9-9782-2FA456506F86}"/>
    <cellStyle name="40% - Akzent1 7 13 3" xfId="24817" xr:uid="{EC938EF9-7CA8-4F11-B3C5-BC31A79101FE}"/>
    <cellStyle name="40% - Akzent1 7 14" xfId="5382" xr:uid="{77312A2F-8E31-447F-B557-FA1D89261CE4}"/>
    <cellStyle name="40% - Akzent1 7 14 2" xfId="5383" xr:uid="{E41A5B33-0DDE-4F6A-850B-2310AA2DBB01}"/>
    <cellStyle name="40% - Akzent1 7 14 2 2" xfId="24820" xr:uid="{21984A30-ADEC-4E49-B3CA-FD8486C36EC5}"/>
    <cellStyle name="40% - Akzent1 7 14 3" xfId="24819" xr:uid="{61BFA118-C2B2-4F32-9A14-71F3239B9234}"/>
    <cellStyle name="40% - Akzent1 7 15" xfId="5384" xr:uid="{9BBB423B-372F-4A16-8E04-747C89B3D1C1}"/>
    <cellStyle name="40% - Akzent1 7 15 2" xfId="5385" xr:uid="{3D2D8B98-1490-490F-A907-527498E154AF}"/>
    <cellStyle name="40% - Akzent1 7 15 2 2" xfId="24822" xr:uid="{B5A2EC7D-5708-4B54-98C1-4A2006DFD6F8}"/>
    <cellStyle name="40% - Akzent1 7 15 3" xfId="24821" xr:uid="{07FCCE2F-BC09-4CF2-BDC7-D0C54C116B72}"/>
    <cellStyle name="40% - Akzent1 7 16" xfId="5386" xr:uid="{4A571A57-63DF-4E7E-B1E7-0CE9BF7308D8}"/>
    <cellStyle name="40% - Akzent1 7 16 2" xfId="5387" xr:uid="{3C4F8F48-911E-4F55-A7AD-8CC60EFA5649}"/>
    <cellStyle name="40% - Akzent1 7 16 2 2" xfId="24824" xr:uid="{A11F1AFD-3BC9-4348-83D2-B69ED47D808F}"/>
    <cellStyle name="40% - Akzent1 7 16 3" xfId="24823" xr:uid="{7391C3F1-D000-4DEA-BC32-0CEFE98A4A7E}"/>
    <cellStyle name="40% - Akzent1 7 17" xfId="5388" xr:uid="{90391B34-015B-411B-99DA-9C47D2883C15}"/>
    <cellStyle name="40% - Akzent1 7 17 2" xfId="5389" xr:uid="{759F503C-C491-4760-B6BD-59843CAA8D98}"/>
    <cellStyle name="40% - Akzent1 7 17 2 2" xfId="24826" xr:uid="{D2D697C3-A2B4-42AD-8D54-1FC599979AED}"/>
    <cellStyle name="40% - Akzent1 7 17 3" xfId="24825" xr:uid="{29DF3A40-00C1-4D53-AD80-B4BEEAFEF826}"/>
    <cellStyle name="40% - Akzent1 7 18" xfId="5390" xr:uid="{69845A01-CA97-49CD-99B8-4DF33276D44F}"/>
    <cellStyle name="40% - Akzent1 7 18 2" xfId="5391" xr:uid="{530EDBC6-75B9-4CAB-8A52-7F2C130724AF}"/>
    <cellStyle name="40% - Akzent1 7 18 2 2" xfId="24828" xr:uid="{C4FEA031-4B1E-4C6F-B570-FE36DCBF9B0F}"/>
    <cellStyle name="40% - Akzent1 7 18 3" xfId="24827" xr:uid="{DC0D238D-2556-4FB0-86AB-6354FB2C9283}"/>
    <cellStyle name="40% - Akzent1 7 19" xfId="5392" xr:uid="{C5CB9403-73DA-47CF-AFAE-2FAE719DEB18}"/>
    <cellStyle name="40% - Akzent1 7 19 2" xfId="5393" xr:uid="{CDC8F86D-BB1D-4717-AEA3-32B34825E792}"/>
    <cellStyle name="40% - Akzent1 7 19 2 2" xfId="24830" xr:uid="{10ECCE05-9C4F-47DD-9F00-BAC62853B5D9}"/>
    <cellStyle name="40% - Akzent1 7 19 3" xfId="24829" xr:uid="{833F4BBE-2874-409F-A908-427DE22D53F8}"/>
    <cellStyle name="40% - Akzent1 7 2" xfId="5394" xr:uid="{1019953A-6709-431B-9763-73F317C7EE47}"/>
    <cellStyle name="40% - Akzent1 7 2 2" xfId="5395" xr:uid="{2D3D52FD-7467-46E2-866F-2275D08FF7A0}"/>
    <cellStyle name="40% - Akzent1 7 2 2 2" xfId="24832" xr:uid="{D8B26B72-8A20-4E86-9CA7-16F79ED3E245}"/>
    <cellStyle name="40% - Akzent1 7 2 3" xfId="24831" xr:uid="{9BC17114-9AA2-48A4-A3BE-C1337E61CC83}"/>
    <cellStyle name="40% - Akzent1 7 20" xfId="5396" xr:uid="{4F10B5B2-3947-4116-BABC-FFD06B357DF5}"/>
    <cellStyle name="40% - Akzent1 7 20 2" xfId="5397" xr:uid="{474BA887-D045-4D43-B583-F67F8DE6EE93}"/>
    <cellStyle name="40% - Akzent1 7 20 2 2" xfId="24834" xr:uid="{98321E77-84E7-483C-BE61-0B34A76F82F5}"/>
    <cellStyle name="40% - Akzent1 7 20 3" xfId="24833" xr:uid="{FD6FBE3D-2DBE-4245-BBFD-ADFE7998332F}"/>
    <cellStyle name="40% - Akzent1 7 21" xfId="5398" xr:uid="{D1BD2F67-95C1-4AEB-A5D6-18B47AE5CBC8}"/>
    <cellStyle name="40% - Akzent1 7 21 2" xfId="5399" xr:uid="{0A5B1BBD-FEE7-40D2-8FED-966E53EB87AE}"/>
    <cellStyle name="40% - Akzent1 7 21 2 2" xfId="24836" xr:uid="{A551EF2B-5359-485E-B11D-9A83795D1881}"/>
    <cellStyle name="40% - Akzent1 7 21 3" xfId="24835" xr:uid="{090180CA-C858-4A93-BAE3-1AE8695CF786}"/>
    <cellStyle name="40% - Akzent1 7 22" xfId="5400" xr:uid="{5F29571E-61C8-4C38-A78E-D7DE42FB8B2E}"/>
    <cellStyle name="40% - Akzent1 7 22 2" xfId="24837" xr:uid="{3F720E48-7B3E-4498-A5E1-DE0F2EBD8874}"/>
    <cellStyle name="40% - Akzent1 7 23" xfId="24810" xr:uid="{9543DCFB-78D7-48B3-86A0-02AD3B3A3071}"/>
    <cellStyle name="40% - Akzent1 7 3" xfId="5401" xr:uid="{80AA2490-F97D-4B60-B72D-8BFF7FFCA986}"/>
    <cellStyle name="40% - Akzent1 7 3 2" xfId="5402" xr:uid="{15FA0EA2-1646-4200-9595-1EAD2860F330}"/>
    <cellStyle name="40% - Akzent1 7 3 2 2" xfId="24839" xr:uid="{190B5FF2-E124-41C4-AE7A-8CD3601DCFEA}"/>
    <cellStyle name="40% - Akzent1 7 3 3" xfId="24838" xr:uid="{7C403D39-E2BD-4E77-9F14-D1AF946DCD9E}"/>
    <cellStyle name="40% - Akzent1 7 4" xfId="5403" xr:uid="{784515B0-00FE-4A1C-82AB-D5C69D755E6F}"/>
    <cellStyle name="40% - Akzent1 7 4 2" xfId="5404" xr:uid="{F6EC02C9-C918-407C-8CAE-3A1A10DE4946}"/>
    <cellStyle name="40% - Akzent1 7 4 2 2" xfId="24841" xr:uid="{0B11EB30-98A0-4FD4-9793-DB973A03A483}"/>
    <cellStyle name="40% - Akzent1 7 4 3" xfId="24840" xr:uid="{98AB31A9-49E8-4BEE-A345-0F29F51780E0}"/>
    <cellStyle name="40% - Akzent1 7 5" xfId="5405" xr:uid="{883B32A7-CD0A-4D07-B593-C614FF5D8BD1}"/>
    <cellStyle name="40% - Akzent1 7 5 2" xfId="5406" xr:uid="{BA59DF14-25D2-47D9-A479-11881713F87B}"/>
    <cellStyle name="40% - Akzent1 7 5 2 2" xfId="24843" xr:uid="{93BE3778-D998-4A72-891C-0E6E398B04C6}"/>
    <cellStyle name="40% - Akzent1 7 5 3" xfId="24842" xr:uid="{0E7E752E-6D03-4739-BDB7-561C875A8D20}"/>
    <cellStyle name="40% - Akzent1 7 6" xfId="5407" xr:uid="{1EA6F406-1033-42CC-AE93-07C70ABA6F23}"/>
    <cellStyle name="40% - Akzent1 7 6 2" xfId="5408" xr:uid="{39E27B15-ED08-42FA-A2EC-B19935A9A25A}"/>
    <cellStyle name="40% - Akzent1 7 6 2 2" xfId="24845" xr:uid="{DD2301B1-8762-41D0-857C-D45BD18FD463}"/>
    <cellStyle name="40% - Akzent1 7 6 3" xfId="24844" xr:uid="{34E57376-60C6-4AE5-A876-7410549B20A0}"/>
    <cellStyle name="40% - Akzent1 7 7" xfId="5409" xr:uid="{49F47458-D2B5-4738-90CF-2C0254FD8A58}"/>
    <cellStyle name="40% - Akzent1 7 7 2" xfId="5410" xr:uid="{E61C6C41-1DEF-42E7-B12D-D3D3E6847F1E}"/>
    <cellStyle name="40% - Akzent1 7 7 2 2" xfId="24847" xr:uid="{9E973BCC-AD67-453F-9CED-ADDF44983C44}"/>
    <cellStyle name="40% - Akzent1 7 7 3" xfId="24846" xr:uid="{D34EC91E-015C-4A35-8ADF-E1F55144F9F6}"/>
    <cellStyle name="40% - Akzent1 7 8" xfId="5411" xr:uid="{61378B57-4684-4B51-9430-CB7CBFA8851B}"/>
    <cellStyle name="40% - Akzent1 7 8 2" xfId="5412" xr:uid="{554A518A-A262-4736-8BC9-0AB789095BF7}"/>
    <cellStyle name="40% - Akzent1 7 8 2 2" xfId="24849" xr:uid="{2C78BF0A-4155-48C7-BA03-4C800B397769}"/>
    <cellStyle name="40% - Akzent1 7 8 3" xfId="24848" xr:uid="{6A8C2EB3-6458-4439-824B-608B588DDA4B}"/>
    <cellStyle name="40% - Akzent1 7 9" xfId="5413" xr:uid="{E2FE1474-BE4A-46E4-8604-4C72BB5C2C82}"/>
    <cellStyle name="40% - Akzent1 7 9 2" xfId="5414" xr:uid="{8995C6CA-3346-4E92-81B5-93E5214DCB85}"/>
    <cellStyle name="40% - Akzent1 7 9 2 2" xfId="24851" xr:uid="{10D54738-BCA4-4427-86D0-50D8C2324584}"/>
    <cellStyle name="40% - Akzent1 7 9 3" xfId="24850" xr:uid="{9B87312D-9430-4F8D-9DE6-1F6706D42980}"/>
    <cellStyle name="40% - Akzent1 70" xfId="5415" xr:uid="{010E8B53-B3F6-4C5A-9AB0-7932C84FB69E}"/>
    <cellStyle name="40% - Akzent1 70 2" xfId="24852" xr:uid="{1D9C0858-7765-4A39-BEA2-3A69FECCD15D}"/>
    <cellStyle name="40% - Akzent1 71" xfId="24177" xr:uid="{B5FF698E-8B10-4485-91EB-1FC9E0C90533}"/>
    <cellStyle name="40% - Akzent1 72" xfId="4740" xr:uid="{A9B84FEE-5DEB-4F42-AD5D-42E6242F079D}"/>
    <cellStyle name="40% - Akzent1 8" xfId="5416" xr:uid="{30F5672F-5712-4241-9212-401EF5586DED}"/>
    <cellStyle name="40% - Akzent1 8 10" xfId="5417" xr:uid="{05629098-5A56-4DC9-8540-DA9509020B52}"/>
    <cellStyle name="40% - Akzent1 8 10 2" xfId="5418" xr:uid="{1DC257EF-C9F3-449D-BBDB-4A9F1AA93DAB}"/>
    <cellStyle name="40% - Akzent1 8 10 2 2" xfId="24855" xr:uid="{AE250C08-83B4-49FE-8D89-24C3BE32A303}"/>
    <cellStyle name="40% - Akzent1 8 10 3" xfId="24854" xr:uid="{94263A30-8410-4B27-83ED-899157387225}"/>
    <cellStyle name="40% - Akzent1 8 11" xfId="5419" xr:uid="{CC778EF1-E684-4FE0-9158-FD3224D13A07}"/>
    <cellStyle name="40% - Akzent1 8 11 2" xfId="5420" xr:uid="{0B928077-44CA-439F-AAF8-4E0B3A23F05D}"/>
    <cellStyle name="40% - Akzent1 8 11 2 2" xfId="24857" xr:uid="{33522AB9-7243-49DD-9EE3-BABD2C2D9532}"/>
    <cellStyle name="40% - Akzent1 8 11 3" xfId="24856" xr:uid="{51B76937-0379-4D90-B157-B7A58249ECE5}"/>
    <cellStyle name="40% - Akzent1 8 12" xfId="5421" xr:uid="{68CBB1E0-2F30-490F-B074-256C57BC2E2A}"/>
    <cellStyle name="40% - Akzent1 8 12 2" xfId="5422" xr:uid="{210825B0-E059-4E34-A983-DD0479003C69}"/>
    <cellStyle name="40% - Akzent1 8 12 2 2" xfId="24859" xr:uid="{85C0FA07-BBE0-4ED2-AABA-8230268D600B}"/>
    <cellStyle name="40% - Akzent1 8 12 3" xfId="24858" xr:uid="{94764A1C-500F-4B31-B946-21EA37269EB3}"/>
    <cellStyle name="40% - Akzent1 8 13" xfId="5423" xr:uid="{F182EBD4-E516-4AC9-89F1-9362BF086791}"/>
    <cellStyle name="40% - Akzent1 8 13 2" xfId="5424" xr:uid="{CF4C4212-F910-4BA5-9F7A-AF92DB246B91}"/>
    <cellStyle name="40% - Akzent1 8 13 2 2" xfId="24861" xr:uid="{41211862-2932-4656-BF21-ABD69A371AE1}"/>
    <cellStyle name="40% - Akzent1 8 13 3" xfId="24860" xr:uid="{E1D94A9E-A1BC-4D41-946D-C071300F1F15}"/>
    <cellStyle name="40% - Akzent1 8 14" xfId="5425" xr:uid="{FB47BE9D-CB6D-4B74-A592-ED1FB9800305}"/>
    <cellStyle name="40% - Akzent1 8 14 2" xfId="5426" xr:uid="{D6F9A4E5-980F-45D8-880C-09C0FD5F5741}"/>
    <cellStyle name="40% - Akzent1 8 14 2 2" xfId="24863" xr:uid="{5C3E9A6B-99F0-49C6-ADB1-8546357C7D62}"/>
    <cellStyle name="40% - Akzent1 8 14 3" xfId="24862" xr:uid="{77950074-7C88-4FE8-9F31-F07141D48285}"/>
    <cellStyle name="40% - Akzent1 8 15" xfId="5427" xr:uid="{CC7B46BD-AF8F-480D-BDFE-FE6FC965A500}"/>
    <cellStyle name="40% - Akzent1 8 15 2" xfId="5428" xr:uid="{BA9D79C8-A848-4E1E-84D3-09FDB14E2575}"/>
    <cellStyle name="40% - Akzent1 8 15 2 2" xfId="24865" xr:uid="{9ACDCD93-C2FB-4A01-89B5-F9AFDF305FDF}"/>
    <cellStyle name="40% - Akzent1 8 15 3" xfId="24864" xr:uid="{A9274656-0135-44B6-BEA0-2CC2018D5C23}"/>
    <cellStyle name="40% - Akzent1 8 16" xfId="5429" xr:uid="{99A328E4-9D47-457F-ACA9-14965E24273F}"/>
    <cellStyle name="40% - Akzent1 8 16 2" xfId="5430" xr:uid="{A76DE888-743A-4C72-A31B-94B73483F94C}"/>
    <cellStyle name="40% - Akzent1 8 16 2 2" xfId="24867" xr:uid="{B9198083-123C-434C-A933-7C2A258DAA29}"/>
    <cellStyle name="40% - Akzent1 8 16 3" xfId="24866" xr:uid="{A627E343-3655-4CF0-A577-B851B726B6E4}"/>
    <cellStyle name="40% - Akzent1 8 17" xfId="5431" xr:uid="{6035CF68-79A9-4143-BDDC-6157110A4FF3}"/>
    <cellStyle name="40% - Akzent1 8 17 2" xfId="5432" xr:uid="{FF713E58-596E-402A-86C7-EF79152B9BD2}"/>
    <cellStyle name="40% - Akzent1 8 17 2 2" xfId="24869" xr:uid="{1A4891CF-7996-49C2-B71A-A9B5CD058F49}"/>
    <cellStyle name="40% - Akzent1 8 17 3" xfId="24868" xr:uid="{EE72FB0D-8C57-402B-906D-0320EC294FA8}"/>
    <cellStyle name="40% - Akzent1 8 18" xfId="5433" xr:uid="{F3D0B8EF-48E6-47F1-BE18-289CB2EA8275}"/>
    <cellStyle name="40% - Akzent1 8 18 2" xfId="5434" xr:uid="{39CC2BC5-E6CF-4634-A501-C4EAD8823662}"/>
    <cellStyle name="40% - Akzent1 8 18 2 2" xfId="24871" xr:uid="{94C81B84-16F3-40CF-9B2A-4BFA9BFE9A50}"/>
    <cellStyle name="40% - Akzent1 8 18 3" xfId="24870" xr:uid="{AC07DABA-F794-4D9E-97F0-0D04FC490E4A}"/>
    <cellStyle name="40% - Akzent1 8 19" xfId="5435" xr:uid="{C7779DF9-FA32-453A-A1AE-23D152502757}"/>
    <cellStyle name="40% - Akzent1 8 19 2" xfId="5436" xr:uid="{D22DE785-1E7C-4E05-BF53-28CD1F667941}"/>
    <cellStyle name="40% - Akzent1 8 19 2 2" xfId="24873" xr:uid="{FA72C199-A2A2-43E1-8E7C-28FF7AE71B4F}"/>
    <cellStyle name="40% - Akzent1 8 19 3" xfId="24872" xr:uid="{35D884A6-91DE-4709-B032-3D173D0C3845}"/>
    <cellStyle name="40% - Akzent1 8 2" xfId="5437" xr:uid="{E16A90A4-8907-4CB6-B65B-80851C6D53FE}"/>
    <cellStyle name="40% - Akzent1 8 2 2" xfId="5438" xr:uid="{B2837B21-1693-4F0D-B8AB-259F39F7B7A2}"/>
    <cellStyle name="40% - Akzent1 8 2 2 2" xfId="24875" xr:uid="{F33362F1-6D5F-4195-8162-FCF90667F639}"/>
    <cellStyle name="40% - Akzent1 8 2 3" xfId="24874" xr:uid="{FFE7F000-F004-49BF-873D-FE7343F96ECF}"/>
    <cellStyle name="40% - Akzent1 8 20" xfId="5439" xr:uid="{EA433942-AAC4-487D-9D52-706938E2A001}"/>
    <cellStyle name="40% - Akzent1 8 20 2" xfId="5440" xr:uid="{89FD835B-CE35-4A31-B414-BD3F65E8FA35}"/>
    <cellStyle name="40% - Akzent1 8 20 2 2" xfId="24877" xr:uid="{102A01EC-3711-45F3-A39C-7038B3B01B75}"/>
    <cellStyle name="40% - Akzent1 8 20 3" xfId="24876" xr:uid="{E2F1A737-A128-49D8-BE78-730076029019}"/>
    <cellStyle name="40% - Akzent1 8 21" xfId="5441" xr:uid="{4A7D0034-AB04-469D-84CF-5D78297B593D}"/>
    <cellStyle name="40% - Akzent1 8 21 2" xfId="5442" xr:uid="{54E80331-F36F-45F0-80FB-13250259910D}"/>
    <cellStyle name="40% - Akzent1 8 21 2 2" xfId="24879" xr:uid="{AD26FD39-0BF2-4F2A-B54F-C96A03D9798B}"/>
    <cellStyle name="40% - Akzent1 8 21 3" xfId="24878" xr:uid="{6CEB155E-48BB-4EE6-B103-58CB0B107B03}"/>
    <cellStyle name="40% - Akzent1 8 22" xfId="5443" xr:uid="{C7620EAA-77E5-4648-B6BE-89EE39D91DA3}"/>
    <cellStyle name="40% - Akzent1 8 22 2" xfId="24880" xr:uid="{916611F2-1E80-48E4-9D6E-8D736BC60B39}"/>
    <cellStyle name="40% - Akzent1 8 23" xfId="24853" xr:uid="{42C4F0E5-4D47-40A8-AE40-2912B9D7D6D0}"/>
    <cellStyle name="40% - Akzent1 8 3" xfId="5444" xr:uid="{1D033DD3-7703-4A45-A6BC-78CC7801B541}"/>
    <cellStyle name="40% - Akzent1 8 3 2" xfId="5445" xr:uid="{7C5BA3E6-8D75-409B-B500-6DD4FB0326F8}"/>
    <cellStyle name="40% - Akzent1 8 3 2 2" xfId="24882" xr:uid="{E946498B-3CB3-49C5-A0EC-D0384464A682}"/>
    <cellStyle name="40% - Akzent1 8 3 3" xfId="24881" xr:uid="{53F9F3BE-6821-43BC-9C54-70839526E7E4}"/>
    <cellStyle name="40% - Akzent1 8 4" xfId="5446" xr:uid="{B83418C7-1FB1-4E5B-8E16-CA4CA6DD8660}"/>
    <cellStyle name="40% - Akzent1 8 4 2" xfId="5447" xr:uid="{B953FA05-D7F4-4DFC-B21F-BCE28B821718}"/>
    <cellStyle name="40% - Akzent1 8 4 2 2" xfId="24884" xr:uid="{9F38D47E-1B8D-4EBB-AA30-A78DC2F3B212}"/>
    <cellStyle name="40% - Akzent1 8 4 3" xfId="24883" xr:uid="{F891A1D4-AD28-42FE-AD63-C13DE51C721E}"/>
    <cellStyle name="40% - Akzent1 8 5" xfId="5448" xr:uid="{BF454312-C804-43EB-8C2D-F1230EDE7AB0}"/>
    <cellStyle name="40% - Akzent1 8 5 2" xfId="5449" xr:uid="{2F0E1E28-D97F-4208-AA53-C9AB5AE6E9EF}"/>
    <cellStyle name="40% - Akzent1 8 5 2 2" xfId="24886" xr:uid="{724F04D6-D6FA-4FAD-98AF-1FEE38130181}"/>
    <cellStyle name="40% - Akzent1 8 5 3" xfId="24885" xr:uid="{7AD6DA77-4485-473E-95FB-0D16FF099F12}"/>
    <cellStyle name="40% - Akzent1 8 6" xfId="5450" xr:uid="{A0EEBC0D-4C30-4C86-AD45-F6CAFA7D38E1}"/>
    <cellStyle name="40% - Akzent1 8 6 2" xfId="5451" xr:uid="{1AEAA2A3-80D5-4666-AB46-C7108E234A57}"/>
    <cellStyle name="40% - Akzent1 8 6 2 2" xfId="24888" xr:uid="{EC063FFC-EEB6-4A50-9781-E0ED3FCC5F01}"/>
    <cellStyle name="40% - Akzent1 8 6 3" xfId="24887" xr:uid="{21815708-56A5-4BAA-92C8-5609E0047CE6}"/>
    <cellStyle name="40% - Akzent1 8 7" xfId="5452" xr:uid="{6C0462F2-F499-4E53-A6B4-17AC607565CD}"/>
    <cellStyle name="40% - Akzent1 8 7 2" xfId="5453" xr:uid="{E5D5F471-1AE8-4458-AAE1-8E7F473BEAAE}"/>
    <cellStyle name="40% - Akzent1 8 7 2 2" xfId="24890" xr:uid="{E690A30C-253C-40EC-9C40-AAC4B4EBB4BB}"/>
    <cellStyle name="40% - Akzent1 8 7 3" xfId="24889" xr:uid="{3B1359AA-0202-49D6-B9ED-E523C628693B}"/>
    <cellStyle name="40% - Akzent1 8 8" xfId="5454" xr:uid="{AA87BFD6-9725-48C3-9827-5A90598D5EE6}"/>
    <cellStyle name="40% - Akzent1 8 8 2" xfId="5455" xr:uid="{4245C8EC-B59A-4ADC-B9B5-CF15E99B1195}"/>
    <cellStyle name="40% - Akzent1 8 8 2 2" xfId="24892" xr:uid="{BD0EEECF-2ABC-4DAE-8798-2DB7375D7A5D}"/>
    <cellStyle name="40% - Akzent1 8 8 3" xfId="24891" xr:uid="{6CFC0628-51D9-4C59-9AA8-2807DF34C1D4}"/>
    <cellStyle name="40% - Akzent1 8 9" xfId="5456" xr:uid="{333FF7E3-4B33-4ED8-9253-81082C51F0E8}"/>
    <cellStyle name="40% - Akzent1 8 9 2" xfId="5457" xr:uid="{FF4899FB-87CA-4226-A5F2-78F8866498E5}"/>
    <cellStyle name="40% - Akzent1 8 9 2 2" xfId="24894" xr:uid="{289DA46C-AEE3-40F4-A9E4-7F66155D0B39}"/>
    <cellStyle name="40% - Akzent1 8 9 3" xfId="24893" xr:uid="{9B0FA178-C690-4B1D-A362-9A6EE30C681B}"/>
    <cellStyle name="40% - Akzent1 9" xfId="5458" xr:uid="{86AAB6A2-96F3-4683-9216-06BF324CC234}"/>
    <cellStyle name="40% - Akzent1 9 10" xfId="5459" xr:uid="{17562A23-8BB7-48A0-BBD9-52050581FC24}"/>
    <cellStyle name="40% - Akzent1 9 10 2" xfId="5460" xr:uid="{76461405-B69C-4DA2-B671-20EB617F3E3E}"/>
    <cellStyle name="40% - Akzent1 9 10 2 2" xfId="24897" xr:uid="{08A6BCFB-6463-4559-A025-0509ABDB3597}"/>
    <cellStyle name="40% - Akzent1 9 10 3" xfId="24896" xr:uid="{CF41F558-510E-4008-ABEF-F76C24EAA24C}"/>
    <cellStyle name="40% - Akzent1 9 11" xfId="5461" xr:uid="{6EB2EDDF-C449-4D6B-AB61-53AF9472FE30}"/>
    <cellStyle name="40% - Akzent1 9 11 2" xfId="5462" xr:uid="{74DC141F-C28B-463A-AA5A-C0168EE73132}"/>
    <cellStyle name="40% - Akzent1 9 11 2 2" xfId="24899" xr:uid="{137FC0AE-4A51-442D-A472-2570D19148B9}"/>
    <cellStyle name="40% - Akzent1 9 11 3" xfId="24898" xr:uid="{BB2D8C13-E226-456E-B382-7326926DEE1F}"/>
    <cellStyle name="40% - Akzent1 9 12" xfId="5463" xr:uid="{64155A48-8C89-4781-9889-50E5F39D0544}"/>
    <cellStyle name="40% - Akzent1 9 12 2" xfId="5464" xr:uid="{E8064D8B-BA38-489A-8569-7049492758B5}"/>
    <cellStyle name="40% - Akzent1 9 12 2 2" xfId="24901" xr:uid="{60C34F58-456E-42F4-9E2F-55241FF7FDD3}"/>
    <cellStyle name="40% - Akzent1 9 12 3" xfId="24900" xr:uid="{E6D01811-4E76-4B65-BC8D-9BBE2701CE2A}"/>
    <cellStyle name="40% - Akzent1 9 13" xfId="5465" xr:uid="{DABD90A6-3257-420F-A98C-435AD8746300}"/>
    <cellStyle name="40% - Akzent1 9 13 2" xfId="5466" xr:uid="{5915171B-F707-45DD-9C00-4FFE51E28E2E}"/>
    <cellStyle name="40% - Akzent1 9 13 2 2" xfId="24903" xr:uid="{DCA40EBD-8253-457C-B284-0BEA23CEC548}"/>
    <cellStyle name="40% - Akzent1 9 13 3" xfId="24902" xr:uid="{7D421899-5411-42AD-A7CE-0CC4CDC350CC}"/>
    <cellStyle name="40% - Akzent1 9 14" xfId="5467" xr:uid="{48913FFF-D296-4F82-83FF-0E688F9E2B50}"/>
    <cellStyle name="40% - Akzent1 9 14 2" xfId="5468" xr:uid="{C8BB391E-F68B-46A0-B5A1-7C51BB51B78F}"/>
    <cellStyle name="40% - Akzent1 9 14 2 2" xfId="24905" xr:uid="{9F8EE3CF-503D-4103-88A5-DF88AE5C2DD2}"/>
    <cellStyle name="40% - Akzent1 9 14 3" xfId="24904" xr:uid="{731FECB6-4C8F-476C-8096-BB3E55FEF286}"/>
    <cellStyle name="40% - Akzent1 9 15" xfId="5469" xr:uid="{2B33DBEB-50B7-4D9A-89BA-4F1D36FBD6A4}"/>
    <cellStyle name="40% - Akzent1 9 15 2" xfId="5470" xr:uid="{58C9A234-2C5A-49CD-99E0-A98C614301C8}"/>
    <cellStyle name="40% - Akzent1 9 15 2 2" xfId="24907" xr:uid="{3F0F29C2-7A04-465E-A5D7-88D292EEE9D8}"/>
    <cellStyle name="40% - Akzent1 9 15 3" xfId="24906" xr:uid="{54FA49DE-C93B-4FE6-9906-9A4958BFC2DE}"/>
    <cellStyle name="40% - Akzent1 9 16" xfId="5471" xr:uid="{AEBDDEFF-4B85-4C91-A987-CBDDEF80A70A}"/>
    <cellStyle name="40% - Akzent1 9 16 2" xfId="5472" xr:uid="{F7DBE3CE-3F30-4553-BE55-D601BBD8FFD7}"/>
    <cellStyle name="40% - Akzent1 9 16 2 2" xfId="24909" xr:uid="{2D3BD882-DF3D-41B4-9A3A-780988E3CCD0}"/>
    <cellStyle name="40% - Akzent1 9 16 3" xfId="24908" xr:uid="{83F449A8-66BC-4C8F-816A-FEC065E0E960}"/>
    <cellStyle name="40% - Akzent1 9 17" xfId="5473" xr:uid="{D21A52BC-4066-4482-8686-94367F05F9A0}"/>
    <cellStyle name="40% - Akzent1 9 17 2" xfId="5474" xr:uid="{0402C3F3-F7E0-4CA9-A09D-67AB1915AE86}"/>
    <cellStyle name="40% - Akzent1 9 17 2 2" xfId="24911" xr:uid="{3A9919FC-7E43-4152-B1BF-7D644308BF3E}"/>
    <cellStyle name="40% - Akzent1 9 17 3" xfId="24910" xr:uid="{8843927F-A7A7-4C51-8FBF-8E90A782942A}"/>
    <cellStyle name="40% - Akzent1 9 18" xfId="5475" xr:uid="{A45A092D-2E10-4068-8BF3-3503CD796CA3}"/>
    <cellStyle name="40% - Akzent1 9 18 2" xfId="5476" xr:uid="{223ECCEA-5F7F-477E-BE72-49A7B1F294D5}"/>
    <cellStyle name="40% - Akzent1 9 18 2 2" xfId="24913" xr:uid="{92FD8DC1-CD70-45FA-86BE-CF48FD4B39F5}"/>
    <cellStyle name="40% - Akzent1 9 18 3" xfId="24912" xr:uid="{C55DF7D8-974D-4A22-A5C7-30E31368C6F9}"/>
    <cellStyle name="40% - Akzent1 9 19" xfId="5477" xr:uid="{DF3B8AB5-CDE3-4F2E-983A-A6780BE4FDB6}"/>
    <cellStyle name="40% - Akzent1 9 19 2" xfId="5478" xr:uid="{A1047DF7-CB60-4827-BB5B-79866C810139}"/>
    <cellStyle name="40% - Akzent1 9 19 2 2" xfId="24915" xr:uid="{F6EA8BD3-6FE5-45DD-8A7F-55841FCAE5A2}"/>
    <cellStyle name="40% - Akzent1 9 19 3" xfId="24914" xr:uid="{3C21B99E-FE16-408D-A1EC-E2661B1FA3F6}"/>
    <cellStyle name="40% - Akzent1 9 2" xfId="5479" xr:uid="{32FDF9A2-579E-4438-B2C3-3D1FC7A6AEFC}"/>
    <cellStyle name="40% - Akzent1 9 2 2" xfId="5480" xr:uid="{5CA79FB9-BB9F-4609-B7ED-33DC111530A7}"/>
    <cellStyle name="40% - Akzent1 9 2 2 2" xfId="24917" xr:uid="{E3ACA0AC-654B-4922-8F34-658BFB7A1E94}"/>
    <cellStyle name="40% - Akzent1 9 2 3" xfId="24916" xr:uid="{E8081276-FC34-4BEC-9C05-1E39897C08F3}"/>
    <cellStyle name="40% - Akzent1 9 20" xfId="5481" xr:uid="{FB5D97D5-3ACA-48F1-8D7E-316C7AAC500A}"/>
    <cellStyle name="40% - Akzent1 9 20 2" xfId="5482" xr:uid="{15E3A20E-7325-48E0-983D-A7B2D9DE69E5}"/>
    <cellStyle name="40% - Akzent1 9 20 2 2" xfId="24919" xr:uid="{9F4C6A57-8B61-4F61-A46C-D6DB222E38DD}"/>
    <cellStyle name="40% - Akzent1 9 20 3" xfId="24918" xr:uid="{9C81A0DF-E407-46B4-941D-8BC767A84229}"/>
    <cellStyle name="40% - Akzent1 9 21" xfId="5483" xr:uid="{D899675A-D20D-45DB-B0D5-4DC2B515DC5F}"/>
    <cellStyle name="40% - Akzent1 9 21 2" xfId="5484" xr:uid="{C8C77826-E412-4329-A9F6-10B9EC1BF313}"/>
    <cellStyle name="40% - Akzent1 9 21 2 2" xfId="24921" xr:uid="{8DB5E091-0F20-4468-A32B-7B4CFC5325CB}"/>
    <cellStyle name="40% - Akzent1 9 21 3" xfId="24920" xr:uid="{AECF88E4-05E7-4E85-B154-4C2A5772FF1C}"/>
    <cellStyle name="40% - Akzent1 9 22" xfId="5485" xr:uid="{B8DB9AA4-CDC9-4DBD-BB08-DE04F6FBC04D}"/>
    <cellStyle name="40% - Akzent1 9 22 2" xfId="24922" xr:uid="{17865BCD-EC08-4B50-B45F-C9D60A128A21}"/>
    <cellStyle name="40% - Akzent1 9 23" xfId="24895" xr:uid="{10659688-59E6-4B68-83C7-884F0D0CADD3}"/>
    <cellStyle name="40% - Akzent1 9 3" xfId="5486" xr:uid="{CABC1322-CD00-47E9-911B-499D684B37DE}"/>
    <cellStyle name="40% - Akzent1 9 3 2" xfId="5487" xr:uid="{93962247-1A04-4483-914D-9BB90A516F44}"/>
    <cellStyle name="40% - Akzent1 9 3 2 2" xfId="24924" xr:uid="{08B54EA0-9F31-4DA3-BDA3-6C7576178AC5}"/>
    <cellStyle name="40% - Akzent1 9 3 3" xfId="24923" xr:uid="{B3CF870D-C907-4FD0-A164-A2C9B50F3749}"/>
    <cellStyle name="40% - Akzent1 9 4" xfId="5488" xr:uid="{8159564A-F901-49A5-842C-7803AF28FCAB}"/>
    <cellStyle name="40% - Akzent1 9 4 2" xfId="5489" xr:uid="{80CF0B31-CC84-4C7A-B917-05DA848ECBFD}"/>
    <cellStyle name="40% - Akzent1 9 4 2 2" xfId="24926" xr:uid="{38A71AC5-B0D8-4FEE-BC27-68E3EEC7289F}"/>
    <cellStyle name="40% - Akzent1 9 4 3" xfId="24925" xr:uid="{A95F8153-B1B0-4277-94A9-4A277BA87D4C}"/>
    <cellStyle name="40% - Akzent1 9 5" xfId="5490" xr:uid="{8A6C3749-3033-4F9C-807C-98720096D9CF}"/>
    <cellStyle name="40% - Akzent1 9 5 2" xfId="5491" xr:uid="{E3164B2C-429D-4353-B68E-4E268D51C30B}"/>
    <cellStyle name="40% - Akzent1 9 5 2 2" xfId="24928" xr:uid="{5BA8C0F7-2C32-49DC-97D1-0911C1FB303C}"/>
    <cellStyle name="40% - Akzent1 9 5 3" xfId="24927" xr:uid="{19753F5E-7925-4682-9C2D-2B97A7E58331}"/>
    <cellStyle name="40% - Akzent1 9 6" xfId="5492" xr:uid="{E5D0C2B2-C7BD-49D6-A89B-0B5390693973}"/>
    <cellStyle name="40% - Akzent1 9 6 2" xfId="5493" xr:uid="{2A5B4416-74E5-4FDE-B373-768A417BEF29}"/>
    <cellStyle name="40% - Akzent1 9 6 2 2" xfId="24930" xr:uid="{7851675F-7E38-45EF-9C1D-F68B388AAB20}"/>
    <cellStyle name="40% - Akzent1 9 6 3" xfId="24929" xr:uid="{B8ADB8A5-27D8-492A-9DA6-EC682C044B05}"/>
    <cellStyle name="40% - Akzent1 9 7" xfId="5494" xr:uid="{8D86AD82-32CB-4353-9A6E-1F904D503197}"/>
    <cellStyle name="40% - Akzent1 9 7 2" xfId="5495" xr:uid="{C1EE9298-A22C-4C92-A300-8E680C93FFA7}"/>
    <cellStyle name="40% - Akzent1 9 7 2 2" xfId="24932" xr:uid="{B2A06F7F-8B41-4CA7-A8A6-CA8237EA3DDC}"/>
    <cellStyle name="40% - Akzent1 9 7 3" xfId="24931" xr:uid="{F99E8EED-DCE5-44EE-9B6B-98C212EEE6DA}"/>
    <cellStyle name="40% - Akzent1 9 8" xfId="5496" xr:uid="{600396A7-E842-4D27-9356-3724E7C73667}"/>
    <cellStyle name="40% - Akzent1 9 8 2" xfId="5497" xr:uid="{9AC38E22-4B75-4437-8A11-431031F57D5A}"/>
    <cellStyle name="40% - Akzent1 9 8 2 2" xfId="24934" xr:uid="{8A3C56BB-D6ED-4B7F-9E7F-6A45D30AB309}"/>
    <cellStyle name="40% - Akzent1 9 8 3" xfId="24933" xr:uid="{DA359745-DD17-42E3-B71C-AC1210FEC392}"/>
    <cellStyle name="40% - Akzent1 9 9" xfId="5498" xr:uid="{45AA9E6D-D78E-416F-946B-D7419931AE23}"/>
    <cellStyle name="40% - Akzent1 9 9 2" xfId="5499" xr:uid="{CF0BCAF9-522B-4376-9AEC-96AF2A9C2B62}"/>
    <cellStyle name="40% - Akzent1 9 9 2 2" xfId="24936" xr:uid="{9CCCFC46-B6EB-4E5E-8AA5-A4731CA2FB1F}"/>
    <cellStyle name="40% - Akzent1 9 9 3" xfId="24935" xr:uid="{E7E7188D-D2C9-4968-884B-34FB96134DCC}"/>
    <cellStyle name="40% - Akzent2 10" xfId="5501" xr:uid="{410C9FEC-226F-4136-8AC8-D2E82E89AE97}"/>
    <cellStyle name="40% - Akzent2 10 10" xfId="5502" xr:uid="{A3652FE3-CED3-4B83-BCC5-410D6C84D4C9}"/>
    <cellStyle name="40% - Akzent2 10 10 2" xfId="5503" xr:uid="{1E9E0831-DF18-47BB-9EDC-6F2E1CD27F76}"/>
    <cellStyle name="40% - Akzent2 10 10 2 2" xfId="24940" xr:uid="{AFE57AC8-1895-43EF-B163-077323FC03C6}"/>
    <cellStyle name="40% - Akzent2 10 10 3" xfId="24939" xr:uid="{697B1C70-C187-4341-A3B5-418C3EE945F0}"/>
    <cellStyle name="40% - Akzent2 10 11" xfId="5504" xr:uid="{F23BFBE0-FFE4-469C-8AD6-F3B7E8EA4ADF}"/>
    <cellStyle name="40% - Akzent2 10 11 2" xfId="5505" xr:uid="{9E5C402F-6FE5-4A82-8C58-AD747CA468DF}"/>
    <cellStyle name="40% - Akzent2 10 11 2 2" xfId="24942" xr:uid="{AB36AA41-CB59-422E-9D1E-3526873C1025}"/>
    <cellStyle name="40% - Akzent2 10 11 3" xfId="24941" xr:uid="{843D4050-B82E-44BF-A197-51A1E1A9015E}"/>
    <cellStyle name="40% - Akzent2 10 12" xfId="5506" xr:uid="{EC27DC2D-DF85-4700-9D68-87F184E4AB97}"/>
    <cellStyle name="40% - Akzent2 10 12 2" xfId="5507" xr:uid="{5B43E48E-278B-46B3-B923-17A016E0FDE8}"/>
    <cellStyle name="40% - Akzent2 10 12 2 2" xfId="24944" xr:uid="{9914A8D0-E63E-4181-9957-15EE1CBC4850}"/>
    <cellStyle name="40% - Akzent2 10 12 3" xfId="24943" xr:uid="{76ABA728-622E-4DE7-9A51-C7F7E4F12F5B}"/>
    <cellStyle name="40% - Akzent2 10 13" xfId="5508" xr:uid="{05CA11FA-9DD9-4E20-A38E-52176FEA8004}"/>
    <cellStyle name="40% - Akzent2 10 13 2" xfId="5509" xr:uid="{A34BA95B-B931-4CD0-B350-9137525A956F}"/>
    <cellStyle name="40% - Akzent2 10 13 2 2" xfId="24946" xr:uid="{78EBAD15-420B-4497-97C3-B906D56FCB9B}"/>
    <cellStyle name="40% - Akzent2 10 13 3" xfId="24945" xr:uid="{C1350235-EA28-4498-B85C-9A389E422D50}"/>
    <cellStyle name="40% - Akzent2 10 14" xfId="5510" xr:uid="{11126ADA-F7D8-4C6B-978D-DF10091270FC}"/>
    <cellStyle name="40% - Akzent2 10 14 2" xfId="5511" xr:uid="{5D44F0C6-EC7D-467E-887D-81B8BF284D1F}"/>
    <cellStyle name="40% - Akzent2 10 14 2 2" xfId="24948" xr:uid="{AEB42568-2DC2-4311-A2CF-AC12723E6DDD}"/>
    <cellStyle name="40% - Akzent2 10 14 3" xfId="24947" xr:uid="{176BCAE8-C116-4046-90F1-AB6F0B48585D}"/>
    <cellStyle name="40% - Akzent2 10 15" xfId="5512" xr:uid="{3E954D01-90B6-45B6-B61F-2D32CB4FDDEE}"/>
    <cellStyle name="40% - Akzent2 10 15 2" xfId="5513" xr:uid="{1F66B5AD-4DB1-4C3D-AAC3-597798167CA9}"/>
    <cellStyle name="40% - Akzent2 10 15 2 2" xfId="24950" xr:uid="{8A664515-5339-4E7C-AE0A-87F74773E16E}"/>
    <cellStyle name="40% - Akzent2 10 15 3" xfId="24949" xr:uid="{59C427F5-94FF-4EE4-AAB2-111F18445EA5}"/>
    <cellStyle name="40% - Akzent2 10 16" xfId="5514" xr:uid="{E42499F7-B6A5-4499-B5B5-AF69C0FE0612}"/>
    <cellStyle name="40% - Akzent2 10 16 2" xfId="5515" xr:uid="{0E80DBBB-D1D9-4047-A2DA-A9E42C6EA718}"/>
    <cellStyle name="40% - Akzent2 10 16 2 2" xfId="24952" xr:uid="{7785F2BF-BBA2-4BB2-9FC1-B40DDC47B152}"/>
    <cellStyle name="40% - Akzent2 10 16 3" xfId="24951" xr:uid="{20ED1D86-EA1A-4F56-8BE0-F5CEB824E564}"/>
    <cellStyle name="40% - Akzent2 10 17" xfId="5516" xr:uid="{E760729F-B25D-4F4C-BDFF-1DD14685B9F5}"/>
    <cellStyle name="40% - Akzent2 10 17 2" xfId="5517" xr:uid="{C3C5BA0F-771F-411F-8799-1D07A89C48CB}"/>
    <cellStyle name="40% - Akzent2 10 17 2 2" xfId="24954" xr:uid="{E574540B-04BF-4EF7-96C4-7A260C9C6AA8}"/>
    <cellStyle name="40% - Akzent2 10 17 3" xfId="24953" xr:uid="{38F52D55-7ABE-4E18-BC5B-F2D87B4B3F7A}"/>
    <cellStyle name="40% - Akzent2 10 18" xfId="5518" xr:uid="{82FD2AA2-6058-490B-B0A5-50D2757389F4}"/>
    <cellStyle name="40% - Akzent2 10 18 2" xfId="5519" xr:uid="{88428111-A55F-4D0E-ACC0-B1DE3E35A58F}"/>
    <cellStyle name="40% - Akzent2 10 18 2 2" xfId="24956" xr:uid="{6967043D-5F09-4F3E-B2C6-5177374590E2}"/>
    <cellStyle name="40% - Akzent2 10 18 3" xfId="24955" xr:uid="{00348488-20F5-4A5A-8D2B-53FE70DAADAF}"/>
    <cellStyle name="40% - Akzent2 10 19" xfId="5520" xr:uid="{2825A3F0-CA43-46AA-B9F0-431BFE30DA52}"/>
    <cellStyle name="40% - Akzent2 10 19 2" xfId="5521" xr:uid="{6AE87D7D-DDEB-4F48-8AD9-EB633ECB225A}"/>
    <cellStyle name="40% - Akzent2 10 19 2 2" xfId="24958" xr:uid="{871D9FA3-47E9-4539-9B55-0EB6E36B739D}"/>
    <cellStyle name="40% - Akzent2 10 19 3" xfId="24957" xr:uid="{D6937405-E986-454A-8BE8-E1FD7ADFDD28}"/>
    <cellStyle name="40% - Akzent2 10 2" xfId="5522" xr:uid="{74513640-935A-452C-82F7-D8B985A5746C}"/>
    <cellStyle name="40% - Akzent2 10 2 2" xfId="5523" xr:uid="{BC2158CB-318A-4EB1-9C72-6A5B03C35B6A}"/>
    <cellStyle name="40% - Akzent2 10 2 2 2" xfId="24960" xr:uid="{97746824-067F-4773-B237-AC7878D5C69A}"/>
    <cellStyle name="40% - Akzent2 10 2 3" xfId="24959" xr:uid="{05759CF0-8AB1-47B6-AFC5-21F86542B7DC}"/>
    <cellStyle name="40% - Akzent2 10 20" xfId="5524" xr:uid="{CF9FD42B-4A6E-49B8-9866-B07ACBACB067}"/>
    <cellStyle name="40% - Akzent2 10 20 2" xfId="5525" xr:uid="{297D3544-48D6-4A7F-9718-3699D3677223}"/>
    <cellStyle name="40% - Akzent2 10 20 2 2" xfId="24962" xr:uid="{FB773374-42AD-42BE-BF2B-07773AA74015}"/>
    <cellStyle name="40% - Akzent2 10 20 3" xfId="24961" xr:uid="{43B49B7A-DF00-439E-B0C6-272DFA774A15}"/>
    <cellStyle name="40% - Akzent2 10 21" xfId="5526" xr:uid="{176E9023-E74B-4DD9-A7E6-731B84861C62}"/>
    <cellStyle name="40% - Akzent2 10 21 2" xfId="5527" xr:uid="{DFE5B7D2-A214-492D-8628-50824A93F9C6}"/>
    <cellStyle name="40% - Akzent2 10 21 2 2" xfId="24964" xr:uid="{6C899282-6EB1-4BFE-BC92-6F79CB8D9889}"/>
    <cellStyle name="40% - Akzent2 10 21 3" xfId="24963" xr:uid="{EEAE9091-1183-472D-8986-ECBCC24F2D41}"/>
    <cellStyle name="40% - Akzent2 10 22" xfId="5528" xr:uid="{80DDA644-9897-4416-BFE7-E661938282BE}"/>
    <cellStyle name="40% - Akzent2 10 22 2" xfId="24965" xr:uid="{6ECD36DB-823E-4810-B1F5-A085E60A85D1}"/>
    <cellStyle name="40% - Akzent2 10 23" xfId="24938" xr:uid="{71D5A7F1-DA77-44B7-88CC-BF68760B71D5}"/>
    <cellStyle name="40% - Akzent2 10 3" xfId="5529" xr:uid="{14950DA7-5A51-4F9B-A61A-0DA405DFEB1B}"/>
    <cellStyle name="40% - Akzent2 10 3 2" xfId="5530" xr:uid="{4E8F1AEA-B118-44AF-A5C2-E77D531B262C}"/>
    <cellStyle name="40% - Akzent2 10 3 2 2" xfId="24967" xr:uid="{88D65622-A138-420F-A07F-7CDD1354DF10}"/>
    <cellStyle name="40% - Akzent2 10 3 3" xfId="24966" xr:uid="{E0BD8564-E452-4C3C-9C7D-1ED2107B7600}"/>
    <cellStyle name="40% - Akzent2 10 4" xfId="5531" xr:uid="{49FBAC52-DDA4-49ED-A44F-0FD1A97190FA}"/>
    <cellStyle name="40% - Akzent2 10 4 2" xfId="5532" xr:uid="{B29EEC71-5F83-49EB-ABB6-849997E21698}"/>
    <cellStyle name="40% - Akzent2 10 4 2 2" xfId="24969" xr:uid="{9C7251E4-86BF-4C4D-AE78-84E343C4D63E}"/>
    <cellStyle name="40% - Akzent2 10 4 3" xfId="24968" xr:uid="{36A68DE5-30D7-4109-B11B-D03D9355311B}"/>
    <cellStyle name="40% - Akzent2 10 5" xfId="5533" xr:uid="{5EF210F6-D5AD-475D-942F-333B38CACEEA}"/>
    <cellStyle name="40% - Akzent2 10 5 2" xfId="5534" xr:uid="{95A100BA-3345-440F-A7E0-52357AEBDD83}"/>
    <cellStyle name="40% - Akzent2 10 5 2 2" xfId="24971" xr:uid="{4E3ADB21-A16D-4E5D-9E8E-37007A82445A}"/>
    <cellStyle name="40% - Akzent2 10 5 3" xfId="24970" xr:uid="{43CEA2BF-5624-4DDD-828E-3E67D88F8AF3}"/>
    <cellStyle name="40% - Akzent2 10 6" xfId="5535" xr:uid="{12AEEA1C-45F0-443D-B098-3B7949AD9E13}"/>
    <cellStyle name="40% - Akzent2 10 6 2" xfId="5536" xr:uid="{DE6E86AC-8DD1-4724-9BDE-FF2E7C087BCD}"/>
    <cellStyle name="40% - Akzent2 10 6 2 2" xfId="24973" xr:uid="{A0FFDFA1-F786-432F-BEAE-9B5B7200D488}"/>
    <cellStyle name="40% - Akzent2 10 6 3" xfId="24972" xr:uid="{A3789203-7B3C-42CF-B6E2-65F77BAF04F4}"/>
    <cellStyle name="40% - Akzent2 10 7" xfId="5537" xr:uid="{D6CA5FB1-D2EF-47F3-A9CC-139A541EEE22}"/>
    <cellStyle name="40% - Akzent2 10 7 2" xfId="5538" xr:uid="{40077DD5-4C66-4E20-BD33-D1117E4ABD94}"/>
    <cellStyle name="40% - Akzent2 10 7 2 2" xfId="24975" xr:uid="{803FDB7A-AAD5-463C-98F3-E3B4102CBB6B}"/>
    <cellStyle name="40% - Akzent2 10 7 3" xfId="24974" xr:uid="{B4987D20-A8E3-4D9D-A829-B3C43254763E}"/>
    <cellStyle name="40% - Akzent2 10 8" xfId="5539" xr:uid="{A80CFE1D-D422-4C2A-93E1-1EFB68C85F8D}"/>
    <cellStyle name="40% - Akzent2 10 8 2" xfId="5540" xr:uid="{03B272E5-5965-4690-9B7A-040642D0642B}"/>
    <cellStyle name="40% - Akzent2 10 8 2 2" xfId="24977" xr:uid="{3631AFB1-8C7A-447E-B317-F39093820283}"/>
    <cellStyle name="40% - Akzent2 10 8 3" xfId="24976" xr:uid="{A545F2F3-B350-42E0-B176-08A947221218}"/>
    <cellStyle name="40% - Akzent2 10 9" xfId="5541" xr:uid="{57F33C08-2126-4E23-893E-A4A21D93C20C}"/>
    <cellStyle name="40% - Akzent2 10 9 2" xfId="5542" xr:uid="{77D3D58E-71F7-42D6-A3EC-CB4E85984AA9}"/>
    <cellStyle name="40% - Akzent2 10 9 2 2" xfId="24979" xr:uid="{098AA55C-3882-4DF5-87A3-10DE664A2A84}"/>
    <cellStyle name="40% - Akzent2 10 9 3" xfId="24978" xr:uid="{29AA5F63-02FE-4028-9D45-372FF4FA723A}"/>
    <cellStyle name="40% - Akzent2 11" xfId="5543" xr:uid="{EB21A1FC-B895-4844-B8D6-6CB8901CDA0E}"/>
    <cellStyle name="40% - Akzent2 11 10" xfId="5544" xr:uid="{617FB135-078D-4251-91A9-EFD82E5240B5}"/>
    <cellStyle name="40% - Akzent2 11 10 2" xfId="5545" xr:uid="{CCDDF852-C149-48FC-9C6C-5EB9D3D9B423}"/>
    <cellStyle name="40% - Akzent2 11 10 2 2" xfId="24982" xr:uid="{F3A67267-B6CD-4657-97E5-43479942FC13}"/>
    <cellStyle name="40% - Akzent2 11 10 3" xfId="24981" xr:uid="{D3EB464A-ED96-4440-ABC8-0CDE13F53F1C}"/>
    <cellStyle name="40% - Akzent2 11 11" xfId="5546" xr:uid="{444EE3C2-2073-4AFB-9491-F8B63FE3F6ED}"/>
    <cellStyle name="40% - Akzent2 11 11 2" xfId="5547" xr:uid="{540DF861-B2CC-42D9-A7E9-39261CB46205}"/>
    <cellStyle name="40% - Akzent2 11 11 2 2" xfId="24984" xr:uid="{026D1CE0-2C69-468E-8A3D-FF423FD7A63F}"/>
    <cellStyle name="40% - Akzent2 11 11 3" xfId="24983" xr:uid="{4335661E-8610-42F8-9EB8-6314893999D0}"/>
    <cellStyle name="40% - Akzent2 11 12" xfId="5548" xr:uid="{1CDF495B-99D4-4477-87CD-D647097B51D9}"/>
    <cellStyle name="40% - Akzent2 11 12 2" xfId="5549" xr:uid="{26D78F68-866A-400B-A206-940349C94504}"/>
    <cellStyle name="40% - Akzent2 11 12 2 2" xfId="24986" xr:uid="{3A0E9DC3-E3BA-48C2-A009-ABAFA06E5DC9}"/>
    <cellStyle name="40% - Akzent2 11 12 3" xfId="24985" xr:uid="{A2156F9F-3434-4E54-8EE4-5CFFDA231BBC}"/>
    <cellStyle name="40% - Akzent2 11 13" xfId="5550" xr:uid="{8EAB3D02-2828-4269-B3E9-55C5FB9904CF}"/>
    <cellStyle name="40% - Akzent2 11 13 2" xfId="5551" xr:uid="{859FB799-2C6F-467D-837C-C015DB3366AF}"/>
    <cellStyle name="40% - Akzent2 11 13 2 2" xfId="24988" xr:uid="{B6E22B00-A6A2-42CB-B0CE-2AF46C123E03}"/>
    <cellStyle name="40% - Akzent2 11 13 3" xfId="24987" xr:uid="{8CF108E4-5EE1-4B78-A476-370B648F46BA}"/>
    <cellStyle name="40% - Akzent2 11 14" xfId="5552" xr:uid="{A8EAEDE2-7A78-432D-BE88-96A8537AF8A8}"/>
    <cellStyle name="40% - Akzent2 11 14 2" xfId="5553" xr:uid="{A398BEBB-D191-4BD3-AF46-6A3A57C1AA1F}"/>
    <cellStyle name="40% - Akzent2 11 14 2 2" xfId="24990" xr:uid="{873FFC89-4290-44D4-8E18-6B03E9082E53}"/>
    <cellStyle name="40% - Akzent2 11 14 3" xfId="24989" xr:uid="{48AF60A8-C2FB-4CED-BE7D-320587BF894F}"/>
    <cellStyle name="40% - Akzent2 11 15" xfId="5554" xr:uid="{1354EF28-A0C0-4F28-82CC-C91AFA8D47DD}"/>
    <cellStyle name="40% - Akzent2 11 15 2" xfId="5555" xr:uid="{0FB641A1-82BD-4AE8-B025-561429AC6C75}"/>
    <cellStyle name="40% - Akzent2 11 15 2 2" xfId="24992" xr:uid="{FC78BF6A-5A9F-4D00-B1A8-10F71B4CB245}"/>
    <cellStyle name="40% - Akzent2 11 15 3" xfId="24991" xr:uid="{18F15A00-1D43-4E7A-B8EE-8682291BD24B}"/>
    <cellStyle name="40% - Akzent2 11 16" xfId="5556" xr:uid="{925331D9-7640-430C-A75B-5970B7DEBBD4}"/>
    <cellStyle name="40% - Akzent2 11 16 2" xfId="5557" xr:uid="{E043C050-3480-454F-AD49-7A240EBDA52B}"/>
    <cellStyle name="40% - Akzent2 11 16 2 2" xfId="24994" xr:uid="{E73EE547-A06B-45A6-AEC1-3654CC876212}"/>
    <cellStyle name="40% - Akzent2 11 16 3" xfId="24993" xr:uid="{942D189F-D410-4691-9C68-330A43C32C5D}"/>
    <cellStyle name="40% - Akzent2 11 17" xfId="5558" xr:uid="{090D2C86-0EDD-4FA2-8340-76FD3413C420}"/>
    <cellStyle name="40% - Akzent2 11 17 2" xfId="5559" xr:uid="{B08FBFAA-1ECC-4D7F-83A3-2D5B425F05DE}"/>
    <cellStyle name="40% - Akzent2 11 17 2 2" xfId="24996" xr:uid="{59EF6DD9-6F46-4BB5-AA3D-29368E204FFE}"/>
    <cellStyle name="40% - Akzent2 11 17 3" xfId="24995" xr:uid="{BA4F2484-FE03-43D8-8557-BBE4E26A7B67}"/>
    <cellStyle name="40% - Akzent2 11 18" xfId="5560" xr:uid="{736EA5BF-FF45-45E0-AE1C-EC6D21B79EEC}"/>
    <cellStyle name="40% - Akzent2 11 18 2" xfId="5561" xr:uid="{F2FA0F94-54BC-415E-BDBC-CB78FB90FF89}"/>
    <cellStyle name="40% - Akzent2 11 18 2 2" xfId="24998" xr:uid="{776CFB6E-8288-4BAA-8B14-E1D78FCE3E21}"/>
    <cellStyle name="40% - Akzent2 11 18 3" xfId="24997" xr:uid="{5D0A413E-61E8-49D5-9977-6449C1995CFC}"/>
    <cellStyle name="40% - Akzent2 11 19" xfId="5562" xr:uid="{6A35E6DF-3550-429B-9603-03529323EA7D}"/>
    <cellStyle name="40% - Akzent2 11 19 2" xfId="5563" xr:uid="{CC83E30E-7E25-481A-A2BF-9AE9E0D10B2E}"/>
    <cellStyle name="40% - Akzent2 11 19 2 2" xfId="25000" xr:uid="{8F605150-BF88-4929-B320-6E840C1EEB11}"/>
    <cellStyle name="40% - Akzent2 11 19 3" xfId="24999" xr:uid="{E40E13E0-1D59-42B0-AB3A-6B34CCF56CD0}"/>
    <cellStyle name="40% - Akzent2 11 2" xfId="5564" xr:uid="{02AD86D3-9DAF-415E-87E2-29670DF854E6}"/>
    <cellStyle name="40% - Akzent2 11 2 2" xfId="5565" xr:uid="{FA1FB384-9B92-4D5C-B973-E54F9F58F1F5}"/>
    <cellStyle name="40% - Akzent2 11 2 2 2" xfId="25002" xr:uid="{A81F37F1-C21B-4415-B5E8-636F735F66D4}"/>
    <cellStyle name="40% - Akzent2 11 2 3" xfId="25001" xr:uid="{430D167A-2785-46E5-AF27-25D7769DDD1B}"/>
    <cellStyle name="40% - Akzent2 11 20" xfId="5566" xr:uid="{6494F9DE-E7A1-4004-9E55-B4C074E41234}"/>
    <cellStyle name="40% - Akzent2 11 20 2" xfId="5567" xr:uid="{6AD701A9-781F-4DE0-8E89-5E0CB62EF111}"/>
    <cellStyle name="40% - Akzent2 11 20 2 2" xfId="25004" xr:uid="{24F0D90C-F9B4-4C92-8F95-A613749A4079}"/>
    <cellStyle name="40% - Akzent2 11 20 3" xfId="25003" xr:uid="{01ABABF2-672F-4582-B858-293BBF8B561B}"/>
    <cellStyle name="40% - Akzent2 11 21" xfId="5568" xr:uid="{5BE26925-FC12-4B1D-A06E-F2F7136639F6}"/>
    <cellStyle name="40% - Akzent2 11 21 2" xfId="5569" xr:uid="{C737CF7F-6C33-4111-BFAC-91F20751B449}"/>
    <cellStyle name="40% - Akzent2 11 21 2 2" xfId="25006" xr:uid="{97FFF2AB-2215-45CA-A684-001C1E19901A}"/>
    <cellStyle name="40% - Akzent2 11 21 3" xfId="25005" xr:uid="{54E0AA83-246F-41B2-8D1D-986D2BC5E8DB}"/>
    <cellStyle name="40% - Akzent2 11 22" xfId="5570" xr:uid="{B1A015EF-A6BB-41C2-A899-C8095D93E6E7}"/>
    <cellStyle name="40% - Akzent2 11 22 2" xfId="25007" xr:uid="{BD6873CD-F0AC-4B72-BB6D-E224DA088FFF}"/>
    <cellStyle name="40% - Akzent2 11 23" xfId="24980" xr:uid="{F5581416-3F31-481F-AB1E-B556D2316463}"/>
    <cellStyle name="40% - Akzent2 11 3" xfId="5571" xr:uid="{B39AFDE6-24A7-4980-A415-B432F93E3D02}"/>
    <cellStyle name="40% - Akzent2 11 3 2" xfId="5572" xr:uid="{E5BD626D-BC94-4617-B40E-140AFA3EC099}"/>
    <cellStyle name="40% - Akzent2 11 3 2 2" xfId="25009" xr:uid="{91224DE5-6BEA-4D9A-9C1C-2A4E9737A773}"/>
    <cellStyle name="40% - Akzent2 11 3 3" xfId="25008" xr:uid="{BD71DB6C-3720-4162-B302-4BFADA12A528}"/>
    <cellStyle name="40% - Akzent2 11 4" xfId="5573" xr:uid="{1E858141-F021-42CC-8A79-FB3EAC403831}"/>
    <cellStyle name="40% - Akzent2 11 4 2" xfId="5574" xr:uid="{996BDC50-257F-4639-98FD-8FBEC07BCF9E}"/>
    <cellStyle name="40% - Akzent2 11 4 2 2" xfId="25011" xr:uid="{8B1825DE-EC23-482B-8676-F0ECA67D35CD}"/>
    <cellStyle name="40% - Akzent2 11 4 3" xfId="25010" xr:uid="{456CAF6B-42A1-4228-AA04-575C369843DE}"/>
    <cellStyle name="40% - Akzent2 11 5" xfId="5575" xr:uid="{F0B0F66E-47E7-433D-8423-DF74CABA69FB}"/>
    <cellStyle name="40% - Akzent2 11 5 2" xfId="5576" xr:uid="{3937B426-0BDE-4F54-9869-0B269B7AAEBA}"/>
    <cellStyle name="40% - Akzent2 11 5 2 2" xfId="25013" xr:uid="{ACDA3112-DCA5-413B-85FA-DF86CEE4C030}"/>
    <cellStyle name="40% - Akzent2 11 5 3" xfId="25012" xr:uid="{DBB2A66F-BE9C-4111-812F-DB144AC0D8CD}"/>
    <cellStyle name="40% - Akzent2 11 6" xfId="5577" xr:uid="{7E85A1BD-F2C8-4121-99C3-9A4BC1D79387}"/>
    <cellStyle name="40% - Akzent2 11 6 2" xfId="5578" xr:uid="{81F6E199-FC5D-425C-9229-5F4579BA43F9}"/>
    <cellStyle name="40% - Akzent2 11 6 2 2" xfId="25015" xr:uid="{B9EDE45F-EA7F-48A1-9524-E3F043FB08E0}"/>
    <cellStyle name="40% - Akzent2 11 6 3" xfId="25014" xr:uid="{3A9CED8F-1885-4DC7-A176-E0F4540766AD}"/>
    <cellStyle name="40% - Akzent2 11 7" xfId="5579" xr:uid="{F95A109F-02E1-4BE5-9957-FC4B5CD1E96C}"/>
    <cellStyle name="40% - Akzent2 11 7 2" xfId="5580" xr:uid="{4C398236-7DF9-4E0D-93D9-B8FCD9C986C7}"/>
    <cellStyle name="40% - Akzent2 11 7 2 2" xfId="25017" xr:uid="{D94475AE-6F1B-41A2-9D0E-DF420AC33A1D}"/>
    <cellStyle name="40% - Akzent2 11 7 3" xfId="25016" xr:uid="{B9FE2587-43B7-47BD-B869-BFBE216317A4}"/>
    <cellStyle name="40% - Akzent2 11 8" xfId="5581" xr:uid="{FAFBE41E-E94F-4CA0-8B14-BB235BCE23DE}"/>
    <cellStyle name="40% - Akzent2 11 8 2" xfId="5582" xr:uid="{3E3CC74F-0237-40B1-997E-E0B203F92946}"/>
    <cellStyle name="40% - Akzent2 11 8 2 2" xfId="25019" xr:uid="{E7A4D82B-27F1-4853-8F55-31CCDD90F967}"/>
    <cellStyle name="40% - Akzent2 11 8 3" xfId="25018" xr:uid="{AB30060F-8204-44C0-AB05-E2DAD90E072B}"/>
    <cellStyle name="40% - Akzent2 11 9" xfId="5583" xr:uid="{1E6A0C42-1DDF-452A-8F0C-B4827F877E6D}"/>
    <cellStyle name="40% - Akzent2 11 9 2" xfId="5584" xr:uid="{25EE42CA-5493-4DE5-9616-61431DABDD05}"/>
    <cellStyle name="40% - Akzent2 11 9 2 2" xfId="25021" xr:uid="{2155455B-9CFA-4DCC-B726-0542B7FCF762}"/>
    <cellStyle name="40% - Akzent2 11 9 3" xfId="25020" xr:uid="{AF1E4A58-9CF1-4E31-AE59-692315138FEA}"/>
    <cellStyle name="40% - Akzent2 12" xfId="5585" xr:uid="{167177E0-AC36-4565-A401-4DF4585096E3}"/>
    <cellStyle name="40% - Akzent2 12 10" xfId="5586" xr:uid="{3DC3A175-61BE-44B6-9BE0-284A2D1E4717}"/>
    <cellStyle name="40% - Akzent2 12 10 2" xfId="5587" xr:uid="{DE9D2320-9614-45A6-BD84-966A80AD11CB}"/>
    <cellStyle name="40% - Akzent2 12 10 2 2" xfId="25024" xr:uid="{668E81FF-C50B-4A8D-A101-13F311605795}"/>
    <cellStyle name="40% - Akzent2 12 10 3" xfId="25023" xr:uid="{25ABA1BF-0D25-447C-852C-88EB583EB658}"/>
    <cellStyle name="40% - Akzent2 12 11" xfId="5588" xr:uid="{C47C81DE-0509-43B4-AF85-E2F0B612CBC8}"/>
    <cellStyle name="40% - Akzent2 12 11 2" xfId="5589" xr:uid="{C86E46D9-ADF7-4BF8-83A1-B4CF66DC79E5}"/>
    <cellStyle name="40% - Akzent2 12 11 2 2" xfId="25026" xr:uid="{74AE0BEE-B765-4859-BF5D-5C82D7994337}"/>
    <cellStyle name="40% - Akzent2 12 11 3" xfId="25025" xr:uid="{FBBD66B1-4FC4-470B-9D92-964D9650EA6D}"/>
    <cellStyle name="40% - Akzent2 12 12" xfId="5590" xr:uid="{D17D3D6B-9E75-4307-8B5B-22CA07844540}"/>
    <cellStyle name="40% - Akzent2 12 12 2" xfId="5591" xr:uid="{0B1A464C-DDBE-41A8-B282-2ACCD243B8A5}"/>
    <cellStyle name="40% - Akzent2 12 12 2 2" xfId="25028" xr:uid="{F5E32FC1-D0B2-4049-89B4-7461D6779E42}"/>
    <cellStyle name="40% - Akzent2 12 12 3" xfId="25027" xr:uid="{B00F0499-ED0E-426C-BDDB-6462E4314CDA}"/>
    <cellStyle name="40% - Akzent2 12 13" xfId="5592" xr:uid="{A1E9A91F-D2F2-4206-B69F-AF0408D79411}"/>
    <cellStyle name="40% - Akzent2 12 13 2" xfId="5593" xr:uid="{B8888F73-99E1-4460-BCC5-45C7BC9D2D0D}"/>
    <cellStyle name="40% - Akzent2 12 13 2 2" xfId="25030" xr:uid="{54806C6F-0312-4407-81DF-A3FFD241B8DE}"/>
    <cellStyle name="40% - Akzent2 12 13 3" xfId="25029" xr:uid="{DC776384-10E7-4DBD-96D2-666CA7ADA458}"/>
    <cellStyle name="40% - Akzent2 12 14" xfId="5594" xr:uid="{E3244EE4-D833-4B7C-A980-AEE848040D04}"/>
    <cellStyle name="40% - Akzent2 12 14 2" xfId="5595" xr:uid="{CED0E2A5-E02E-4776-91F9-A7C5E7C9703B}"/>
    <cellStyle name="40% - Akzent2 12 14 2 2" xfId="25032" xr:uid="{2DD1CADC-D8C6-45BB-A80F-82B929C830AC}"/>
    <cellStyle name="40% - Akzent2 12 14 3" xfId="25031" xr:uid="{074E81D1-ED08-407B-BDA2-66AC837564C0}"/>
    <cellStyle name="40% - Akzent2 12 15" xfId="5596" xr:uid="{8B0D528B-324B-478D-9176-209F932D71DC}"/>
    <cellStyle name="40% - Akzent2 12 15 2" xfId="5597" xr:uid="{B0D7873E-85F9-4DE4-AE78-E9F52F4A2F48}"/>
    <cellStyle name="40% - Akzent2 12 15 2 2" xfId="25034" xr:uid="{471D2FE6-047D-40EA-A509-DC75142C1CFB}"/>
    <cellStyle name="40% - Akzent2 12 15 3" xfId="25033" xr:uid="{DBF6B1B1-1792-4C6F-9141-6BF5A5658654}"/>
    <cellStyle name="40% - Akzent2 12 16" xfId="5598" xr:uid="{C6B955AE-D89C-40DE-9507-24AB681F178D}"/>
    <cellStyle name="40% - Akzent2 12 16 2" xfId="5599" xr:uid="{A0F393F1-AB8C-4277-94B8-C0D6F34094B8}"/>
    <cellStyle name="40% - Akzent2 12 16 2 2" xfId="25036" xr:uid="{0EE88351-3335-4E50-9493-B1FB44C7F35C}"/>
    <cellStyle name="40% - Akzent2 12 16 3" xfId="25035" xr:uid="{B17E2C25-34B2-4BAD-A6D5-5E16674282C4}"/>
    <cellStyle name="40% - Akzent2 12 17" xfId="5600" xr:uid="{8BF172A4-55B6-4572-9A37-1DB1A3306398}"/>
    <cellStyle name="40% - Akzent2 12 17 2" xfId="5601" xr:uid="{A76A822B-D78F-4544-AF5F-D335239D4B98}"/>
    <cellStyle name="40% - Akzent2 12 17 2 2" xfId="25038" xr:uid="{6D412C6F-6D28-47BE-8433-019D6FEF41FA}"/>
    <cellStyle name="40% - Akzent2 12 17 3" xfId="25037" xr:uid="{588CFD57-E1B0-45B5-9940-A577E3E2A3EF}"/>
    <cellStyle name="40% - Akzent2 12 18" xfId="5602" xr:uid="{80EDEF1B-1215-4FB5-8037-2BE21099FC03}"/>
    <cellStyle name="40% - Akzent2 12 18 2" xfId="5603" xr:uid="{1F2F20DE-C059-4373-B4F5-D3B1EB18534E}"/>
    <cellStyle name="40% - Akzent2 12 18 2 2" xfId="25040" xr:uid="{60A948F6-A871-486A-A3D7-42626044E336}"/>
    <cellStyle name="40% - Akzent2 12 18 3" xfId="25039" xr:uid="{544BBDC2-447D-4A56-9AD7-708D395BC101}"/>
    <cellStyle name="40% - Akzent2 12 19" xfId="5604" xr:uid="{1DB5B3BA-FEB7-4F83-9148-730456D2A586}"/>
    <cellStyle name="40% - Akzent2 12 19 2" xfId="5605" xr:uid="{D5FDD059-1A0E-40AC-A448-E4942E4C238C}"/>
    <cellStyle name="40% - Akzent2 12 19 2 2" xfId="25042" xr:uid="{4080058D-8C2D-4465-BA21-03F855D35B1F}"/>
    <cellStyle name="40% - Akzent2 12 19 3" xfId="25041" xr:uid="{6F9E4CC1-1125-428F-A673-97BBB2953E3B}"/>
    <cellStyle name="40% - Akzent2 12 2" xfId="5606" xr:uid="{C4A1D021-0DAF-4136-B3EC-48FC07BCD83E}"/>
    <cellStyle name="40% - Akzent2 12 2 2" xfId="5607" xr:uid="{A6BFA39F-398B-4C6A-B70A-FA4924C14321}"/>
    <cellStyle name="40% - Akzent2 12 2 2 2" xfId="25044" xr:uid="{423F676F-88E3-4434-A226-3DA1A9F20A27}"/>
    <cellStyle name="40% - Akzent2 12 2 3" xfId="25043" xr:uid="{CBF00E81-9505-4D22-814E-8D1383F03A5D}"/>
    <cellStyle name="40% - Akzent2 12 20" xfId="5608" xr:uid="{7D7AD68B-3179-4163-BB1C-86BF8FD9D697}"/>
    <cellStyle name="40% - Akzent2 12 20 2" xfId="5609" xr:uid="{D229EAA7-2764-41FA-B0CD-C318C8B4E6F9}"/>
    <cellStyle name="40% - Akzent2 12 20 2 2" xfId="25046" xr:uid="{41D4DFD1-C7B6-4D2F-ACD4-D14F7E1E1458}"/>
    <cellStyle name="40% - Akzent2 12 20 3" xfId="25045" xr:uid="{E1BE86BD-8260-4AFC-80A6-427D7CD352E6}"/>
    <cellStyle name="40% - Akzent2 12 21" xfId="5610" xr:uid="{E777CBA0-4F0E-472F-A87B-A329A0FEF6A1}"/>
    <cellStyle name="40% - Akzent2 12 21 2" xfId="5611" xr:uid="{526F8BE0-4B89-44F6-8AA2-DB58134D1397}"/>
    <cellStyle name="40% - Akzent2 12 21 2 2" xfId="25048" xr:uid="{283AAB1F-3803-4F54-BEDF-B406DDB567F6}"/>
    <cellStyle name="40% - Akzent2 12 21 3" xfId="25047" xr:uid="{A36FCA92-B0EF-47D2-A6E5-53F2D21FEDD5}"/>
    <cellStyle name="40% - Akzent2 12 22" xfId="5612" xr:uid="{E6A31DB4-AF4F-4FF3-BB52-D22FF98E7E98}"/>
    <cellStyle name="40% - Akzent2 12 22 2" xfId="25049" xr:uid="{3D3D285A-A3F1-4F30-8283-F24626F4AC1D}"/>
    <cellStyle name="40% - Akzent2 12 23" xfId="25022" xr:uid="{810E675C-454B-4A9E-A5CA-27C2B65A9AF9}"/>
    <cellStyle name="40% - Akzent2 12 3" xfId="5613" xr:uid="{D114F587-FA9F-4E56-83F5-5B4899242128}"/>
    <cellStyle name="40% - Akzent2 12 3 2" xfId="5614" xr:uid="{FBCC9C5C-D7A4-448C-9025-B5DE11A46336}"/>
    <cellStyle name="40% - Akzent2 12 3 2 2" xfId="25051" xr:uid="{8D8863B2-9366-4778-838F-BEE4C8CDC191}"/>
    <cellStyle name="40% - Akzent2 12 3 3" xfId="25050" xr:uid="{15C1A9FD-B3F2-4ED2-96BB-B6FE8BF38A75}"/>
    <cellStyle name="40% - Akzent2 12 4" xfId="5615" xr:uid="{22CFE317-9BD4-4016-AA8E-67EC7B75EFFD}"/>
    <cellStyle name="40% - Akzent2 12 4 2" xfId="5616" xr:uid="{29E4C861-266C-4C7E-8C1B-53F535C38642}"/>
    <cellStyle name="40% - Akzent2 12 4 2 2" xfId="25053" xr:uid="{5A7E064C-4DCB-4311-9596-4DA55AA74986}"/>
    <cellStyle name="40% - Akzent2 12 4 3" xfId="25052" xr:uid="{0CF2855C-F767-4612-9FF6-7B508783635D}"/>
    <cellStyle name="40% - Akzent2 12 5" xfId="5617" xr:uid="{A89AE43E-1116-4EE4-A486-667CE28242E3}"/>
    <cellStyle name="40% - Akzent2 12 5 2" xfId="5618" xr:uid="{2AE343C1-8ECE-4C1B-A61D-DBFD2374512B}"/>
    <cellStyle name="40% - Akzent2 12 5 2 2" xfId="25055" xr:uid="{4839FF51-A913-45A5-9FC0-1452C356442C}"/>
    <cellStyle name="40% - Akzent2 12 5 3" xfId="25054" xr:uid="{1519D6D0-6936-4795-91D0-9F4CB6D43E9E}"/>
    <cellStyle name="40% - Akzent2 12 6" xfId="5619" xr:uid="{48200E3F-3CF3-49D9-8365-C3F2AE1DC9A2}"/>
    <cellStyle name="40% - Akzent2 12 6 2" xfId="5620" xr:uid="{72A0E40D-2225-4164-BDD0-09384C2858C4}"/>
    <cellStyle name="40% - Akzent2 12 6 2 2" xfId="25057" xr:uid="{DA2D66A7-4511-42E2-A2DA-3C762D44EE50}"/>
    <cellStyle name="40% - Akzent2 12 6 3" xfId="25056" xr:uid="{F1EC12FD-22C1-4E90-BA0A-5C8D1395E858}"/>
    <cellStyle name="40% - Akzent2 12 7" xfId="5621" xr:uid="{B2613397-26FF-4538-B209-A3003F18F036}"/>
    <cellStyle name="40% - Akzent2 12 7 2" xfId="5622" xr:uid="{EB878C1F-65F1-4568-973A-DDB2A6FF46F1}"/>
    <cellStyle name="40% - Akzent2 12 7 2 2" xfId="25059" xr:uid="{BF2B420E-090C-465D-9EFC-FD27B165A97E}"/>
    <cellStyle name="40% - Akzent2 12 7 3" xfId="25058" xr:uid="{9EE854A8-7882-4FEA-A98C-F541A67BBBDE}"/>
    <cellStyle name="40% - Akzent2 12 8" xfId="5623" xr:uid="{99571226-AD0F-4F92-ADA5-0820FCABD0A7}"/>
    <cellStyle name="40% - Akzent2 12 8 2" xfId="5624" xr:uid="{243E51EB-49E1-4E4A-88F0-F46DA95D6A23}"/>
    <cellStyle name="40% - Akzent2 12 8 2 2" xfId="25061" xr:uid="{D3AD7D76-7952-4212-B10E-3784D7B19379}"/>
    <cellStyle name="40% - Akzent2 12 8 3" xfId="25060" xr:uid="{F90FA1B3-A1BB-49B3-A9D6-D16D478C8184}"/>
    <cellStyle name="40% - Akzent2 12 9" xfId="5625" xr:uid="{06EFBECF-5A64-437A-B5DE-75B1FBE4C48E}"/>
    <cellStyle name="40% - Akzent2 12 9 2" xfId="5626" xr:uid="{5C7119B1-2BF3-4C36-8A98-292655574669}"/>
    <cellStyle name="40% - Akzent2 12 9 2 2" xfId="25063" xr:uid="{007D98B0-6E83-4445-8EEE-B029EBA9CBC3}"/>
    <cellStyle name="40% - Akzent2 12 9 3" xfId="25062" xr:uid="{D346984D-7012-4C9D-963A-54E492317A57}"/>
    <cellStyle name="40% - Akzent2 13" xfId="5627" xr:uid="{1B178A62-7B24-4B09-908D-21DC94A6EBD1}"/>
    <cellStyle name="40% - Akzent2 13 10" xfId="5628" xr:uid="{B6B526CE-4982-41DB-9D78-E215F7EA897C}"/>
    <cellStyle name="40% - Akzent2 13 10 2" xfId="5629" xr:uid="{CCEAB8B5-6B2A-450E-9C80-7E6EBE6680BB}"/>
    <cellStyle name="40% - Akzent2 13 10 2 2" xfId="25066" xr:uid="{072F8BB1-66DC-4AFA-9453-0E0DAAC0216B}"/>
    <cellStyle name="40% - Akzent2 13 10 3" xfId="25065" xr:uid="{882DB427-F02D-473D-91A1-694DBD03435E}"/>
    <cellStyle name="40% - Akzent2 13 11" xfId="5630" xr:uid="{C6286F96-3992-404B-BA87-3EB9227109D6}"/>
    <cellStyle name="40% - Akzent2 13 11 2" xfId="5631" xr:uid="{1AB89772-8A9C-477E-9AA9-6DAB0F5374A2}"/>
    <cellStyle name="40% - Akzent2 13 11 2 2" xfId="25068" xr:uid="{C6562A9B-7DB1-439C-A87D-ED9AB5959C64}"/>
    <cellStyle name="40% - Akzent2 13 11 3" xfId="25067" xr:uid="{A7028E8E-6B49-48C9-B5D7-84CC5F1EAE5E}"/>
    <cellStyle name="40% - Akzent2 13 12" xfId="5632" xr:uid="{D00F8077-6ED2-4249-B8B1-E2196CB0192C}"/>
    <cellStyle name="40% - Akzent2 13 12 2" xfId="5633" xr:uid="{9FB52EBB-C474-4ACE-BB07-82A7316C688C}"/>
    <cellStyle name="40% - Akzent2 13 12 2 2" xfId="25070" xr:uid="{F86026EE-40AE-4B5C-9F3B-8B76FF276003}"/>
    <cellStyle name="40% - Akzent2 13 12 3" xfId="25069" xr:uid="{51A559A8-D6C1-44E2-BAB7-D0DECB289AFA}"/>
    <cellStyle name="40% - Akzent2 13 13" xfId="5634" xr:uid="{BEB915D4-5560-4AB0-98B6-B5993BE0C542}"/>
    <cellStyle name="40% - Akzent2 13 13 2" xfId="5635" xr:uid="{2DBE1226-3B28-4C08-96D5-E8BC652610D6}"/>
    <cellStyle name="40% - Akzent2 13 13 2 2" xfId="25072" xr:uid="{9ED16081-AD11-45B2-AF9C-AB8BE965FE45}"/>
    <cellStyle name="40% - Akzent2 13 13 3" xfId="25071" xr:uid="{CFF38DBE-8C55-4B3E-A583-5405FBE314D0}"/>
    <cellStyle name="40% - Akzent2 13 14" xfId="5636" xr:uid="{27C599D4-9A86-4664-8EF8-8CA4E5F86AB3}"/>
    <cellStyle name="40% - Akzent2 13 14 2" xfId="25073" xr:uid="{9093FF04-F4E0-434D-ABF8-A24ECEF825FD}"/>
    <cellStyle name="40% - Akzent2 13 15" xfId="25064" xr:uid="{28572054-82C9-424B-BA6A-2AC830CA4825}"/>
    <cellStyle name="40% - Akzent2 13 2" xfId="5637" xr:uid="{64C67910-C84B-4797-B7EA-B8E9B5876AD2}"/>
    <cellStyle name="40% - Akzent2 13 2 2" xfId="5638" xr:uid="{867DDA06-6ED4-4D9E-9B37-80733B3028F0}"/>
    <cellStyle name="40% - Akzent2 13 2 2 2" xfId="25075" xr:uid="{F811B2A1-3A8F-4C3D-8F08-A824C2E6EC69}"/>
    <cellStyle name="40% - Akzent2 13 2 3" xfId="25074" xr:uid="{F757B975-ACA6-4088-88F1-7CCAB640EC60}"/>
    <cellStyle name="40% - Akzent2 13 3" xfId="5639" xr:uid="{ED7028D9-CBEB-44AC-91A9-98C6D34EF56F}"/>
    <cellStyle name="40% - Akzent2 13 3 2" xfId="5640" xr:uid="{5FCCB6BB-F98C-42FF-87FF-B1A7220813D9}"/>
    <cellStyle name="40% - Akzent2 13 3 2 2" xfId="25077" xr:uid="{08124BBD-61DE-4103-814C-70B3513D41D0}"/>
    <cellStyle name="40% - Akzent2 13 3 3" xfId="25076" xr:uid="{236E1C23-DEA5-4084-AA4E-E451EEEDE2C6}"/>
    <cellStyle name="40% - Akzent2 13 4" xfId="5641" xr:uid="{74D61973-2956-45D7-8367-21AEBF89BFB6}"/>
    <cellStyle name="40% - Akzent2 13 4 2" xfId="5642" xr:uid="{6BFB8631-0D6D-4A3E-BD61-EF68552608F1}"/>
    <cellStyle name="40% - Akzent2 13 4 2 2" xfId="25079" xr:uid="{ABEB423A-C563-4AA8-B859-2096E860ED5E}"/>
    <cellStyle name="40% - Akzent2 13 4 3" xfId="25078" xr:uid="{5EE6B4DE-1D2B-45B4-8D5B-B86F7A26D2FF}"/>
    <cellStyle name="40% - Akzent2 13 5" xfId="5643" xr:uid="{2B4FDD0D-A8C5-444C-BC0D-65FBB72F82AE}"/>
    <cellStyle name="40% - Akzent2 13 5 2" xfId="5644" xr:uid="{A826B4BE-EF02-4F6B-A9D6-57FF5A364B57}"/>
    <cellStyle name="40% - Akzent2 13 5 2 2" xfId="25081" xr:uid="{C696BB8C-74BA-4AED-A334-F490E2729792}"/>
    <cellStyle name="40% - Akzent2 13 5 3" xfId="25080" xr:uid="{D850A9F3-5B2B-4E14-BB38-A2B0C5E70CC7}"/>
    <cellStyle name="40% - Akzent2 13 6" xfId="5645" xr:uid="{C0333A89-490A-4E35-B46E-E1D7F831ECD2}"/>
    <cellStyle name="40% - Akzent2 13 6 2" xfId="5646" xr:uid="{E1696D08-5417-40B0-96BD-68818C1AC9C6}"/>
    <cellStyle name="40% - Akzent2 13 6 2 2" xfId="25083" xr:uid="{BF62E6BF-36A9-44FC-B11C-16BD2B3A5764}"/>
    <cellStyle name="40% - Akzent2 13 6 3" xfId="25082" xr:uid="{F7AD309D-F662-4DF7-A789-FB3BBFB81A95}"/>
    <cellStyle name="40% - Akzent2 13 7" xfId="5647" xr:uid="{3AFB04AF-9D6C-4237-81E5-7C68729EC0DA}"/>
    <cellStyle name="40% - Akzent2 13 7 2" xfId="5648" xr:uid="{E7323921-D870-4BD9-9441-C439A1BF5A38}"/>
    <cellStyle name="40% - Akzent2 13 7 2 2" xfId="25085" xr:uid="{DC6FEDA5-F9BE-4547-BBDD-DEA8EE8705B1}"/>
    <cellStyle name="40% - Akzent2 13 7 3" xfId="25084" xr:uid="{FCFA19E1-C5D4-4408-BD65-BB791A82435F}"/>
    <cellStyle name="40% - Akzent2 13 8" xfId="5649" xr:uid="{6AF44673-9004-4870-B883-AC2C5B68AB1C}"/>
    <cellStyle name="40% - Akzent2 13 8 2" xfId="5650" xr:uid="{2F817960-5F64-4F40-920C-537526FB53DC}"/>
    <cellStyle name="40% - Akzent2 13 8 2 2" xfId="25087" xr:uid="{DCDFE6CC-C402-4214-B72E-03FBE7878216}"/>
    <cellStyle name="40% - Akzent2 13 8 3" xfId="25086" xr:uid="{1C89E93F-DD82-4761-938D-60CF11FAE079}"/>
    <cellStyle name="40% - Akzent2 13 9" xfId="5651" xr:uid="{F635805E-DEC5-48A4-85AE-074B40CC7C94}"/>
    <cellStyle name="40% - Akzent2 13 9 2" xfId="5652" xr:uid="{97A6A1FD-ABEA-4313-A08C-75E7B28CD69E}"/>
    <cellStyle name="40% - Akzent2 13 9 2 2" xfId="25089" xr:uid="{B8B482D7-B888-4DAC-8EE0-E1FF7E12FAB8}"/>
    <cellStyle name="40% - Akzent2 13 9 3" xfId="25088" xr:uid="{38FFDFCD-797E-40A3-8A86-E650E8CB440F}"/>
    <cellStyle name="40% - Akzent2 14" xfId="5653" xr:uid="{ACBD2618-A36B-4D41-BDE3-1EBDEF64D7CA}"/>
    <cellStyle name="40% - Akzent2 14 2" xfId="5654" xr:uid="{D17A8F06-DB69-407E-9854-3E3B9D8D8E6D}"/>
    <cellStyle name="40% - Akzent2 14 2 2" xfId="25091" xr:uid="{81204C28-B2DB-4D00-AFEC-149A51D139EC}"/>
    <cellStyle name="40% - Akzent2 14 3" xfId="5655" xr:uid="{8BC7F511-1FFF-4EA6-9508-7556BA9EE913}"/>
    <cellStyle name="40% - Akzent2 14 3 2" xfId="25092" xr:uid="{71222EA0-CB36-44D5-9788-C03BAD9604B2}"/>
    <cellStyle name="40% - Akzent2 14 4" xfId="25090" xr:uid="{689DBB3D-FA70-40FD-AE55-69D971E54020}"/>
    <cellStyle name="40% - Akzent2 15" xfId="5656" xr:uid="{17986DBC-53FC-4220-A473-745C644B57C9}"/>
    <cellStyle name="40% - Akzent2 15 2" xfId="5657" xr:uid="{484A91A7-1648-4101-8402-55BE242E675B}"/>
    <cellStyle name="40% - Akzent2 15 2 2" xfId="25094" xr:uid="{DA92B15B-8064-44C9-AB56-585390AEA8A7}"/>
    <cellStyle name="40% - Akzent2 15 3" xfId="5658" xr:uid="{C6EB0B6A-4289-48CD-9459-496A2072C50C}"/>
    <cellStyle name="40% - Akzent2 15 3 2" xfId="25095" xr:uid="{47900ABE-B7BB-4BE3-8D25-11198C02B3DF}"/>
    <cellStyle name="40% - Akzent2 15 4" xfId="25093" xr:uid="{4CBBFFA0-8467-4FD4-A2A7-6F8178306956}"/>
    <cellStyle name="40% - Akzent2 16" xfId="5659" xr:uid="{22FEAB37-6681-49B3-9DF4-F19A6291A126}"/>
    <cellStyle name="40% - Akzent2 16 2" xfId="5660" xr:uid="{3BC880B2-7DC9-4729-A68D-3505C234F86F}"/>
    <cellStyle name="40% - Akzent2 16 2 2" xfId="25097" xr:uid="{A38BA2F3-536F-4BB7-ACAB-17E8F95C0F55}"/>
    <cellStyle name="40% - Akzent2 16 3" xfId="5661" xr:uid="{786E9CB7-7703-4C21-88E2-8C620D3BA9CE}"/>
    <cellStyle name="40% - Akzent2 16 3 2" xfId="25098" xr:uid="{749840B9-D339-4FAF-B18C-759FF1711B89}"/>
    <cellStyle name="40% - Akzent2 16 4" xfId="25096" xr:uid="{767AA29F-A061-499F-A623-6B6E49A5CC0B}"/>
    <cellStyle name="40% - Akzent2 17" xfId="5662" xr:uid="{B2DAEBD2-C935-4FD6-9FBA-18998FDEE922}"/>
    <cellStyle name="40% - Akzent2 17 2" xfId="5663" xr:uid="{991CF41C-9D76-4418-A11D-68E806563A04}"/>
    <cellStyle name="40% - Akzent2 17 2 2" xfId="25100" xr:uid="{C4D419CA-A132-4B1C-888F-5C79D0D5D6F7}"/>
    <cellStyle name="40% - Akzent2 17 3" xfId="5664" xr:uid="{447C332A-4CF6-4065-91B8-4D15FA9BA401}"/>
    <cellStyle name="40% - Akzent2 17 3 2" xfId="25101" xr:uid="{AA44D0B9-D0E1-480F-AEF4-32ADB75A80F1}"/>
    <cellStyle name="40% - Akzent2 17 4" xfId="25099" xr:uid="{F6F24D08-E918-4D7C-A24F-65E74D7FA87A}"/>
    <cellStyle name="40% - Akzent2 18" xfId="5665" xr:uid="{6F16F5DB-4F66-4B77-A80F-B042496E8758}"/>
    <cellStyle name="40% - Akzent2 18 2" xfId="5666" xr:uid="{323A6DBA-8626-4A35-8B60-F92FD167E119}"/>
    <cellStyle name="40% - Akzent2 18 2 2" xfId="25103" xr:uid="{33BB96F5-D346-4384-8968-549F6D183254}"/>
    <cellStyle name="40% - Akzent2 18 3" xfId="5667" xr:uid="{67676E86-F529-4158-8916-F1A056A1BDDA}"/>
    <cellStyle name="40% - Akzent2 18 3 2" xfId="25104" xr:uid="{9C4159D0-84C5-409C-BC0F-0D5638EDD06E}"/>
    <cellStyle name="40% - Akzent2 18 4" xfId="25102" xr:uid="{1461A2D1-6DFD-4972-A779-017E5EEFCF6C}"/>
    <cellStyle name="40% - Akzent2 19" xfId="5668" xr:uid="{4080530B-051C-4780-BC82-4D3BECCC9DF9}"/>
    <cellStyle name="40% - Akzent2 19 2" xfId="5669" xr:uid="{0586B74C-728E-45DA-805F-9FE9270E2CDD}"/>
    <cellStyle name="40% - Akzent2 19 2 2" xfId="25106" xr:uid="{EC4769E3-5AFC-41B2-8D6E-B616AD9ABA9E}"/>
    <cellStyle name="40% - Akzent2 19 3" xfId="5670" xr:uid="{378E4F70-D7EB-4913-B0CF-D6BEAD584A28}"/>
    <cellStyle name="40% - Akzent2 19 3 2" xfId="25107" xr:uid="{A30A730B-F8A3-4A8B-BDAD-354ED693CC0B}"/>
    <cellStyle name="40% - Akzent2 19 4" xfId="25105" xr:uid="{24764F24-12FA-4032-AFB7-20C29EE6536C}"/>
    <cellStyle name="40% - Akzent2 2" xfId="100" xr:uid="{20C1B2DB-3281-4BE0-8178-7A37E344DDC5}"/>
    <cellStyle name="40% - Akzent2 2 10" xfId="5672" xr:uid="{4449AA7F-56C9-44CD-95C3-2887D4D1E42C}"/>
    <cellStyle name="40% - Akzent2 2 10 2" xfId="5673" xr:uid="{720273AD-1F15-4BA5-B5DF-185CA443B466}"/>
    <cellStyle name="40% - Akzent2 2 10 2 2" xfId="25110" xr:uid="{B60E887E-6564-4761-949C-699A24166A61}"/>
    <cellStyle name="40% - Akzent2 2 10 3" xfId="25109" xr:uid="{FE7F0B31-0D0E-43B8-93E1-985ED30FDF1B}"/>
    <cellStyle name="40% - Akzent2 2 11" xfId="5674" xr:uid="{63816CD7-F739-4856-8039-F28741533396}"/>
    <cellStyle name="40% - Akzent2 2 11 2" xfId="5675" xr:uid="{7BE83BD5-64C2-4886-BBE4-998CE996F0F7}"/>
    <cellStyle name="40% - Akzent2 2 11 2 2" xfId="25112" xr:uid="{48C28E2D-969A-4E23-AC86-946955ACC378}"/>
    <cellStyle name="40% - Akzent2 2 11 3" xfId="25111" xr:uid="{8172B4CC-6585-4966-9CA6-9784055966C5}"/>
    <cellStyle name="40% - Akzent2 2 12" xfId="5676" xr:uid="{AC647E26-14EF-43E5-993F-97923F14C746}"/>
    <cellStyle name="40% - Akzent2 2 12 2" xfId="5677" xr:uid="{FBF302AF-5242-4751-B566-1EC4DD1C6E16}"/>
    <cellStyle name="40% - Akzent2 2 12 2 2" xfId="25114" xr:uid="{6F433B5C-6278-43F3-BA2C-019291D3F6AF}"/>
    <cellStyle name="40% - Akzent2 2 12 3" xfId="25113" xr:uid="{78F6CA2A-1347-43F9-A9F7-3897A4DBC0B2}"/>
    <cellStyle name="40% - Akzent2 2 13" xfId="5678" xr:uid="{6F786321-FF4E-48A5-9E46-4B2113B7EE71}"/>
    <cellStyle name="40% - Akzent2 2 13 2" xfId="5679" xr:uid="{BF72C488-79B9-46EF-B7E0-584A32B706C6}"/>
    <cellStyle name="40% - Akzent2 2 13 2 2" xfId="25116" xr:uid="{32F9866F-81AC-488C-A9A2-04427A72FBC6}"/>
    <cellStyle name="40% - Akzent2 2 13 3" xfId="25115" xr:uid="{D922D3F8-F278-4A52-92E3-C0C4BBBD92A4}"/>
    <cellStyle name="40% - Akzent2 2 14" xfId="5680" xr:uid="{E9478500-7B26-4085-ABBA-818C3D41096B}"/>
    <cellStyle name="40% - Akzent2 2 14 2" xfId="5681" xr:uid="{F8B0F044-E9B9-4237-8B74-FC603EC617CB}"/>
    <cellStyle name="40% - Akzent2 2 14 2 2" xfId="25118" xr:uid="{A057C271-67F2-4064-9833-CBCDA0A00FF2}"/>
    <cellStyle name="40% - Akzent2 2 14 3" xfId="25117" xr:uid="{8AE7973C-7B1D-44C1-A51E-5F18B1A47C02}"/>
    <cellStyle name="40% - Akzent2 2 15" xfId="5682" xr:uid="{D43CA4A2-EABC-4039-AA31-4D3D23C1E94A}"/>
    <cellStyle name="40% - Akzent2 2 15 2" xfId="5683" xr:uid="{8F43F2DA-754D-4D24-9CE5-B081192408D4}"/>
    <cellStyle name="40% - Akzent2 2 15 2 2" xfId="25120" xr:uid="{1F953247-4E1C-492B-A226-53BCAEE26063}"/>
    <cellStyle name="40% - Akzent2 2 15 3" xfId="25119" xr:uid="{F286EF7E-A17E-42D8-8ACD-4CC9FE16BE1C}"/>
    <cellStyle name="40% - Akzent2 2 16" xfId="5684" xr:uid="{F7B7862A-8794-42A1-91EE-EBFF1CB1D850}"/>
    <cellStyle name="40% - Akzent2 2 16 2" xfId="5685" xr:uid="{D13FF706-B74C-4DD9-BF2B-74649D70BE07}"/>
    <cellStyle name="40% - Akzent2 2 16 2 2" xfId="25122" xr:uid="{A4CD1764-C412-4E0B-8291-A5551DD8DB29}"/>
    <cellStyle name="40% - Akzent2 2 16 3" xfId="25121" xr:uid="{D942871F-1224-4BEB-8E7D-EA075211B344}"/>
    <cellStyle name="40% - Akzent2 2 17" xfId="5686" xr:uid="{93A3BDD3-4CD9-4BA4-A4B2-C35713767BAE}"/>
    <cellStyle name="40% - Akzent2 2 17 2" xfId="5687" xr:uid="{432B46C8-F806-4530-A309-5E245C363FEE}"/>
    <cellStyle name="40% - Akzent2 2 17 2 2" xfId="25124" xr:uid="{33815435-BB05-4FE8-820F-25967930B098}"/>
    <cellStyle name="40% - Akzent2 2 17 3" xfId="25123" xr:uid="{7FECA16D-20D0-4EB6-A547-45075768AF79}"/>
    <cellStyle name="40% - Akzent2 2 18" xfId="5688" xr:uid="{8A1EFB72-2F73-4D0B-8B25-A6AB8617A36B}"/>
    <cellStyle name="40% - Akzent2 2 18 2" xfId="5689" xr:uid="{03D23ED3-134B-4CC9-8406-A0C399B7D0C6}"/>
    <cellStyle name="40% - Akzent2 2 18 2 2" xfId="25126" xr:uid="{9A9EA8A1-36A6-49BA-A8EC-4F49D3CF6529}"/>
    <cellStyle name="40% - Akzent2 2 18 3" xfId="25125" xr:uid="{F51DC9C0-BBA3-4961-82D6-34D2D2B96E14}"/>
    <cellStyle name="40% - Akzent2 2 19" xfId="5690" xr:uid="{871D6877-4FF7-4AB5-8FCB-0ACEA87881A8}"/>
    <cellStyle name="40% - Akzent2 2 19 2" xfId="5691" xr:uid="{F8F196C2-1D88-4640-9299-C69F5147FEA7}"/>
    <cellStyle name="40% - Akzent2 2 19 2 2" xfId="25128" xr:uid="{574CE482-5C89-4701-A6F8-B409A7049A79}"/>
    <cellStyle name="40% - Akzent2 2 19 3" xfId="25127" xr:uid="{1DB31D60-69D3-49F8-B1DE-3B2BD9E18947}"/>
    <cellStyle name="40% - Akzent2 2 2" xfId="5692" xr:uid="{BBD094B1-DD96-439C-AB87-4998D1183C3E}"/>
    <cellStyle name="40% - Akzent2 2 2 10" xfId="5693" xr:uid="{946C442C-49E7-439C-A09F-59FD668114D1}"/>
    <cellStyle name="40% - Akzent2 2 2 10 2" xfId="25130" xr:uid="{E7F3EFC1-A036-457B-BB75-2EE333DD1324}"/>
    <cellStyle name="40% - Akzent2 2 2 11" xfId="5694" xr:uid="{4CB184F1-1BF9-4124-A9C3-F585455ECA01}"/>
    <cellStyle name="40% - Akzent2 2 2 11 2" xfId="25131" xr:uid="{AC8F881C-AAFF-4AA9-87A3-636D5135DBDA}"/>
    <cellStyle name="40% - Akzent2 2 2 12" xfId="5695" xr:uid="{32BBD10F-9069-4C9A-B4AB-872121A102F1}"/>
    <cellStyle name="40% - Akzent2 2 2 12 2" xfId="25132" xr:uid="{C926AE1C-8CF0-4CBC-9CE0-E0CB3B59F7B7}"/>
    <cellStyle name="40% - Akzent2 2 2 13" xfId="5696" xr:uid="{7CBC6E30-5E6B-485D-8E18-F8159512371F}"/>
    <cellStyle name="40% - Akzent2 2 2 13 2" xfId="5697" xr:uid="{2553354A-53F7-4B25-9948-191E5DA7497D}"/>
    <cellStyle name="40% - Akzent2 2 2 13 2 2" xfId="25134" xr:uid="{56734F98-43F5-47D9-8C95-A3381C94691B}"/>
    <cellStyle name="40% - Akzent2 2 2 13 3" xfId="25133" xr:uid="{6F5B1A68-969C-4244-8FBA-FD90F0A4199F}"/>
    <cellStyle name="40% - Akzent2 2 2 14" xfId="5698" xr:uid="{AFAA49C7-E772-486E-9B83-693191429EE7}"/>
    <cellStyle name="40% - Akzent2 2 2 14 2" xfId="5699" xr:uid="{DE1CAE6D-AAAA-4E86-A5B5-12FD4E0DBB22}"/>
    <cellStyle name="40% - Akzent2 2 2 14 2 2" xfId="25136" xr:uid="{9B58ED66-140E-4E27-B3CB-432BDF8CC252}"/>
    <cellStyle name="40% - Akzent2 2 2 14 3" xfId="25135" xr:uid="{F897B668-6733-46C2-8C8A-80E76824A865}"/>
    <cellStyle name="40% - Akzent2 2 2 15" xfId="5700" xr:uid="{BCDD9231-4326-4AA0-A219-13E52F384E86}"/>
    <cellStyle name="40% - Akzent2 2 2 15 2" xfId="5701" xr:uid="{A71E19E2-41C2-42B2-B1BC-BE77E6C0EEED}"/>
    <cellStyle name="40% - Akzent2 2 2 15 2 2" xfId="25138" xr:uid="{C35A0315-2C20-417E-A728-DB446CBCC33C}"/>
    <cellStyle name="40% - Akzent2 2 2 15 3" xfId="25137" xr:uid="{E081F104-9A06-414F-92A5-C38DADBD2C26}"/>
    <cellStyle name="40% - Akzent2 2 2 16" xfId="5702" xr:uid="{150B94A4-4FFC-4517-B9FC-3BFBC01B5452}"/>
    <cellStyle name="40% - Akzent2 2 2 16 2" xfId="5703" xr:uid="{D5A4D625-54C9-4CC3-B08D-4067392DE0C5}"/>
    <cellStyle name="40% - Akzent2 2 2 16 2 2" xfId="25140" xr:uid="{DA2E2644-17F4-457E-ADAD-77C32DAC3B63}"/>
    <cellStyle name="40% - Akzent2 2 2 16 3" xfId="25139" xr:uid="{2127914D-6A78-4A89-A4FD-4AC043A052A3}"/>
    <cellStyle name="40% - Akzent2 2 2 17" xfId="5704" xr:uid="{5392280F-542E-482C-A7DB-10FD21EAC034}"/>
    <cellStyle name="40% - Akzent2 2 2 17 2" xfId="5705" xr:uid="{9D5C83C0-58B6-4BF1-96EE-CB19CE0F312B}"/>
    <cellStyle name="40% - Akzent2 2 2 17 2 2" xfId="25142" xr:uid="{DC419554-C389-4162-80E3-DC8FAD8C10AA}"/>
    <cellStyle name="40% - Akzent2 2 2 17 3" xfId="25141" xr:uid="{7B011781-45A6-45D0-8198-383F4C5DC3FE}"/>
    <cellStyle name="40% - Akzent2 2 2 18" xfId="5706" xr:uid="{62A5F9A1-8512-4D26-9DC6-BA42E4AB5594}"/>
    <cellStyle name="40% - Akzent2 2 2 18 2" xfId="5707" xr:uid="{C908DD01-6D4D-4D36-898A-578C6A392915}"/>
    <cellStyle name="40% - Akzent2 2 2 18 2 2" xfId="25144" xr:uid="{8B53E051-79B0-42C5-BB66-EC9CADBD2581}"/>
    <cellStyle name="40% - Akzent2 2 2 18 3" xfId="25143" xr:uid="{D9525137-891F-4B20-AFF1-153836148248}"/>
    <cellStyle name="40% - Akzent2 2 2 19" xfId="5708" xr:uid="{EDA61A41-DF4A-490A-98C6-A4332E6AAFF1}"/>
    <cellStyle name="40% - Akzent2 2 2 19 2" xfId="5709" xr:uid="{FF37CEE7-F918-4D57-A8B2-1AFEEB620EFA}"/>
    <cellStyle name="40% - Akzent2 2 2 19 2 2" xfId="25146" xr:uid="{7D686CEF-BA78-4088-B083-8FF4509886A7}"/>
    <cellStyle name="40% - Akzent2 2 2 19 3" xfId="25145" xr:uid="{317B69CF-2D13-4BBE-AFCC-CDCA1A21E442}"/>
    <cellStyle name="40% - Akzent2 2 2 2" xfId="5710" xr:uid="{E166ADA6-D13D-4F9E-A5E2-54A81A7E6C2F}"/>
    <cellStyle name="40% - Akzent2 2 2 2 10" xfId="5711" xr:uid="{E66CF181-3E3F-4BE8-8524-E31BCBDEE722}"/>
    <cellStyle name="40% - Akzent2 2 2 2 10 2" xfId="5712" xr:uid="{F638A792-362A-426A-ACC6-8B011E95DBBC}"/>
    <cellStyle name="40% - Akzent2 2 2 2 10 2 2" xfId="25149" xr:uid="{0F9A79F4-7FCA-4FCC-AFC9-69DD1396D3FC}"/>
    <cellStyle name="40% - Akzent2 2 2 2 10 3" xfId="25148" xr:uid="{D2F0E961-BD5B-4F48-9286-8F89CC6BE753}"/>
    <cellStyle name="40% - Akzent2 2 2 2 11" xfId="5713" xr:uid="{5467231E-6C40-42B8-A501-53D410F8C0AB}"/>
    <cellStyle name="40% - Akzent2 2 2 2 11 2" xfId="25150" xr:uid="{46C84AEE-73DA-4520-855D-FB59A5E78A37}"/>
    <cellStyle name="40% - Akzent2 2 2 2 12" xfId="25147" xr:uid="{387A071E-A6BC-419D-9F8F-563E6B06AB30}"/>
    <cellStyle name="40% - Akzent2 2 2 2 13" xfId="39943" xr:uid="{48B98511-6677-4179-9C2D-8F5F65C74BE9}"/>
    <cellStyle name="40% - Akzent2 2 2 2 2" xfId="5714" xr:uid="{396F341E-7C80-456F-9B1F-2A799128D779}"/>
    <cellStyle name="40% - Akzent2 2 2 2 2 10" xfId="40889" xr:uid="{544206A7-312D-44B3-BB04-3BF5A62BC9FD}"/>
    <cellStyle name="40% - Akzent2 2 2 2 2 2" xfId="5715" xr:uid="{1B4F69E1-F17F-4E91-B8B2-459E611F3E4D}"/>
    <cellStyle name="40% - Akzent2 2 2 2 2 2 10" xfId="25152" xr:uid="{FFF613F7-2F6D-473D-BCDD-527C031C5E82}"/>
    <cellStyle name="40% - Akzent2 2 2 2 2 2 2" xfId="5716" xr:uid="{D3434830-5780-4264-B0AD-6419F0D5E7C0}"/>
    <cellStyle name="40% - Akzent2 2 2 2 2 2 2 2" xfId="5717" xr:uid="{65242B18-C29A-46AA-A5C2-47D49B9ADC0C}"/>
    <cellStyle name="40% - Akzent2 2 2 2 2 2 2 2 2" xfId="5718" xr:uid="{E48875E9-9D13-44B4-8518-924460AD1DC8}"/>
    <cellStyle name="40% - Akzent2 2 2 2 2 2 2 2 2 2" xfId="25155" xr:uid="{08A8D208-A926-451C-BF73-34B503BD5DCC}"/>
    <cellStyle name="40% - Akzent2 2 2 2 2 2 2 2 3" xfId="25154" xr:uid="{5FCA7BB4-2BE8-4451-AB48-D800AE3DE938}"/>
    <cellStyle name="40% - Akzent2 2 2 2 2 2 2 3" xfId="25153" xr:uid="{6E661D98-CA48-45F9-8CEE-FA7AF40FDFA7}"/>
    <cellStyle name="40% - Akzent2 2 2 2 2 2 3" xfId="5719" xr:uid="{00769022-A4D2-4FA9-ABFA-6BDF0F14BF6F}"/>
    <cellStyle name="40% - Akzent2 2 2 2 2 2 3 2" xfId="5720" xr:uid="{0B34E614-7BB3-41CE-8D92-C1A60954CDEE}"/>
    <cellStyle name="40% - Akzent2 2 2 2 2 2 3 2 2" xfId="25157" xr:uid="{F4458925-4666-4648-BBAE-9CBFEAD5C3AF}"/>
    <cellStyle name="40% - Akzent2 2 2 2 2 2 3 3" xfId="25156" xr:uid="{97FF7E20-8EA9-46F7-B5C0-8447B9F8E909}"/>
    <cellStyle name="40% - Akzent2 2 2 2 2 2 4" xfId="5721" xr:uid="{2666EF9B-38DA-4AC4-98F2-7CD84995D474}"/>
    <cellStyle name="40% - Akzent2 2 2 2 2 2 4 2" xfId="5722" xr:uid="{CD44CF49-B578-423A-AD8A-12611758BCE4}"/>
    <cellStyle name="40% - Akzent2 2 2 2 2 2 4 2 2" xfId="25159" xr:uid="{09C0F144-6469-41E2-B180-7322D4F50306}"/>
    <cellStyle name="40% - Akzent2 2 2 2 2 2 4 3" xfId="25158" xr:uid="{D088632E-42EA-4F37-83E0-8503BC26C469}"/>
    <cellStyle name="40% - Akzent2 2 2 2 2 2 5" xfId="5723" xr:uid="{31B259F5-20B2-4361-AE0D-7CD1AE90E039}"/>
    <cellStyle name="40% - Akzent2 2 2 2 2 2 5 2" xfId="5724" xr:uid="{F7EC07B6-6625-4DDC-AD45-8643555F162F}"/>
    <cellStyle name="40% - Akzent2 2 2 2 2 2 5 2 2" xfId="25161" xr:uid="{D7561281-149C-48F8-AAEA-48AF11F6052D}"/>
    <cellStyle name="40% - Akzent2 2 2 2 2 2 5 3" xfId="25160" xr:uid="{6621E389-3F39-4E44-9938-6BF2EAC47329}"/>
    <cellStyle name="40% - Akzent2 2 2 2 2 2 6" xfId="5725" xr:uid="{94AC9938-A058-4612-AC7E-4FE0DE6C0F20}"/>
    <cellStyle name="40% - Akzent2 2 2 2 2 2 6 2" xfId="5726" xr:uid="{E05B72AA-4256-41B6-A7D6-E2AF55828A23}"/>
    <cellStyle name="40% - Akzent2 2 2 2 2 2 6 2 2" xfId="25163" xr:uid="{53C302D5-C9D1-42E0-BAB9-F7A2A1E079CA}"/>
    <cellStyle name="40% - Akzent2 2 2 2 2 2 6 3" xfId="25162" xr:uid="{903AAB19-C49B-480B-8507-06C960E1E70B}"/>
    <cellStyle name="40% - Akzent2 2 2 2 2 2 7" xfId="5727" xr:uid="{7FED095D-8B43-4345-852C-EBFF841EF9CE}"/>
    <cellStyle name="40% - Akzent2 2 2 2 2 2 7 2" xfId="5728" xr:uid="{8816D80F-9D4F-4336-8B5F-81ADD1186E08}"/>
    <cellStyle name="40% - Akzent2 2 2 2 2 2 7 2 2" xfId="25165" xr:uid="{E51377F0-F5D5-43AC-B2E7-9E2D979945F9}"/>
    <cellStyle name="40% - Akzent2 2 2 2 2 2 7 3" xfId="25164" xr:uid="{AEECF2F5-50F6-454E-BEEE-736DC99CFC29}"/>
    <cellStyle name="40% - Akzent2 2 2 2 2 2 8" xfId="5729" xr:uid="{B148999D-3E0D-40FB-B42B-E2F3CB52E4DE}"/>
    <cellStyle name="40% - Akzent2 2 2 2 2 2 8 2" xfId="5730" xr:uid="{5C6508E3-CFB2-49A9-80C8-B536C3DFE260}"/>
    <cellStyle name="40% - Akzent2 2 2 2 2 2 8 2 2" xfId="25167" xr:uid="{B3D144B6-B6A5-40B5-BC71-96E3DF085BE5}"/>
    <cellStyle name="40% - Akzent2 2 2 2 2 2 8 3" xfId="25166" xr:uid="{7F725F90-B3A6-4FB0-ABDA-F4179450C879}"/>
    <cellStyle name="40% - Akzent2 2 2 2 2 2 9" xfId="5731" xr:uid="{BCE2D5E1-F2D8-459B-855B-D664C59844D9}"/>
    <cellStyle name="40% - Akzent2 2 2 2 2 2 9 2" xfId="25168" xr:uid="{7C423A98-5C19-487F-9410-F366DE89C984}"/>
    <cellStyle name="40% - Akzent2 2 2 2 2 3" xfId="5732" xr:uid="{A25D619C-3FDD-4CAF-B03A-DC3A651F4C82}"/>
    <cellStyle name="40% - Akzent2 2 2 2 2 3 2" xfId="5733" xr:uid="{7410782A-BBCD-432B-B69D-77AD6C39E7DB}"/>
    <cellStyle name="40% - Akzent2 2 2 2 2 3 2 2" xfId="25170" xr:uid="{8C2B50DE-EF2C-4F92-8A70-E9E185AB5DC6}"/>
    <cellStyle name="40% - Akzent2 2 2 2 2 3 3" xfId="5734" xr:uid="{A9C5155B-3944-4395-A23C-0B9B0E0DD8EE}"/>
    <cellStyle name="40% - Akzent2 2 2 2 2 3 3 2" xfId="25171" xr:uid="{2FEF3543-2A7B-4066-90F4-F947BF533DB5}"/>
    <cellStyle name="40% - Akzent2 2 2 2 2 3 4" xfId="25169" xr:uid="{4F24C935-6C2E-4CAD-AA18-C7F27699620C}"/>
    <cellStyle name="40% - Akzent2 2 2 2 2 4" xfId="5735" xr:uid="{E6FBA9F4-DBA3-4317-A196-464E0F1C8BD6}"/>
    <cellStyle name="40% - Akzent2 2 2 2 2 4 2" xfId="25172" xr:uid="{D8876570-F8E4-4616-A6A1-2DDEFEFC7AB9}"/>
    <cellStyle name="40% - Akzent2 2 2 2 2 5" xfId="5736" xr:uid="{AA882855-3849-4AB2-8106-4376F6650FFE}"/>
    <cellStyle name="40% - Akzent2 2 2 2 2 5 2" xfId="25173" xr:uid="{8FDD670D-04AA-42F9-B9D5-F4F179775730}"/>
    <cellStyle name="40% - Akzent2 2 2 2 2 6" xfId="5737" xr:uid="{DF3C50CE-F05C-4D8A-8011-2A42E0155A7D}"/>
    <cellStyle name="40% - Akzent2 2 2 2 2 6 2" xfId="25174" xr:uid="{A13B1559-85AA-44B8-ABEB-B01F85CBA7A8}"/>
    <cellStyle name="40% - Akzent2 2 2 2 2 7" xfId="5738" xr:uid="{8C5E0A2F-3BC2-42E7-9DF6-E098431E1BB1}"/>
    <cellStyle name="40% - Akzent2 2 2 2 2 7 2" xfId="25175" xr:uid="{CB9C3B53-9D5A-4135-A4E4-471B0AB0BFD7}"/>
    <cellStyle name="40% - Akzent2 2 2 2 2 8" xfId="5739" xr:uid="{56D56E53-AAA1-4A68-B04F-3292A88CAE0C}"/>
    <cellStyle name="40% - Akzent2 2 2 2 2 8 2" xfId="25176" xr:uid="{E95C9579-EA62-45C6-966D-4F9BC0A56B8A}"/>
    <cellStyle name="40% - Akzent2 2 2 2 2 9" xfId="25151" xr:uid="{11B6333B-7DED-4E5C-A074-B6CE34594AFD}"/>
    <cellStyle name="40% - Akzent2 2 2 2 3" xfId="5740" xr:uid="{96CBA6FC-DFDB-447B-A15C-7AD74600C634}"/>
    <cellStyle name="40% - Akzent2 2 2 2 3 2" xfId="5741" xr:uid="{A2A36CDD-C8CA-4105-835D-AAFC6A596AAE}"/>
    <cellStyle name="40% - Akzent2 2 2 2 3 2 2" xfId="25178" xr:uid="{64F1F8C5-2AAB-4BCF-AF9D-1D40475A81D6}"/>
    <cellStyle name="40% - Akzent2 2 2 2 3 3" xfId="25177" xr:uid="{87B6627A-2FF3-417E-8245-1F89CFB36147}"/>
    <cellStyle name="40% - Akzent2 2 2 2 3 4" xfId="41749" xr:uid="{6DBBE081-058D-4746-B12D-87568F9C0D14}"/>
    <cellStyle name="40% - Akzent2 2 2 2 4" xfId="5742" xr:uid="{C7E482E1-1FF0-47D1-8C40-1884465681ED}"/>
    <cellStyle name="40% - Akzent2 2 2 2 4 2" xfId="5743" xr:uid="{D71E9F8A-3B73-455C-8C7F-8C527ED5C7AE}"/>
    <cellStyle name="40% - Akzent2 2 2 2 4 2 2" xfId="25180" xr:uid="{F24357DC-8ACB-4333-B0EC-C900C62317C2}"/>
    <cellStyle name="40% - Akzent2 2 2 2 4 3" xfId="25179" xr:uid="{2DA30D32-30DF-4621-951F-2D88B54E51B2}"/>
    <cellStyle name="40% - Akzent2 2 2 2 5" xfId="5744" xr:uid="{5469BC06-5E69-44D9-B353-E97C538F9FFF}"/>
    <cellStyle name="40% - Akzent2 2 2 2 5 2" xfId="5745" xr:uid="{0AB1AAA5-4F72-40C3-B323-FF6502939D75}"/>
    <cellStyle name="40% - Akzent2 2 2 2 5 2 2" xfId="5746" xr:uid="{40ED267B-F40C-4A86-9EB0-57B864C3275F}"/>
    <cellStyle name="40% - Akzent2 2 2 2 5 2 2 2" xfId="25183" xr:uid="{F00EBCE6-36BE-417E-B719-89A6930C4C98}"/>
    <cellStyle name="40% - Akzent2 2 2 2 5 2 3" xfId="25182" xr:uid="{08470DF8-94B3-4597-B551-9DF56FEED6BF}"/>
    <cellStyle name="40% - Akzent2 2 2 2 5 3" xfId="25181" xr:uid="{CF2455CE-DB1E-4173-8A08-1E12B27ED231}"/>
    <cellStyle name="40% - Akzent2 2 2 2 6" xfId="5747" xr:uid="{E9E32C56-6ACD-4644-88B6-63C183E87516}"/>
    <cellStyle name="40% - Akzent2 2 2 2 6 2" xfId="5748" xr:uid="{1772B184-6A18-4FCD-9BCA-DF81D45283EC}"/>
    <cellStyle name="40% - Akzent2 2 2 2 6 2 2" xfId="25185" xr:uid="{DD00F95B-B951-40F2-8484-29C87C11EAB9}"/>
    <cellStyle name="40% - Akzent2 2 2 2 6 3" xfId="25184" xr:uid="{5933656C-479E-46F7-AAAA-86B29417D87C}"/>
    <cellStyle name="40% - Akzent2 2 2 2 7" xfId="5749" xr:uid="{66F31655-55FE-48C6-A718-86D597032284}"/>
    <cellStyle name="40% - Akzent2 2 2 2 7 2" xfId="5750" xr:uid="{04CEEB5A-5CD6-4492-9A0D-160B43583740}"/>
    <cellStyle name="40% - Akzent2 2 2 2 7 2 2" xfId="25187" xr:uid="{B7AE0A51-AA77-49B9-BF24-5C6CCDA64427}"/>
    <cellStyle name="40% - Akzent2 2 2 2 7 3" xfId="25186" xr:uid="{E006F663-6E8A-465E-B9A4-85EE87BF7BA9}"/>
    <cellStyle name="40% - Akzent2 2 2 2 8" xfId="5751" xr:uid="{E3A0E7EF-BCEC-40E5-B70C-9C5CAD036C88}"/>
    <cellStyle name="40% - Akzent2 2 2 2 8 2" xfId="5752" xr:uid="{CCD7FCA1-B86E-43DE-8FF7-C321B5B08008}"/>
    <cellStyle name="40% - Akzent2 2 2 2 8 2 2" xfId="25189" xr:uid="{E998C6F9-CD98-4DC4-969E-76BC124C4FFD}"/>
    <cellStyle name="40% - Akzent2 2 2 2 8 3" xfId="25188" xr:uid="{22467BC6-AA20-4CB4-B26B-3FBEDDB474E3}"/>
    <cellStyle name="40% - Akzent2 2 2 2 9" xfId="5753" xr:uid="{C6EA64B3-4CF2-4DBF-9B23-8DCE20C85026}"/>
    <cellStyle name="40% - Akzent2 2 2 2 9 2" xfId="5754" xr:uid="{A6DF5F54-9492-4560-A1B7-1CEF925912DC}"/>
    <cellStyle name="40% - Akzent2 2 2 2 9 2 2" xfId="25191" xr:uid="{45114EAD-48BE-4E13-B0F5-1799A14E1B4B}"/>
    <cellStyle name="40% - Akzent2 2 2 2 9 3" xfId="25190" xr:uid="{C1C2CF99-5593-45B6-848F-2A1DE8782406}"/>
    <cellStyle name="40% - Akzent2 2 2 20" xfId="5755" xr:uid="{2434A228-7AED-498E-A4BB-1F8F97E25E90}"/>
    <cellStyle name="40% - Akzent2 2 2 20 2" xfId="5756" xr:uid="{FD665754-80FC-422E-8A4B-BC04D99F3D21}"/>
    <cellStyle name="40% - Akzent2 2 2 20 2 2" xfId="25193" xr:uid="{64F9EEE5-4AEE-477C-9BA0-AFDB0E8D8CAC}"/>
    <cellStyle name="40% - Akzent2 2 2 20 3" xfId="25192" xr:uid="{F457C862-91FF-4084-9868-904123A1E4C2}"/>
    <cellStyle name="40% - Akzent2 2 2 21" xfId="5757" xr:uid="{486DD2F3-A2D9-4E01-8BA5-B650F06621E2}"/>
    <cellStyle name="40% - Akzent2 2 2 21 2" xfId="5758" xr:uid="{74E61596-26EE-461B-8A45-E347F3255B3B}"/>
    <cellStyle name="40% - Akzent2 2 2 21 2 2" xfId="25195" xr:uid="{D5D15E71-2A6F-4F92-A5F7-4C7AAA3C29C0}"/>
    <cellStyle name="40% - Akzent2 2 2 21 3" xfId="25194" xr:uid="{C26DA9F3-6E92-485C-80CC-5157D4B68ABB}"/>
    <cellStyle name="40% - Akzent2 2 2 22" xfId="5759" xr:uid="{8F3BF553-C2FF-4BA5-BF1E-7E7A6FCC5AFA}"/>
    <cellStyle name="40% - Akzent2 2 2 22 2" xfId="25196" xr:uid="{0832AA88-B80C-4DA5-B75D-982EA4141290}"/>
    <cellStyle name="40% - Akzent2 2 2 23" xfId="25129" xr:uid="{2DDA6ADB-E3C1-40AF-8517-7E161B3C7984}"/>
    <cellStyle name="40% - Akzent2 2 2 24" xfId="39311" xr:uid="{97A4C3DC-C8B0-477F-81CB-2B88E9722649}"/>
    <cellStyle name="40% - Akzent2 2 2 3" xfId="5760" xr:uid="{977FBE96-3C61-47E3-8B3B-E31029F39483}"/>
    <cellStyle name="40% - Akzent2 2 2 3 2" xfId="5761" xr:uid="{0B3344E5-8CB4-4213-9F71-D047E03E5982}"/>
    <cellStyle name="40% - Akzent2 2 2 3 2 2" xfId="25198" xr:uid="{172DC19A-21B4-4F09-9458-7DBB1DE9653D}"/>
    <cellStyle name="40% - Akzent2 2 2 3 3" xfId="25197" xr:uid="{EE141635-95E0-4054-979E-FAE8B2B6A59B}"/>
    <cellStyle name="40% - Akzent2 2 2 3 4" xfId="40459" xr:uid="{53D67938-E737-41B0-B4C6-B4FB52738806}"/>
    <cellStyle name="40% - Akzent2 2 2 4" xfId="5762" xr:uid="{0A426450-ABE5-4F2A-9E07-10245E441970}"/>
    <cellStyle name="40% - Akzent2 2 2 4 2" xfId="5763" xr:uid="{5B5E5E89-B7A3-4ADC-96D5-383BEBEFFA0C}"/>
    <cellStyle name="40% - Akzent2 2 2 4 2 2" xfId="25200" xr:uid="{01F7F904-EB8D-4845-A83B-86A930898845}"/>
    <cellStyle name="40% - Akzent2 2 2 4 3" xfId="25199" xr:uid="{627164CF-A8E2-4E25-BA7F-F3839E7C7533}"/>
    <cellStyle name="40% - Akzent2 2 2 4 4" xfId="41319" xr:uid="{E79614FE-68B0-4AA7-B9C2-44D27F24A12C}"/>
    <cellStyle name="40% - Akzent2 2 2 5" xfId="5764" xr:uid="{6069A308-D9E4-4931-9D13-67459ACD7B9F}"/>
    <cellStyle name="40% - Akzent2 2 2 5 2" xfId="5765" xr:uid="{40984D6D-FA45-4A65-ADB6-F7CE8F5269B6}"/>
    <cellStyle name="40% - Akzent2 2 2 5 2 2" xfId="25202" xr:uid="{D0F58FFA-3BB8-45DC-9848-D26AC90AE092}"/>
    <cellStyle name="40% - Akzent2 2 2 5 3" xfId="5766" xr:uid="{C438BF43-6B8C-4567-A451-7DB3A3C4F0F9}"/>
    <cellStyle name="40% - Akzent2 2 2 5 3 2" xfId="25203" xr:uid="{F8BDC5B1-1D25-48A0-9EB9-AEB874470CD7}"/>
    <cellStyle name="40% - Akzent2 2 2 5 4" xfId="25201" xr:uid="{D4DA5666-4BF8-4D3D-9515-6391521CA232}"/>
    <cellStyle name="40% - Akzent2 2 2 6" xfId="5767" xr:uid="{56BEBD73-EACA-4A34-AD41-E2D9BFA77A4A}"/>
    <cellStyle name="40% - Akzent2 2 2 6 2" xfId="25204" xr:uid="{2EDA9D08-335A-4195-B6A6-A3D4015C4A34}"/>
    <cellStyle name="40% - Akzent2 2 2 7" xfId="5768" xr:uid="{4FC51590-289D-4B53-BFA4-99293EE9C487}"/>
    <cellStyle name="40% - Akzent2 2 2 7 2" xfId="5769" xr:uid="{70250E75-C8B4-4632-A9AF-9D91E33F54CE}"/>
    <cellStyle name="40% - Akzent2 2 2 7 2 2" xfId="25206" xr:uid="{46829937-D6FF-437B-A210-E74BD345C8A6}"/>
    <cellStyle name="40% - Akzent2 2 2 7 3" xfId="5770" xr:uid="{A95FF8DB-A5D2-43FA-B4F4-1C8716EC4703}"/>
    <cellStyle name="40% - Akzent2 2 2 7 3 2" xfId="25207" xr:uid="{9CE9F282-39BD-4C3C-9934-5810B10CF2CF}"/>
    <cellStyle name="40% - Akzent2 2 2 7 4" xfId="25205" xr:uid="{BE70099D-488D-4FCE-BE9C-35B0597EAEA1}"/>
    <cellStyle name="40% - Akzent2 2 2 8" xfId="5771" xr:uid="{5691AAA7-006A-4775-9027-194124E65A4C}"/>
    <cellStyle name="40% - Akzent2 2 2 8 2" xfId="25208" xr:uid="{4206BE8A-173A-41C4-898A-1FBD8DAACF99}"/>
    <cellStyle name="40% - Akzent2 2 2 9" xfId="5772" xr:uid="{D58EEC7F-D9B4-447A-AB86-55A0FAB4A873}"/>
    <cellStyle name="40% - Akzent2 2 2 9 2" xfId="25209" xr:uid="{8E3DA632-03E4-4114-BC20-C9D37CD6EBFF}"/>
    <cellStyle name="40% - Akzent2 2 20" xfId="5773" xr:uid="{9191AD1E-3153-4BEB-BEBC-B98DDD0B340B}"/>
    <cellStyle name="40% - Akzent2 2 20 2" xfId="5774" xr:uid="{10B34375-45C3-4492-9862-C8FEE6F88CC7}"/>
    <cellStyle name="40% - Akzent2 2 20 2 2" xfId="25211" xr:uid="{2A4E65C7-A6A2-412C-BFDE-485E6DBFBE66}"/>
    <cellStyle name="40% - Akzent2 2 20 3" xfId="25210" xr:uid="{F72DDF22-49E0-49C0-A67D-1E01DAC049A7}"/>
    <cellStyle name="40% - Akzent2 2 21" xfId="5775" xr:uid="{CBE1028B-92E2-4AB5-93EC-9603D3BAA1FD}"/>
    <cellStyle name="40% - Akzent2 2 21 2" xfId="5776" xr:uid="{24671E7B-F076-4E64-AAC6-4F4FEBC26950}"/>
    <cellStyle name="40% - Akzent2 2 21 2 2" xfId="25213" xr:uid="{81FF2715-D540-4631-A4EC-E873861F8783}"/>
    <cellStyle name="40% - Akzent2 2 21 3" xfId="25212" xr:uid="{D3717D76-695A-4EED-8A17-8B13D4FAAABC}"/>
    <cellStyle name="40% - Akzent2 2 22" xfId="5777" xr:uid="{651BA367-5ED6-487D-A185-9A2B427E02B2}"/>
    <cellStyle name="40% - Akzent2 2 22 2" xfId="5778" xr:uid="{FF882086-D6AD-41EA-8E92-47FD7473FAA5}"/>
    <cellStyle name="40% - Akzent2 2 22 2 2" xfId="25215" xr:uid="{99F073DB-3CE6-4C6C-AE77-35B416EB7F36}"/>
    <cellStyle name="40% - Akzent2 2 22 3" xfId="25214" xr:uid="{2121A975-4E35-4016-A7BC-A2BDAFA12EBD}"/>
    <cellStyle name="40% - Akzent2 2 23" xfId="5779" xr:uid="{AA5D27B8-7CED-4799-88F6-6BBE810B53C9}"/>
    <cellStyle name="40% - Akzent2 2 23 2" xfId="5780" xr:uid="{17339D11-89EA-4240-A4E7-4DDED07BA2CE}"/>
    <cellStyle name="40% - Akzent2 2 23 2 2" xfId="25217" xr:uid="{210DB0DA-BA2A-43EB-B368-44B1954F3E35}"/>
    <cellStyle name="40% - Akzent2 2 23 3" xfId="25216" xr:uid="{FB1ADBBA-E8DE-4518-AD45-61F4DF0B10DD}"/>
    <cellStyle name="40% - Akzent2 2 24" xfId="5781" xr:uid="{E0AB61E3-4F70-4464-BFC5-1E5D61333D05}"/>
    <cellStyle name="40% - Akzent2 2 24 2" xfId="25218" xr:uid="{07BBF570-962F-4F01-BA02-0569D334BDC6}"/>
    <cellStyle name="40% - Akzent2 2 25" xfId="25108" xr:uid="{3E4F5D3A-67E5-4520-BADD-BA3FCF77965D}"/>
    <cellStyle name="40% - Akzent2 2 26" xfId="39310" xr:uid="{C1948034-4DDF-47B2-AB17-7B87BBEE2DC8}"/>
    <cellStyle name="40% - Akzent2 2 27" xfId="5671" xr:uid="{788F38AD-3FFE-4F67-A78B-86A851A9E132}"/>
    <cellStyle name="40% - Akzent2 2 3" xfId="5782" xr:uid="{410E145A-ABEE-4A61-ABC2-B1234408137E}"/>
    <cellStyle name="40% - Akzent2 2 3 10" xfId="5783" xr:uid="{91DB3F34-7CE6-4A36-8EA5-C660A437A04B}"/>
    <cellStyle name="40% - Akzent2 2 3 10 2" xfId="5784" xr:uid="{E85797A3-4044-49DB-81B4-174EE34F49A7}"/>
    <cellStyle name="40% - Akzent2 2 3 10 2 2" xfId="25221" xr:uid="{5186C85C-006E-4C6C-9056-4CF77E4DEF1C}"/>
    <cellStyle name="40% - Akzent2 2 3 10 3" xfId="25220" xr:uid="{D4A68E01-7504-410E-A786-7D4B537EDE47}"/>
    <cellStyle name="40% - Akzent2 2 3 11" xfId="5785" xr:uid="{5039CA4E-2249-4662-AC34-4F06138A2F81}"/>
    <cellStyle name="40% - Akzent2 2 3 11 2" xfId="5786" xr:uid="{5A3F91AC-F11E-4897-BA45-65199B7ECB11}"/>
    <cellStyle name="40% - Akzent2 2 3 11 2 2" xfId="25223" xr:uid="{FC1C980E-2291-4AD2-B1FD-8FA6497F4EE5}"/>
    <cellStyle name="40% - Akzent2 2 3 11 3" xfId="25222" xr:uid="{64ABA094-7130-45E7-A054-D4931A31A0D2}"/>
    <cellStyle name="40% - Akzent2 2 3 12" xfId="5787" xr:uid="{9EA58CB7-3D82-4BCC-96BE-E6438747D393}"/>
    <cellStyle name="40% - Akzent2 2 3 12 2" xfId="5788" xr:uid="{4AF1C1E6-3F10-4B7D-B720-8CBE59BDAD57}"/>
    <cellStyle name="40% - Akzent2 2 3 12 2 2" xfId="25225" xr:uid="{5D81A3E0-987E-4B33-8435-1B2A557C60A0}"/>
    <cellStyle name="40% - Akzent2 2 3 12 3" xfId="25224" xr:uid="{01D631AA-5D8A-4AF1-B85D-2B14AECFB6E1}"/>
    <cellStyle name="40% - Akzent2 2 3 13" xfId="5789" xr:uid="{2F90897B-DF83-4685-AD40-5338BD92C9EC}"/>
    <cellStyle name="40% - Akzent2 2 3 13 2" xfId="5790" xr:uid="{52848F3C-E1F7-46BE-9E32-2607C73018B3}"/>
    <cellStyle name="40% - Akzent2 2 3 13 2 2" xfId="25227" xr:uid="{5B865C5E-43E8-46B1-9BF5-91459E51BC28}"/>
    <cellStyle name="40% - Akzent2 2 3 13 3" xfId="25226" xr:uid="{7BB250FF-A657-4E3B-BCB8-2DFFB3728B08}"/>
    <cellStyle name="40% - Akzent2 2 3 14" xfId="5791" xr:uid="{6D5FA7C5-BF15-4143-94B3-DFBB1D544BE1}"/>
    <cellStyle name="40% - Akzent2 2 3 14 2" xfId="5792" xr:uid="{D708F923-CFC3-47B3-AD86-398AED4AC1F3}"/>
    <cellStyle name="40% - Akzent2 2 3 14 2 2" xfId="25229" xr:uid="{79B5E050-9323-4B5E-9831-E294BA86660E}"/>
    <cellStyle name="40% - Akzent2 2 3 14 3" xfId="25228" xr:uid="{AE6A4980-8D4D-470A-9B73-0F7AC4307D3A}"/>
    <cellStyle name="40% - Akzent2 2 3 15" xfId="5793" xr:uid="{BF96CACF-E2F9-4542-9222-CDF24143CDE7}"/>
    <cellStyle name="40% - Akzent2 2 3 15 2" xfId="5794" xr:uid="{79F6E175-0C82-4BF6-A33E-47142E678C3F}"/>
    <cellStyle name="40% - Akzent2 2 3 15 2 2" xfId="25231" xr:uid="{A2CD2F8D-73EA-4275-BD5B-99CCD674B685}"/>
    <cellStyle name="40% - Akzent2 2 3 15 3" xfId="25230" xr:uid="{7B74E571-CA64-4DBD-848E-C73B38CE752B}"/>
    <cellStyle name="40% - Akzent2 2 3 16" xfId="5795" xr:uid="{0BB81815-E658-4267-A1CE-C6D5DDC60675}"/>
    <cellStyle name="40% - Akzent2 2 3 16 2" xfId="5796" xr:uid="{77B8F81C-7F71-4428-8F7C-C83DF629E539}"/>
    <cellStyle name="40% - Akzent2 2 3 16 2 2" xfId="25233" xr:uid="{31C89302-B1B0-4B59-A4F5-29F996D79176}"/>
    <cellStyle name="40% - Akzent2 2 3 16 3" xfId="25232" xr:uid="{DDF92681-5D07-4C0B-8A70-D2CB7027698C}"/>
    <cellStyle name="40% - Akzent2 2 3 17" xfId="5797" xr:uid="{E71FCB25-6B82-4967-B3AF-181DEF7F235C}"/>
    <cellStyle name="40% - Akzent2 2 3 17 2" xfId="5798" xr:uid="{14A844CB-899B-4C8B-8997-3ADE6F8FA647}"/>
    <cellStyle name="40% - Akzent2 2 3 17 2 2" xfId="25235" xr:uid="{D7092518-3E28-4393-9390-19CB9AF1C23D}"/>
    <cellStyle name="40% - Akzent2 2 3 17 3" xfId="25234" xr:uid="{14B0A581-B043-4887-972B-44FC4E96759A}"/>
    <cellStyle name="40% - Akzent2 2 3 18" xfId="5799" xr:uid="{D7F1CCC4-940C-402B-BE94-4CE6145D5611}"/>
    <cellStyle name="40% - Akzent2 2 3 18 2" xfId="5800" xr:uid="{6C8FDC04-AAD6-4FC0-8253-8A85E91A164C}"/>
    <cellStyle name="40% - Akzent2 2 3 18 2 2" xfId="25237" xr:uid="{35EC9EFC-087E-4FC9-98CA-FAB6BA57ACA2}"/>
    <cellStyle name="40% - Akzent2 2 3 18 3" xfId="25236" xr:uid="{D31BE321-3043-42AC-8003-4F771E5D7FD4}"/>
    <cellStyle name="40% - Akzent2 2 3 19" xfId="5801" xr:uid="{5B72F5B9-479C-4618-B96A-DB4A64476529}"/>
    <cellStyle name="40% - Akzent2 2 3 19 2" xfId="5802" xr:uid="{6A9E01C3-3F37-4DE2-8740-CD5C12D8101B}"/>
    <cellStyle name="40% - Akzent2 2 3 19 2 2" xfId="25239" xr:uid="{BCEA51E0-34B0-4EDB-B7D8-E90EFBB226EB}"/>
    <cellStyle name="40% - Akzent2 2 3 19 3" xfId="25238" xr:uid="{28695EF7-A0D0-4221-908C-F9C58C023ED5}"/>
    <cellStyle name="40% - Akzent2 2 3 2" xfId="5803" xr:uid="{5F8E88F5-9765-43DA-B172-C1196F619F40}"/>
    <cellStyle name="40% - Akzent2 2 3 2 2" xfId="5804" xr:uid="{1EC3688C-6E44-43F4-9850-972595C24B6B}"/>
    <cellStyle name="40% - Akzent2 2 3 2 2 2" xfId="25241" xr:uid="{AA65C07A-69ED-46B0-8C4A-7391B4FC389D}"/>
    <cellStyle name="40% - Akzent2 2 3 2 3" xfId="25240" xr:uid="{B63C0BFB-C40C-4583-98DC-BBAE49107141}"/>
    <cellStyle name="40% - Akzent2 2 3 2 4" xfId="40888" xr:uid="{9553AFB8-8504-4480-8C4F-A49ABC4A0009}"/>
    <cellStyle name="40% - Akzent2 2 3 20" xfId="5805" xr:uid="{09B69D4C-6B2D-4FFF-92D6-0CF62787B864}"/>
    <cellStyle name="40% - Akzent2 2 3 20 2" xfId="5806" xr:uid="{520616EB-88C3-4D5B-8BBC-67B482E459BC}"/>
    <cellStyle name="40% - Akzent2 2 3 20 2 2" xfId="25243" xr:uid="{4B06BD2E-01C0-4E7D-BEC0-6C87A67A44D6}"/>
    <cellStyle name="40% - Akzent2 2 3 20 3" xfId="25242" xr:uid="{2D434955-2454-456D-B7C1-BCFADE638D3B}"/>
    <cellStyle name="40% - Akzent2 2 3 21" xfId="5807" xr:uid="{3623CB80-5116-4B36-BA5B-4D6FFA042D8D}"/>
    <cellStyle name="40% - Akzent2 2 3 21 2" xfId="5808" xr:uid="{63AEACC5-D67D-4076-A292-727468424FF7}"/>
    <cellStyle name="40% - Akzent2 2 3 21 2 2" xfId="25245" xr:uid="{314CC494-49AF-4701-8914-8C15D75DDA03}"/>
    <cellStyle name="40% - Akzent2 2 3 21 3" xfId="25244" xr:uid="{2F2473B7-BB78-4364-ACE7-07026BBBEDCF}"/>
    <cellStyle name="40% - Akzent2 2 3 22" xfId="5809" xr:uid="{9E05CD02-0085-474C-ADD9-C4F20C1B78AE}"/>
    <cellStyle name="40% - Akzent2 2 3 22 2" xfId="25246" xr:uid="{9BB60650-4057-4996-B7DD-5E18DA6C1D3D}"/>
    <cellStyle name="40% - Akzent2 2 3 23" xfId="25219" xr:uid="{92425649-B11E-4F68-A3F2-9D071FA4F843}"/>
    <cellStyle name="40% - Akzent2 2 3 24" xfId="39942" xr:uid="{A1B2B051-44BB-45AB-AAF8-5FEFC20F0C99}"/>
    <cellStyle name="40% - Akzent2 2 3 3" xfId="5810" xr:uid="{AC7E0E97-1960-4383-9B26-653A07AE80D2}"/>
    <cellStyle name="40% - Akzent2 2 3 3 2" xfId="5811" xr:uid="{78FE2220-3709-4944-98F0-ABD0A901DDE8}"/>
    <cellStyle name="40% - Akzent2 2 3 3 2 2" xfId="25248" xr:uid="{F9C90597-EFE5-49CF-997B-17E4E4D9E849}"/>
    <cellStyle name="40% - Akzent2 2 3 3 3" xfId="25247" xr:uid="{82812187-6796-492A-AE80-7DA7FAA2E6BA}"/>
    <cellStyle name="40% - Akzent2 2 3 3 4" xfId="41748" xr:uid="{01DFA96A-72DF-4BDA-8889-F36622CBEFFB}"/>
    <cellStyle name="40% - Akzent2 2 3 4" xfId="5812" xr:uid="{70341E66-5834-4719-BCEA-4755D5998881}"/>
    <cellStyle name="40% - Akzent2 2 3 4 2" xfId="5813" xr:uid="{6637D19C-6DB2-4B01-A608-7CDFFB8C460E}"/>
    <cellStyle name="40% - Akzent2 2 3 4 2 2" xfId="25250" xr:uid="{75BBA2FE-4ED8-4D3F-BE95-5D07FAEE0440}"/>
    <cellStyle name="40% - Akzent2 2 3 4 3" xfId="25249" xr:uid="{8BE1031B-7D39-4DA0-B4A0-EED9D3E5D042}"/>
    <cellStyle name="40% - Akzent2 2 3 5" xfId="5814" xr:uid="{18865130-86BA-4EC3-BEAD-1009BDD896AB}"/>
    <cellStyle name="40% - Akzent2 2 3 5 2" xfId="5815" xr:uid="{DF885091-E333-4759-830D-CA74BD6893FC}"/>
    <cellStyle name="40% - Akzent2 2 3 5 2 2" xfId="25252" xr:uid="{8E586257-569C-4283-8656-45614667379C}"/>
    <cellStyle name="40% - Akzent2 2 3 5 3" xfId="25251" xr:uid="{2CA6929B-2478-4045-92BF-3D35A7AE60D1}"/>
    <cellStyle name="40% - Akzent2 2 3 6" xfId="5816" xr:uid="{0CDE0789-C90E-4618-BAEC-ECF3DB8DB445}"/>
    <cellStyle name="40% - Akzent2 2 3 6 2" xfId="5817" xr:uid="{76E4572A-99DA-4D5E-A531-5F76D19B465A}"/>
    <cellStyle name="40% - Akzent2 2 3 6 2 2" xfId="25254" xr:uid="{7D890B1A-A925-4A95-AAA3-4C0C418389CE}"/>
    <cellStyle name="40% - Akzent2 2 3 6 3" xfId="25253" xr:uid="{B2D8A31E-AF2C-466E-8B70-80F8E5506E90}"/>
    <cellStyle name="40% - Akzent2 2 3 7" xfId="5818" xr:uid="{EADC312E-4BF4-4C89-82F3-0F34D8A97986}"/>
    <cellStyle name="40% - Akzent2 2 3 7 2" xfId="5819" xr:uid="{775BA58B-06B9-42B2-BCF7-584FE94D79B0}"/>
    <cellStyle name="40% - Akzent2 2 3 7 2 2" xfId="25256" xr:uid="{73FB1D73-D2F7-42F4-BF00-8C869E526498}"/>
    <cellStyle name="40% - Akzent2 2 3 7 3" xfId="25255" xr:uid="{92AC7E3C-958D-46A2-B0D3-AA6A69273B73}"/>
    <cellStyle name="40% - Akzent2 2 3 8" xfId="5820" xr:uid="{DB079773-4153-4F27-A013-FA2394B38AC9}"/>
    <cellStyle name="40% - Akzent2 2 3 8 2" xfId="5821" xr:uid="{DA75E865-B6E8-4987-8BFC-3BF3A6FDE503}"/>
    <cellStyle name="40% - Akzent2 2 3 8 2 2" xfId="25258" xr:uid="{194A836D-CE18-46F8-89F4-9FFBF9A26DC4}"/>
    <cellStyle name="40% - Akzent2 2 3 8 3" xfId="25257" xr:uid="{D8065D33-4845-48FD-AFE7-6099FC2E0A30}"/>
    <cellStyle name="40% - Akzent2 2 3 9" xfId="5822" xr:uid="{CB82DB32-C45F-43E0-A5F6-671BCB3FA7C5}"/>
    <cellStyle name="40% - Akzent2 2 3 9 2" xfId="5823" xr:uid="{E5C40DCB-EC9F-426C-8B3A-015AF85CDBF7}"/>
    <cellStyle name="40% - Akzent2 2 3 9 2 2" xfId="25260" xr:uid="{677A32F0-DDD2-4153-8313-FB26DA61EF9F}"/>
    <cellStyle name="40% - Akzent2 2 3 9 3" xfId="25259" xr:uid="{AE9456FA-89CB-4690-9890-3D7E1C055E31}"/>
    <cellStyle name="40% - Akzent2 2 4" xfId="5824" xr:uid="{F22CDDC7-92EC-4D5E-AC99-D2CB569D1F99}"/>
    <cellStyle name="40% - Akzent2 2 4 2" xfId="5825" xr:uid="{19794537-AA05-4A2B-9077-BC71BCB6F21F}"/>
    <cellStyle name="40% - Akzent2 2 4 2 2" xfId="5826" xr:uid="{111063DF-C935-4E92-AD39-01C6B83BBC0E}"/>
    <cellStyle name="40% - Akzent2 2 4 2 2 2" xfId="25263" xr:uid="{E6DAEF99-85DE-4F0B-88C1-825F6342A27F}"/>
    <cellStyle name="40% - Akzent2 2 4 2 3" xfId="5827" xr:uid="{86643932-000D-46E7-86F7-A47C2BFB0546}"/>
    <cellStyle name="40% - Akzent2 2 4 2 3 2" xfId="25264" xr:uid="{3586CCCC-5F4B-49E3-A747-669E1999E20A}"/>
    <cellStyle name="40% - Akzent2 2 4 2 4" xfId="25262" xr:uid="{AED3E68E-537C-4DAF-B8B1-1EB2AE7B4695}"/>
    <cellStyle name="40% - Akzent2 2 4 3" xfId="5828" xr:uid="{0E4A03F6-DCDF-499F-8211-2210F7D8938F}"/>
    <cellStyle name="40% - Akzent2 2 4 3 2" xfId="25265" xr:uid="{C7F5D296-28F9-47EA-AAF3-00EFBEBBCBB9}"/>
    <cellStyle name="40% - Akzent2 2 4 4" xfId="5829" xr:uid="{DFD54710-E5A7-49F1-B7F5-94220A4A4D16}"/>
    <cellStyle name="40% - Akzent2 2 4 4 2" xfId="25266" xr:uid="{A4E53DA5-73BD-4489-8BF9-E35E7C31373F}"/>
    <cellStyle name="40% - Akzent2 2 4 5" xfId="25261" xr:uid="{7AF0716A-91DA-40D3-8115-BC8E45026805}"/>
    <cellStyle name="40% - Akzent2 2 4 6" xfId="40458" xr:uid="{D5D2DE98-9360-4349-A954-060D3D66E515}"/>
    <cellStyle name="40% - Akzent2 2 5" xfId="5830" xr:uid="{50F18FDB-6EFE-4E0A-A9E2-CF3F6604E335}"/>
    <cellStyle name="40% - Akzent2 2 5 2" xfId="25267" xr:uid="{F4B680B2-AAD6-4F0E-838D-D18B0157820C}"/>
    <cellStyle name="40% - Akzent2 2 5 3" xfId="41318" xr:uid="{284D3FF5-8EE4-4C43-BE4B-06B462CEAC53}"/>
    <cellStyle name="40% - Akzent2 2 6" xfId="5831" xr:uid="{5657A7B0-DBF8-4415-90A2-683DA13BACDA}"/>
    <cellStyle name="40% - Akzent2 2 6 2" xfId="5832" xr:uid="{CAA398ED-D7DE-4960-BE2B-D2BCE0F0277E}"/>
    <cellStyle name="40% - Akzent2 2 6 2 2" xfId="5833" xr:uid="{3D3B9D4B-0E01-41BD-8D23-A7BDBA99F9D3}"/>
    <cellStyle name="40% - Akzent2 2 6 2 2 2" xfId="25270" xr:uid="{AE6C73DD-539B-4C4E-A3E5-E5CDEE636E29}"/>
    <cellStyle name="40% - Akzent2 2 6 2 3" xfId="25269" xr:uid="{12A8F691-CEA5-49F6-BD27-EB50F06A57F9}"/>
    <cellStyle name="40% - Akzent2 2 6 3" xfId="25268" xr:uid="{EDC5BF38-753D-4B0D-A671-0CC82DC0DEA5}"/>
    <cellStyle name="40% - Akzent2 2 7" xfId="5834" xr:uid="{82ED3417-C066-4DF3-8EA3-AAB892AF6315}"/>
    <cellStyle name="40% - Akzent2 2 7 2" xfId="5835" xr:uid="{40CA2029-7067-44EB-A8AB-657FDD4F9930}"/>
    <cellStyle name="40% - Akzent2 2 7 2 2" xfId="25272" xr:uid="{A779097B-0A6A-4688-95A8-59455E47B3C2}"/>
    <cellStyle name="40% - Akzent2 2 7 3" xfId="25271" xr:uid="{94544E96-F7A0-42BC-A7DD-3CA4F7BCC26B}"/>
    <cellStyle name="40% - Akzent2 2 8" xfId="5836" xr:uid="{485B71C9-2F29-42AC-9EB3-5A8F9EC85660}"/>
    <cellStyle name="40% - Akzent2 2 8 2" xfId="5837" xr:uid="{8B241C49-AC52-452C-AFC2-55224507CF72}"/>
    <cellStyle name="40% - Akzent2 2 8 2 2" xfId="5838" xr:uid="{CBA223E8-04FD-403A-9956-E9878AB27E1B}"/>
    <cellStyle name="40% - Akzent2 2 8 2 2 2" xfId="25275" xr:uid="{7A3F1171-17E2-4168-9A75-FEAC1016E9AD}"/>
    <cellStyle name="40% - Akzent2 2 8 2 3" xfId="25274" xr:uid="{FB35B285-4289-440D-B4EE-C1990D966E04}"/>
    <cellStyle name="40% - Akzent2 2 8 3" xfId="25273" xr:uid="{0642C7E8-4CA4-4064-BC82-F0B48787CD38}"/>
    <cellStyle name="40% - Akzent2 2 9" xfId="5839" xr:uid="{B23B0643-0FC4-4644-90C9-F432F770631D}"/>
    <cellStyle name="40% - Akzent2 2 9 2" xfId="5840" xr:uid="{82A9E936-B1AC-4894-B0BD-13B885B711A3}"/>
    <cellStyle name="40% - Akzent2 2 9 2 2" xfId="25277" xr:uid="{5CFDB15B-A816-4E9D-9141-24B612E47A4A}"/>
    <cellStyle name="40% - Akzent2 2 9 3" xfId="25276" xr:uid="{C00FFAB3-2989-4FF1-A4DC-B4091644FC4C}"/>
    <cellStyle name="40% - Akzent2 20" xfId="5841" xr:uid="{61255D6D-82C0-4000-8FE6-96C7EC52C6B8}"/>
    <cellStyle name="40% - Akzent2 20 2" xfId="5842" xr:uid="{17F83C65-C213-4552-B7AB-20E35E7441FC}"/>
    <cellStyle name="40% - Akzent2 20 2 2" xfId="25279" xr:uid="{EAFB5E53-7F23-4B09-978C-C79A88713A35}"/>
    <cellStyle name="40% - Akzent2 20 3" xfId="5843" xr:uid="{333AD3F7-BC31-4C5C-B790-549F6884A3B8}"/>
    <cellStyle name="40% - Akzent2 20 3 2" xfId="25280" xr:uid="{4458B0DD-D07A-4539-BCB4-BCCC6BB16E25}"/>
    <cellStyle name="40% - Akzent2 20 4" xfId="25278" xr:uid="{4B7C1547-E252-4320-86D8-7063979B75A6}"/>
    <cellStyle name="40% - Akzent2 21" xfId="5844" xr:uid="{07641D98-AE49-4035-A9F6-105871854331}"/>
    <cellStyle name="40% - Akzent2 21 2" xfId="5845" xr:uid="{9F36E8B5-9E98-4A4E-8014-892940A2D72D}"/>
    <cellStyle name="40% - Akzent2 21 2 2" xfId="25282" xr:uid="{DA83EEDE-910E-4EBD-9512-EA61EF0C6DFC}"/>
    <cellStyle name="40% - Akzent2 21 3" xfId="5846" xr:uid="{EEF74BDA-3837-43B8-A700-61903A2E27E8}"/>
    <cellStyle name="40% - Akzent2 21 3 2" xfId="25283" xr:uid="{AE8396BA-2711-4DA9-98D2-3B0D8FEC3D10}"/>
    <cellStyle name="40% - Akzent2 21 4" xfId="25281" xr:uid="{2605CBA3-E653-4117-8AFC-55CD506C38DD}"/>
    <cellStyle name="40% - Akzent2 22" xfId="5847" xr:uid="{DEF72EF7-CB46-40E6-A06A-43D39DAAC231}"/>
    <cellStyle name="40% - Akzent2 22 2" xfId="5848" xr:uid="{167DD4C4-652C-4D0A-BEAF-AD2D43E90ACC}"/>
    <cellStyle name="40% - Akzent2 22 2 2" xfId="25285" xr:uid="{1576D3F8-618B-47C6-B24E-6C48ACE2E3D7}"/>
    <cellStyle name="40% - Akzent2 22 3" xfId="5849" xr:uid="{4D039F7A-F9FD-4862-83BA-06EA9D1DAE8A}"/>
    <cellStyle name="40% - Akzent2 22 3 2" xfId="25286" xr:uid="{C27BAFBC-195D-4777-A9B4-967DBD26A316}"/>
    <cellStyle name="40% - Akzent2 22 4" xfId="25284" xr:uid="{9F66E66A-BC4E-42F4-AE6F-3826984D4112}"/>
    <cellStyle name="40% - Akzent2 23" xfId="5850" xr:uid="{6A6F5CFC-04B3-4833-A4C0-0C7672A7F596}"/>
    <cellStyle name="40% - Akzent2 23 2" xfId="5851" xr:uid="{AB7FB071-F60C-477C-8940-52B0E36932C6}"/>
    <cellStyle name="40% - Akzent2 23 2 2" xfId="25288" xr:uid="{DC044CF8-3350-4C4B-9B9C-F86D82747197}"/>
    <cellStyle name="40% - Akzent2 23 3" xfId="5852" xr:uid="{CC8D18B9-4FBC-487E-9736-F8892C3049C3}"/>
    <cellStyle name="40% - Akzent2 23 3 2" xfId="25289" xr:uid="{9C0CC001-2878-4230-A55F-DD3D339F1CF1}"/>
    <cellStyle name="40% - Akzent2 23 4" xfId="25287" xr:uid="{A32128DF-B767-4D6E-9EC2-E1F9715164A6}"/>
    <cellStyle name="40% - Akzent2 24" xfId="5853" xr:uid="{725A24AB-7E52-49FB-9624-4447E20370AB}"/>
    <cellStyle name="40% - Akzent2 24 2" xfId="5854" xr:uid="{29C9E13A-E1C0-46EF-8DBE-8C8528EE1F74}"/>
    <cellStyle name="40% - Akzent2 24 2 2" xfId="25291" xr:uid="{25F070E3-EA8E-46B4-A41D-3C663C88FDE9}"/>
    <cellStyle name="40% - Akzent2 24 3" xfId="5855" xr:uid="{4F781AAD-E71B-4746-838D-1E673E266024}"/>
    <cellStyle name="40% - Akzent2 24 3 2" xfId="25292" xr:uid="{A78A1E62-83DC-488C-BA52-F01607FEB5F5}"/>
    <cellStyle name="40% - Akzent2 24 4" xfId="25290" xr:uid="{E912E8C2-D12A-4C7C-B80D-92E3E0122D8F}"/>
    <cellStyle name="40% - Akzent2 25" xfId="5856" xr:uid="{6CF75B34-3F64-43D9-8E48-05925DCF75A7}"/>
    <cellStyle name="40% - Akzent2 25 2" xfId="5857" xr:uid="{4732AC45-C8C8-4F84-9779-437DE2A59E19}"/>
    <cellStyle name="40% - Akzent2 25 2 2" xfId="25294" xr:uid="{71175EBE-1CE6-446B-B183-BFEC48DC392F}"/>
    <cellStyle name="40% - Akzent2 25 3" xfId="5858" xr:uid="{BA4785AF-2C12-42E6-BC0B-270439D3A150}"/>
    <cellStyle name="40% - Akzent2 25 3 2" xfId="25295" xr:uid="{104621CC-4B2B-42BE-9042-8FDED24828CA}"/>
    <cellStyle name="40% - Akzent2 25 4" xfId="25293" xr:uid="{569D35B4-FC6A-438B-A659-059C5B45FE6C}"/>
    <cellStyle name="40% - Akzent2 26" xfId="5859" xr:uid="{78752228-0655-4872-A08F-6C92A9EF59D0}"/>
    <cellStyle name="40% - Akzent2 26 2" xfId="5860" xr:uid="{96EE54D2-6247-4920-AE9B-3587675EE927}"/>
    <cellStyle name="40% - Akzent2 26 2 2" xfId="25297" xr:uid="{4C36ACF9-CF02-4E21-83BF-94DB02940E56}"/>
    <cellStyle name="40% - Akzent2 26 3" xfId="5861" xr:uid="{FA83D2DC-5440-4AA2-B300-953CF4EFDE54}"/>
    <cellStyle name="40% - Akzent2 26 3 2" xfId="25298" xr:uid="{EB2C41DA-40F7-4834-B54E-3F2CE0E170D5}"/>
    <cellStyle name="40% - Akzent2 26 4" xfId="25296" xr:uid="{EF6998D1-3350-4F1D-8E95-40CC1FBB655D}"/>
    <cellStyle name="40% - Akzent2 27" xfId="5862" xr:uid="{BF5B3C02-E10A-46B5-8D8C-B6BA52B2112E}"/>
    <cellStyle name="40% - Akzent2 27 2" xfId="5863" xr:uid="{4C6899A0-E4F6-4C9E-8D09-65929993F4A5}"/>
    <cellStyle name="40% - Akzent2 27 2 2" xfId="25300" xr:uid="{C7E3B047-F65C-4E6D-AD5E-2E0D5CF6027C}"/>
    <cellStyle name="40% - Akzent2 27 3" xfId="5864" xr:uid="{B19B6F47-4D93-4ED8-B9AE-463913E58129}"/>
    <cellStyle name="40% - Akzent2 27 3 2" xfId="25301" xr:uid="{D5AFB4D2-C43D-4085-9829-6C438792B1D8}"/>
    <cellStyle name="40% - Akzent2 27 4" xfId="25299" xr:uid="{32807358-B383-4482-9AC1-21F748AAD501}"/>
    <cellStyle name="40% - Akzent2 28" xfId="5865" xr:uid="{32D83103-FC3E-40D6-BC6B-FB26CFDD0868}"/>
    <cellStyle name="40% - Akzent2 28 2" xfId="5866" xr:uid="{A3178DD7-30B9-4F4C-B5BD-7C9AE3CE2E88}"/>
    <cellStyle name="40% - Akzent2 28 2 2" xfId="25303" xr:uid="{1EF8107A-6043-43CD-9CD2-56B156ADCEF0}"/>
    <cellStyle name="40% - Akzent2 28 3" xfId="5867" xr:uid="{182FBC96-9CF0-4BEA-BDBB-717E758A2250}"/>
    <cellStyle name="40% - Akzent2 28 3 2" xfId="25304" xr:uid="{67095437-B615-4836-BA31-3BDA1FE01BA0}"/>
    <cellStyle name="40% - Akzent2 28 4" xfId="25302" xr:uid="{D3278804-83A5-4262-BEFD-28E79A47F269}"/>
    <cellStyle name="40% - Akzent2 29" xfId="5868" xr:uid="{9FF9757B-1D58-4488-91C0-E3803DE01201}"/>
    <cellStyle name="40% - Akzent2 29 2" xfId="5869" xr:uid="{678A05DD-D234-44AD-AFEB-3A02FB73BCEC}"/>
    <cellStyle name="40% - Akzent2 29 2 2" xfId="25306" xr:uid="{7A9D97D2-CCAD-49FD-B414-F3E4B60A0B1E}"/>
    <cellStyle name="40% - Akzent2 29 3" xfId="5870" xr:uid="{D7B94795-0249-49E5-9FFE-0DB9DB06DA9F}"/>
    <cellStyle name="40% - Akzent2 29 3 2" xfId="25307" xr:uid="{1AFC07EB-7B6E-43A0-95C6-EDE2B5F5B35D}"/>
    <cellStyle name="40% - Akzent2 29 4" xfId="25305" xr:uid="{2F94D5A0-7636-42B8-A526-BD9577AFF55C}"/>
    <cellStyle name="40% - Akzent2 3" xfId="116" xr:uid="{A3575CC0-3383-483F-8CF4-7C8FC311D13D}"/>
    <cellStyle name="40% - Akzent2 3 10" xfId="5872" xr:uid="{59475190-C76B-4AF1-B819-6E17FE72419D}"/>
    <cellStyle name="40% - Akzent2 3 10 2" xfId="5873" xr:uid="{3A3CF234-297D-4B39-B8A9-F72D55C732C1}"/>
    <cellStyle name="40% - Akzent2 3 10 2 2" xfId="25310" xr:uid="{1005CF85-695E-4C06-BD85-8470664B56D4}"/>
    <cellStyle name="40% - Akzent2 3 10 3" xfId="25309" xr:uid="{407BDD8C-FA4E-4438-BDA8-B0ABC96B3290}"/>
    <cellStyle name="40% - Akzent2 3 11" xfId="5874" xr:uid="{3091A527-98DB-412A-8B27-25BFDF6C3546}"/>
    <cellStyle name="40% - Akzent2 3 11 2" xfId="5875" xr:uid="{EAF4EC30-D8C9-4D24-880D-A436C01C06FB}"/>
    <cellStyle name="40% - Akzent2 3 11 2 2" xfId="25312" xr:uid="{6D148108-E7C4-4D77-ABE1-306476B5FCD5}"/>
    <cellStyle name="40% - Akzent2 3 11 3" xfId="25311" xr:uid="{DEE9899D-943F-4B68-B8EE-B4BE84C84B1F}"/>
    <cellStyle name="40% - Akzent2 3 12" xfId="5876" xr:uid="{594DCE42-B41E-4F4E-B728-7C85F3A8065B}"/>
    <cellStyle name="40% - Akzent2 3 12 2" xfId="5877" xr:uid="{FC471CE3-4700-40BF-8D24-46D5E8430314}"/>
    <cellStyle name="40% - Akzent2 3 12 2 2" xfId="25314" xr:uid="{E9131553-4DA9-40E1-AA3A-D75377225A9F}"/>
    <cellStyle name="40% - Akzent2 3 12 3" xfId="25313" xr:uid="{D235D765-E689-4080-B2B6-895E13B1898C}"/>
    <cellStyle name="40% - Akzent2 3 13" xfId="5878" xr:uid="{C805399F-1B63-4D4C-9FF7-3C9330DB75BF}"/>
    <cellStyle name="40% - Akzent2 3 13 2" xfId="5879" xr:uid="{E2818878-CEF2-4FEA-A537-0F3018C0C8A5}"/>
    <cellStyle name="40% - Akzent2 3 13 2 2" xfId="25316" xr:uid="{19E36C3D-09D3-495A-9D8A-AD49E7262833}"/>
    <cellStyle name="40% - Akzent2 3 13 3" xfId="25315" xr:uid="{428CE091-A21F-45ED-9171-4F7145D6F18C}"/>
    <cellStyle name="40% - Akzent2 3 14" xfId="5880" xr:uid="{A5B4605F-5FB1-40D5-A3CA-30932388F30F}"/>
    <cellStyle name="40% - Akzent2 3 14 2" xfId="5881" xr:uid="{60CC26A6-450B-483A-B47B-F1B8DDC23240}"/>
    <cellStyle name="40% - Akzent2 3 14 2 2" xfId="25318" xr:uid="{8074A267-3B8F-4323-A400-EDD2594D6C54}"/>
    <cellStyle name="40% - Akzent2 3 14 3" xfId="25317" xr:uid="{B6F292A6-EDC1-4EBF-82BE-DC74A55E3431}"/>
    <cellStyle name="40% - Akzent2 3 15" xfId="5882" xr:uid="{CDD03E9D-F35A-4E54-A403-4F731BF04DFE}"/>
    <cellStyle name="40% - Akzent2 3 15 2" xfId="5883" xr:uid="{1A40CC05-76BA-4AEE-98F9-FBBB125A7A4D}"/>
    <cellStyle name="40% - Akzent2 3 15 2 2" xfId="25320" xr:uid="{7ABA844D-E0A6-477C-A096-0DC0EC685804}"/>
    <cellStyle name="40% - Akzent2 3 15 3" xfId="25319" xr:uid="{25145F93-76F7-4355-B3D1-E26BB36A087A}"/>
    <cellStyle name="40% - Akzent2 3 16" xfId="5884" xr:uid="{28165463-A9AA-4C68-858D-6F66FF257FD7}"/>
    <cellStyle name="40% - Akzent2 3 16 2" xfId="5885" xr:uid="{2A51B686-B98D-4ABE-978F-257475D70CB0}"/>
    <cellStyle name="40% - Akzent2 3 16 2 2" xfId="25322" xr:uid="{12080E6D-52A9-42B2-A2EA-CD47EC7476AB}"/>
    <cellStyle name="40% - Akzent2 3 16 3" xfId="25321" xr:uid="{3A040B77-C813-464C-9D46-14E6EBA6F897}"/>
    <cellStyle name="40% - Akzent2 3 17" xfId="5886" xr:uid="{63323CFC-2521-4E73-8E99-FB8120936C9C}"/>
    <cellStyle name="40% - Akzent2 3 17 2" xfId="5887" xr:uid="{D673D377-8ED7-4442-BB27-D24057759DBB}"/>
    <cellStyle name="40% - Akzent2 3 17 2 2" xfId="25324" xr:uid="{AB6CDC9B-F089-47DD-BBF0-3301B50CC96E}"/>
    <cellStyle name="40% - Akzent2 3 17 3" xfId="25323" xr:uid="{59967D58-ECCD-4A8E-BCB1-B2A92C3A9F95}"/>
    <cellStyle name="40% - Akzent2 3 18" xfId="5888" xr:uid="{0DF427C2-4F10-48C7-88FA-3BD184013DBB}"/>
    <cellStyle name="40% - Akzent2 3 18 2" xfId="5889" xr:uid="{46F01873-3855-4586-AEF8-DA4A87454F3E}"/>
    <cellStyle name="40% - Akzent2 3 18 2 2" xfId="25326" xr:uid="{2F14F69B-524A-40AA-AB65-C593062D7C80}"/>
    <cellStyle name="40% - Akzent2 3 18 3" xfId="25325" xr:uid="{AF9980EA-39E3-41D2-AFD1-266671C524C8}"/>
    <cellStyle name="40% - Akzent2 3 19" xfId="5890" xr:uid="{156EBB24-FC52-4680-8BB7-AC3FE293DD5A}"/>
    <cellStyle name="40% - Akzent2 3 19 2" xfId="5891" xr:uid="{D8F5DC2D-BA36-4BB1-8A7C-B9C097741387}"/>
    <cellStyle name="40% - Akzent2 3 19 2 2" xfId="25328" xr:uid="{1EE8EBDE-70F0-4EBD-B161-3F0B16A8B7C6}"/>
    <cellStyle name="40% - Akzent2 3 19 3" xfId="25327" xr:uid="{91487671-E5A4-41C5-8915-B69E43876635}"/>
    <cellStyle name="40% - Akzent2 3 2" xfId="5892" xr:uid="{12D7C4DC-98BA-4DBA-A359-80EBDDB254F3}"/>
    <cellStyle name="40% - Akzent2 3 2 2" xfId="5893" xr:uid="{F82BC5E2-336E-4620-ABBA-E1D8257F3C8A}"/>
    <cellStyle name="40% - Akzent2 3 2 2 2" xfId="5894" xr:uid="{FF5A6131-87F5-4B1F-8438-CC990EE4458B}"/>
    <cellStyle name="40% - Akzent2 3 2 2 2 2" xfId="25331" xr:uid="{B0F01F1A-7ABC-4775-8E14-EE317B86FDAC}"/>
    <cellStyle name="40% - Akzent2 3 2 2 3" xfId="5895" xr:uid="{BF7AA3E4-8341-426A-92BB-B0439329C993}"/>
    <cellStyle name="40% - Akzent2 3 2 2 3 2" xfId="25332" xr:uid="{B4454462-AF0E-4A34-9714-9A776A91D5F4}"/>
    <cellStyle name="40% - Akzent2 3 2 2 4" xfId="25330" xr:uid="{F7E784E6-FD21-49F7-B937-F2230FFFB931}"/>
    <cellStyle name="40% - Akzent2 3 2 2 5" xfId="40891" xr:uid="{7A4837DC-34FA-4E0F-9B77-A1DB6F24B1A8}"/>
    <cellStyle name="40% - Akzent2 3 2 3" xfId="5896" xr:uid="{5AEF864B-EFF2-4147-9EE1-B99A184A7D4A}"/>
    <cellStyle name="40% - Akzent2 3 2 3 2" xfId="25333" xr:uid="{03779484-BADC-45B4-A0A4-F6F39D7DCBFA}"/>
    <cellStyle name="40% - Akzent2 3 2 3 3" xfId="41751" xr:uid="{B2F3BF8C-3E66-424A-911F-CC50C384ABC7}"/>
    <cellStyle name="40% - Akzent2 3 2 4" xfId="5897" xr:uid="{94EECCE4-FB8F-4C28-98DC-1949A8ABE1AD}"/>
    <cellStyle name="40% - Akzent2 3 2 4 2" xfId="25334" xr:uid="{4C976BB0-EE92-4991-BEC8-E3E399103821}"/>
    <cellStyle name="40% - Akzent2 3 2 5" xfId="25329" xr:uid="{5441F0DC-7011-47BF-970F-42BBE3BCD0DC}"/>
    <cellStyle name="40% - Akzent2 3 2 6" xfId="39945" xr:uid="{B511ABA7-B97F-4DC6-863D-2C70360CDCDB}"/>
    <cellStyle name="40% - Akzent2 3 20" xfId="5898" xr:uid="{02535352-80B7-4D09-B5D2-E3249DC681D3}"/>
    <cellStyle name="40% - Akzent2 3 20 2" xfId="5899" xr:uid="{D6C10B76-67CA-45B2-B2D5-D3D7AFA54072}"/>
    <cellStyle name="40% - Akzent2 3 20 2 2" xfId="25336" xr:uid="{37B24242-4FC1-45F0-A0EA-0354165C2E97}"/>
    <cellStyle name="40% - Akzent2 3 20 3" xfId="25335" xr:uid="{CBD6FCCA-1005-42EB-B68C-9F853F8577EF}"/>
    <cellStyle name="40% - Akzent2 3 21" xfId="5900" xr:uid="{0AF88B1E-05CC-4EE7-8C87-A5B0A12D3E58}"/>
    <cellStyle name="40% - Akzent2 3 21 2" xfId="5901" xr:uid="{6CD44FA4-B48E-41C4-88F0-9C320B2030B8}"/>
    <cellStyle name="40% - Akzent2 3 21 2 2" xfId="25338" xr:uid="{CA29FB6B-65F6-4303-817B-41CDE74C3433}"/>
    <cellStyle name="40% - Akzent2 3 21 3" xfId="25337" xr:uid="{7934661E-A765-43DD-80A8-C7EF23BEA769}"/>
    <cellStyle name="40% - Akzent2 3 22" xfId="5902" xr:uid="{43FA7585-277A-4E3F-AF75-CBFFC28CC9CD}"/>
    <cellStyle name="40% - Akzent2 3 22 2" xfId="25339" xr:uid="{7DE8A4B8-E2FF-4D40-87B7-6941E9878CE7}"/>
    <cellStyle name="40% - Akzent2 3 23" xfId="5903" xr:uid="{01C18FD8-F242-4BE0-AAB2-667DCEE2C05F}"/>
    <cellStyle name="40% - Akzent2 3 23 2" xfId="25340" xr:uid="{C180EA06-8D16-4029-A8D8-21F00641C5A9}"/>
    <cellStyle name="40% - Akzent2 3 24" xfId="25308" xr:uid="{EC7927D9-5393-4048-90C7-FB9B49D65FA5}"/>
    <cellStyle name="40% - Akzent2 3 25" xfId="39312" xr:uid="{F4BB3D9D-E5EA-4575-9CEE-06E50B5DDF6B}"/>
    <cellStyle name="40% - Akzent2 3 26" xfId="5871" xr:uid="{019AF35B-8161-43AC-AF4B-3DCE311CB5CE}"/>
    <cellStyle name="40% - Akzent2 3 3" xfId="5904" xr:uid="{451649C5-C7BF-48F8-95CF-E29458A4C5AE}"/>
    <cellStyle name="40% - Akzent2 3 3 2" xfId="25341" xr:uid="{EBF3F7CE-CED8-4130-A033-EC04C0DFF739}"/>
    <cellStyle name="40% - Akzent2 3 3 2 2" xfId="40890" xr:uid="{1CB9FBB8-BAF4-4866-B8D9-9B3D8C0E16FC}"/>
    <cellStyle name="40% - Akzent2 3 3 3" xfId="41750" xr:uid="{AD759570-06D9-4F1A-B4C0-2677E946E8BE}"/>
    <cellStyle name="40% - Akzent2 3 3 4" xfId="39944" xr:uid="{C0B88935-29EF-4750-A4C1-F54382DE6A46}"/>
    <cellStyle name="40% - Akzent2 3 4" xfId="5905" xr:uid="{DF3E9D37-73C2-424D-B4DA-C92AE7DC4A7C}"/>
    <cellStyle name="40% - Akzent2 3 4 2" xfId="25342" xr:uid="{7B0EDEAD-DF5B-406F-ABC1-FB38350B87F7}"/>
    <cellStyle name="40% - Akzent2 3 4 3" xfId="40460" xr:uid="{1B27CB50-23F9-4DF8-9B35-2177467E1C62}"/>
    <cellStyle name="40% - Akzent2 3 5" xfId="5906" xr:uid="{322DB28F-3DE9-4BF9-B4DD-A65F8EE953FA}"/>
    <cellStyle name="40% - Akzent2 3 5 2" xfId="5907" xr:uid="{9AE8BBF1-4070-48AA-91C4-ABB9D98B39B5}"/>
    <cellStyle name="40% - Akzent2 3 5 2 2" xfId="5908" xr:uid="{86452DFE-2B03-4986-9E81-F0076EBDD4A0}"/>
    <cellStyle name="40% - Akzent2 3 5 2 2 2" xfId="25345" xr:uid="{164DC18A-1B33-4202-BA8F-6F9755F53580}"/>
    <cellStyle name="40% - Akzent2 3 5 2 3" xfId="25344" xr:uid="{F6C59975-D204-4E2A-89D4-235AB4609E5A}"/>
    <cellStyle name="40% - Akzent2 3 5 3" xfId="25343" xr:uid="{F8F92D9E-E3BC-41FA-BAE1-8AB1F0B5E469}"/>
    <cellStyle name="40% - Akzent2 3 5 4" xfId="41320" xr:uid="{796ED704-4E2B-4ABE-B78D-63F3F106B24C}"/>
    <cellStyle name="40% - Akzent2 3 6" xfId="5909" xr:uid="{3C303018-BDB4-4CBD-8516-43E8F64EC01B}"/>
    <cellStyle name="40% - Akzent2 3 6 2" xfId="5910" xr:uid="{1DC946DA-A955-4821-B7B5-C463B450D64A}"/>
    <cellStyle name="40% - Akzent2 3 6 2 2" xfId="25347" xr:uid="{DFBCF141-E885-46F4-8DB4-A4F66A9BB72B}"/>
    <cellStyle name="40% - Akzent2 3 6 3" xfId="25346" xr:uid="{067298BE-C8C5-4147-BBBA-CAA6587B399A}"/>
    <cellStyle name="40% - Akzent2 3 7" xfId="5911" xr:uid="{8B3B52EE-D49B-4760-A7C3-44738E255C47}"/>
    <cellStyle name="40% - Akzent2 3 7 2" xfId="5912" xr:uid="{EFC9C7D3-A929-4436-8DE1-1130B7AF4FC8}"/>
    <cellStyle name="40% - Akzent2 3 7 2 2" xfId="25349" xr:uid="{239DCE28-5CB4-4641-9332-0824D739271B}"/>
    <cellStyle name="40% - Akzent2 3 7 3" xfId="25348" xr:uid="{BBD6DA2E-594C-4EEA-81A4-E82096463BA7}"/>
    <cellStyle name="40% - Akzent2 3 8" xfId="5913" xr:uid="{EBAD91D5-F835-4FCD-A93F-459C7DCFDDC6}"/>
    <cellStyle name="40% - Akzent2 3 8 2" xfId="5914" xr:uid="{E7EA3A4F-78A6-4F22-B10C-D2DAA69883A4}"/>
    <cellStyle name="40% - Akzent2 3 8 2 2" xfId="25351" xr:uid="{D759E2D1-A260-4158-A3B2-04C02AA2A64F}"/>
    <cellStyle name="40% - Akzent2 3 8 3" xfId="25350" xr:uid="{0147B8B4-815B-4DBB-AB34-0C3C8F12CB33}"/>
    <cellStyle name="40% - Akzent2 3 9" xfId="5915" xr:uid="{47CA0646-5414-4FE8-A34D-A98874A7D80A}"/>
    <cellStyle name="40% - Akzent2 3 9 2" xfId="5916" xr:uid="{372725C6-496D-4803-8A8E-77B1D603FD6A}"/>
    <cellStyle name="40% - Akzent2 3 9 2 2" xfId="25353" xr:uid="{BFA8813B-8B44-4F95-AA39-C907B0A0EA0C}"/>
    <cellStyle name="40% - Akzent2 3 9 3" xfId="25352" xr:uid="{385D1B23-9B28-4574-9E11-DF3131209EF7}"/>
    <cellStyle name="40% - Akzent2 30" xfId="5917" xr:uid="{734E1DB5-C512-45EF-A800-0C159BAAC32E}"/>
    <cellStyle name="40% - Akzent2 30 2" xfId="5918" xr:uid="{6208E20E-9957-4340-A337-5CB23B56740B}"/>
    <cellStyle name="40% - Akzent2 30 2 2" xfId="25355" xr:uid="{0498535D-F15C-423A-B207-AA86C10180EC}"/>
    <cellStyle name="40% - Akzent2 30 3" xfId="5919" xr:uid="{C546ADE2-0092-405E-B656-68D89D7F37DD}"/>
    <cellStyle name="40% - Akzent2 30 3 2" xfId="25356" xr:uid="{BBE9BFFE-948D-4BF4-B685-042B1C31D534}"/>
    <cellStyle name="40% - Akzent2 30 4" xfId="25354" xr:uid="{839D0F35-152B-4F0A-B0E3-D1DA267B1010}"/>
    <cellStyle name="40% - Akzent2 31" xfId="5920" xr:uid="{99FFD068-8B22-4CF8-88D7-24318DA94DBD}"/>
    <cellStyle name="40% - Akzent2 31 2" xfId="5921" xr:uid="{3AFB1819-09B1-44A5-9890-B21B7CE92034}"/>
    <cellStyle name="40% - Akzent2 31 2 2" xfId="25358" xr:uid="{F3F6471D-BC0E-4D48-B323-20E0C337EFF8}"/>
    <cellStyle name="40% - Akzent2 31 3" xfId="5922" xr:uid="{48A7B0B1-8610-4E30-B826-0E179115A367}"/>
    <cellStyle name="40% - Akzent2 31 3 2" xfId="25359" xr:uid="{3578B548-5412-4B88-AF9E-EF3AF8CB7167}"/>
    <cellStyle name="40% - Akzent2 31 4" xfId="25357" xr:uid="{79A60706-E6D7-4CEF-A429-8730DCC38FFC}"/>
    <cellStyle name="40% - Akzent2 32" xfId="5923" xr:uid="{E3D0D464-CABB-45BE-966B-760F9754E136}"/>
    <cellStyle name="40% - Akzent2 32 2" xfId="5924" xr:uid="{32B7ECD6-8307-4534-8FF4-1B08515C982D}"/>
    <cellStyle name="40% - Akzent2 32 2 2" xfId="25361" xr:uid="{9CEC6567-2E1F-40F4-9001-7C209C346166}"/>
    <cellStyle name="40% - Akzent2 32 3" xfId="5925" xr:uid="{7F42BB3E-16AF-4A09-9CBA-66AB460FF3DE}"/>
    <cellStyle name="40% - Akzent2 32 3 2" xfId="25362" xr:uid="{4EFDE282-A79A-4CBB-866D-F7782DDF6E3A}"/>
    <cellStyle name="40% - Akzent2 32 4" xfId="25360" xr:uid="{5AB05605-C8BA-47F8-9EFB-2571E5B05BF5}"/>
    <cellStyle name="40% - Akzent2 33" xfId="5926" xr:uid="{9CDCC9AF-E72C-4432-B78F-7B6E61F5930F}"/>
    <cellStyle name="40% - Akzent2 33 2" xfId="5927" xr:uid="{3553D708-A462-4A3A-A77F-938758E8836B}"/>
    <cellStyle name="40% - Akzent2 33 2 2" xfId="25364" xr:uid="{7AAADB34-EA1E-4A1B-8450-8165CA5F7D06}"/>
    <cellStyle name="40% - Akzent2 33 3" xfId="5928" xr:uid="{8278796B-C389-4796-B2E9-82885DD195D2}"/>
    <cellStyle name="40% - Akzent2 33 3 2" xfId="25365" xr:uid="{B26EC909-6C12-4C15-A868-3C774BB48C37}"/>
    <cellStyle name="40% - Akzent2 33 4" xfId="25363" xr:uid="{0BB7C9DA-45C7-4336-9D4A-C96247AFF0BE}"/>
    <cellStyle name="40% - Akzent2 34" xfId="5929" xr:uid="{BC6E4968-7DF3-46FD-A006-AB7580D48C05}"/>
    <cellStyle name="40% - Akzent2 34 2" xfId="5930" xr:uid="{E81AC4AF-9132-4B19-89F9-1DF356C2B4F5}"/>
    <cellStyle name="40% - Akzent2 34 2 2" xfId="25367" xr:uid="{28F9C6AF-DE27-4992-AD5D-29DC3A6C30B1}"/>
    <cellStyle name="40% - Akzent2 34 3" xfId="5931" xr:uid="{A3A4430C-DA07-41F8-9F30-0DEE31C2D75B}"/>
    <cellStyle name="40% - Akzent2 34 3 2" xfId="25368" xr:uid="{652D3D0C-5E10-4CD0-909B-582B8B1DC02C}"/>
    <cellStyle name="40% - Akzent2 34 4" xfId="25366" xr:uid="{6C73C8D3-0576-458F-9469-A8A89971F250}"/>
    <cellStyle name="40% - Akzent2 35" xfId="5932" xr:uid="{F88BD412-CC3B-425B-931B-53FED90E15F3}"/>
    <cellStyle name="40% - Akzent2 35 2" xfId="5933" xr:uid="{8BC40147-A0D9-4219-BE23-0AEE51D81D3A}"/>
    <cellStyle name="40% - Akzent2 35 2 2" xfId="25370" xr:uid="{7D6F13C5-EDCF-4A60-A510-E8387072A304}"/>
    <cellStyle name="40% - Akzent2 35 3" xfId="5934" xr:uid="{DF71708A-99D0-4F94-9F26-6431D52B4CF1}"/>
    <cellStyle name="40% - Akzent2 35 3 2" xfId="25371" xr:uid="{EBC0EF1E-525C-4C20-B6BF-F65E9F1EF4E4}"/>
    <cellStyle name="40% - Akzent2 35 4" xfId="25369" xr:uid="{0B0998EF-7AA5-4D96-B42F-E323C1707335}"/>
    <cellStyle name="40% - Akzent2 36" xfId="5935" xr:uid="{355FABC5-69F5-4962-A2BD-9A6A264117CE}"/>
    <cellStyle name="40% - Akzent2 36 2" xfId="5936" xr:uid="{8682CC2D-6D38-4EFD-B22F-84AFEFDF29D9}"/>
    <cellStyle name="40% - Akzent2 36 2 2" xfId="25373" xr:uid="{4F6A53BC-1706-4B20-B059-13A778460922}"/>
    <cellStyle name="40% - Akzent2 36 3" xfId="5937" xr:uid="{3785C830-016F-47E0-BAFD-56D9E9C914B3}"/>
    <cellStyle name="40% - Akzent2 36 3 2" xfId="25374" xr:uid="{421D0FB5-FA30-4AA7-A12B-514910ABCEEE}"/>
    <cellStyle name="40% - Akzent2 36 4" xfId="25372" xr:uid="{D97C941B-46A1-4A52-8D61-ED554182562C}"/>
    <cellStyle name="40% - Akzent2 37" xfId="5938" xr:uid="{AFD60B05-54D1-4E00-9F72-9D3F5AD67D0E}"/>
    <cellStyle name="40% - Akzent2 37 2" xfId="5939" xr:uid="{39DE2C2E-0225-4006-9B82-B64FB0598C73}"/>
    <cellStyle name="40% - Akzent2 37 2 2" xfId="25376" xr:uid="{FA6E661C-DE58-4A26-9E52-E410182013F3}"/>
    <cellStyle name="40% - Akzent2 37 3" xfId="25375" xr:uid="{A913746F-554E-4406-BD97-E35C2224F76A}"/>
    <cellStyle name="40% - Akzent2 38" xfId="5940" xr:uid="{14F3EC5D-8C8C-45A0-94F3-414077BC5D85}"/>
    <cellStyle name="40% - Akzent2 38 2" xfId="5941" xr:uid="{1166C47F-8ECA-4653-B3B9-FA9DDE4FA2CD}"/>
    <cellStyle name="40% - Akzent2 38 2 2" xfId="25378" xr:uid="{F7285B0E-FAC1-4A77-A269-B4251B1FC11F}"/>
    <cellStyle name="40% - Akzent2 38 3" xfId="25377" xr:uid="{EE3E2844-48E8-4853-A05B-49553437A510}"/>
    <cellStyle name="40% - Akzent2 39" xfId="5942" xr:uid="{B4C63D44-55D7-4B05-8514-10D402627F9A}"/>
    <cellStyle name="40% - Akzent2 39 2" xfId="5943" xr:uid="{BBD38DB1-162E-450D-A0EC-CAB750D23A3F}"/>
    <cellStyle name="40% - Akzent2 39 2 2" xfId="25380" xr:uid="{E9709B2A-C42F-4F6F-8630-B8F3C71E1F0B}"/>
    <cellStyle name="40% - Akzent2 39 3" xfId="25379" xr:uid="{42A372FA-D193-42CD-BEDA-7BA2F5F094C7}"/>
    <cellStyle name="40% - Akzent2 4" xfId="130" xr:uid="{EE3C96EE-1E34-4CF2-9CC0-57A53ACB1BEC}"/>
    <cellStyle name="40% - Akzent2 4 10" xfId="5945" xr:uid="{12AA8108-6882-481F-B5AB-73797679F298}"/>
    <cellStyle name="40% - Akzent2 4 10 2" xfId="5946" xr:uid="{10E77387-DE6D-41B8-9392-34030B2A53CB}"/>
    <cellStyle name="40% - Akzent2 4 10 2 2" xfId="25383" xr:uid="{1BA4BB31-1F1D-498D-ADA2-4199F975C276}"/>
    <cellStyle name="40% - Akzent2 4 10 3" xfId="25382" xr:uid="{DD9F2A91-DA93-4DF4-9A0F-32DA962C4FBB}"/>
    <cellStyle name="40% - Akzent2 4 11" xfId="5947" xr:uid="{F7776147-63A0-4ED4-BAFC-3DA93B6EB1DC}"/>
    <cellStyle name="40% - Akzent2 4 11 2" xfId="5948" xr:uid="{2FD9D664-2A60-4134-B222-4479AA31E6D7}"/>
    <cellStyle name="40% - Akzent2 4 11 2 2" xfId="25385" xr:uid="{31D50303-3EF5-4FD7-8325-B85184187797}"/>
    <cellStyle name="40% - Akzent2 4 11 3" xfId="25384" xr:uid="{65F8F105-677D-440F-86FC-7E690C3916B4}"/>
    <cellStyle name="40% - Akzent2 4 12" xfId="5949" xr:uid="{9F54E45E-1806-421B-8973-4E019D1EAC88}"/>
    <cellStyle name="40% - Akzent2 4 12 2" xfId="5950" xr:uid="{1AEA3263-224D-469B-86AD-2777E40A9B56}"/>
    <cellStyle name="40% - Akzent2 4 12 2 2" xfId="25387" xr:uid="{390C1404-A290-4419-9655-2476AA65BB6A}"/>
    <cellStyle name="40% - Akzent2 4 12 3" xfId="25386" xr:uid="{87FDA5FA-1358-4BEE-95C9-A9A443A9A72B}"/>
    <cellStyle name="40% - Akzent2 4 13" xfId="5951" xr:uid="{A810C445-4DB5-47B1-B405-94A4B245435E}"/>
    <cellStyle name="40% - Akzent2 4 13 2" xfId="5952" xr:uid="{D5C5194D-55B9-41FC-8EF6-144DF80CB1E5}"/>
    <cellStyle name="40% - Akzent2 4 13 2 2" xfId="25389" xr:uid="{049EBC5E-57ED-46CD-9166-26A8F88FF6F7}"/>
    <cellStyle name="40% - Akzent2 4 13 3" xfId="25388" xr:uid="{C55DA5FF-C4C5-4E3C-806A-6B8969366FD3}"/>
    <cellStyle name="40% - Akzent2 4 14" xfId="5953" xr:uid="{2667CF32-2795-442C-83C9-44233B21E038}"/>
    <cellStyle name="40% - Akzent2 4 14 2" xfId="5954" xr:uid="{E0D97E05-1F6B-427F-A718-73BD5E10F71B}"/>
    <cellStyle name="40% - Akzent2 4 14 2 2" xfId="25391" xr:uid="{6E890B4A-F78C-4EB8-ABE6-F616D4EB3BB4}"/>
    <cellStyle name="40% - Akzent2 4 14 3" xfId="25390" xr:uid="{9072A7B4-484D-4B03-B682-849255916F6F}"/>
    <cellStyle name="40% - Akzent2 4 15" xfId="5955" xr:uid="{69F68006-7D76-474F-99FB-DDB6C647143E}"/>
    <cellStyle name="40% - Akzent2 4 15 2" xfId="5956" xr:uid="{C73BFB34-61A2-47CC-A852-6DCB0FB59975}"/>
    <cellStyle name="40% - Akzent2 4 15 2 2" xfId="25393" xr:uid="{35A0B15E-4B01-4E7C-9418-C0CBF6138AA5}"/>
    <cellStyle name="40% - Akzent2 4 15 3" xfId="25392" xr:uid="{E0AEBF9E-ACE9-4916-9642-32807A82EDC0}"/>
    <cellStyle name="40% - Akzent2 4 16" xfId="5957" xr:uid="{34A64C1B-88B0-4F19-825C-9A740AB628D5}"/>
    <cellStyle name="40% - Akzent2 4 16 2" xfId="5958" xr:uid="{B400690B-DDDA-4260-91A3-76CD11E3CCA2}"/>
    <cellStyle name="40% - Akzent2 4 16 2 2" xfId="25395" xr:uid="{5222EB6D-7122-4A66-BDD7-6E87FEFC7ADE}"/>
    <cellStyle name="40% - Akzent2 4 16 3" xfId="25394" xr:uid="{968EBF65-593A-423A-BFA7-B983D124E3CF}"/>
    <cellStyle name="40% - Akzent2 4 17" xfId="5959" xr:uid="{0FBB9F8A-9F38-4BAA-9317-F07C65948573}"/>
    <cellStyle name="40% - Akzent2 4 17 2" xfId="5960" xr:uid="{DFEDA151-02DF-4699-8D66-A2377A28E42D}"/>
    <cellStyle name="40% - Akzent2 4 17 2 2" xfId="25397" xr:uid="{2A4A0BA3-B7AC-4502-A09E-8E9C77DF493C}"/>
    <cellStyle name="40% - Akzent2 4 17 3" xfId="25396" xr:uid="{F74B377F-4A29-4E06-B71E-C5767F9F9FF5}"/>
    <cellStyle name="40% - Akzent2 4 18" xfId="5961" xr:uid="{FB046FB3-F346-4581-8713-540061D86FDC}"/>
    <cellStyle name="40% - Akzent2 4 18 2" xfId="5962" xr:uid="{BFB8E0BC-DED0-432D-A4FA-D2EAAF4A3AF5}"/>
    <cellStyle name="40% - Akzent2 4 18 2 2" xfId="25399" xr:uid="{AFF4222C-8288-46EA-BA38-E046B5530E9E}"/>
    <cellStyle name="40% - Akzent2 4 18 3" xfId="25398" xr:uid="{92368010-6379-4CB9-B643-88549FBDCF38}"/>
    <cellStyle name="40% - Akzent2 4 19" xfId="5963" xr:uid="{B59DE8A7-2D3E-459F-9DBB-B46465550C60}"/>
    <cellStyle name="40% - Akzent2 4 19 2" xfId="5964" xr:uid="{B5BEAE99-CCF2-40FA-A9FF-A40E0546E6DB}"/>
    <cellStyle name="40% - Akzent2 4 19 2 2" xfId="25401" xr:uid="{FFC0B2DA-9860-4BBB-A1E5-3F2350BA0676}"/>
    <cellStyle name="40% - Akzent2 4 19 3" xfId="25400" xr:uid="{46FE9828-687A-4475-9584-CBE911C3543A}"/>
    <cellStyle name="40% - Akzent2 4 2" xfId="5965" xr:uid="{02DD57FD-74C4-4801-A1FA-4746C2BE6962}"/>
    <cellStyle name="40% - Akzent2 4 2 2" xfId="5966" xr:uid="{76946CF4-8A6C-486D-8BAC-58FCB5E47662}"/>
    <cellStyle name="40% - Akzent2 4 2 2 2" xfId="5967" xr:uid="{08FFDF8A-056A-413B-BD4F-4487A2AC91FA}"/>
    <cellStyle name="40% - Akzent2 4 2 2 2 2" xfId="25404" xr:uid="{AE8BCF9B-A9BF-43FD-99EB-2AFC0FB1C56B}"/>
    <cellStyle name="40% - Akzent2 4 2 2 3" xfId="25403" xr:uid="{D47B54CF-684A-4E24-8F2B-7F0E6EEE463B}"/>
    <cellStyle name="40% - Akzent2 4 2 2 4" xfId="40893" xr:uid="{FF56BD9A-C57D-473E-A94D-3120970318C8}"/>
    <cellStyle name="40% - Akzent2 4 2 3" xfId="25402" xr:uid="{650872CA-98FB-40D1-8063-A05FBEAB646B}"/>
    <cellStyle name="40% - Akzent2 4 2 3 2" xfId="41753" xr:uid="{C21D3623-99AA-4202-82DD-17CFEA61F6FE}"/>
    <cellStyle name="40% - Akzent2 4 2 4" xfId="39947" xr:uid="{71008E3A-C6CD-4285-8101-6003C81465C0}"/>
    <cellStyle name="40% - Akzent2 4 20" xfId="5968" xr:uid="{FDAB4C5B-6173-41A7-A99F-0A2D6032253D}"/>
    <cellStyle name="40% - Akzent2 4 20 2" xfId="5969" xr:uid="{2A5C5B01-0D28-45DF-B189-06300C1D0143}"/>
    <cellStyle name="40% - Akzent2 4 20 2 2" xfId="25406" xr:uid="{9FDD9360-9C4B-40E4-978A-A651868EDC81}"/>
    <cellStyle name="40% - Akzent2 4 20 3" xfId="25405" xr:uid="{BBC5C80A-02C4-41F1-AD95-50321154B176}"/>
    <cellStyle name="40% - Akzent2 4 21" xfId="5970" xr:uid="{FF21164A-3FCA-40D0-A2EE-1A475328EF38}"/>
    <cellStyle name="40% - Akzent2 4 21 2" xfId="5971" xr:uid="{847E2B78-978A-4F86-81AC-4F4E496AF855}"/>
    <cellStyle name="40% - Akzent2 4 21 2 2" xfId="25408" xr:uid="{FC295E59-7EC0-452B-8CD1-13D751ECCD30}"/>
    <cellStyle name="40% - Akzent2 4 21 3" xfId="25407" xr:uid="{97C6EF9E-FA8E-4EE9-81C3-2C6E451B4920}"/>
    <cellStyle name="40% - Akzent2 4 22" xfId="5972" xr:uid="{00223FA4-DD92-49B3-9E04-5913F6BB5742}"/>
    <cellStyle name="40% - Akzent2 4 22 2" xfId="25409" xr:uid="{79FD54BE-DCA4-4CD9-A7B0-8EF9386AADC2}"/>
    <cellStyle name="40% - Akzent2 4 23" xfId="5973" xr:uid="{976962F5-8666-497B-8214-17D9F2048EA4}"/>
    <cellStyle name="40% - Akzent2 4 23 2" xfId="25410" xr:uid="{73A7F9C0-B266-4BCB-85A3-B87614736678}"/>
    <cellStyle name="40% - Akzent2 4 24" xfId="25381" xr:uid="{6F84151A-5C2B-4A58-BE14-0F1692B1C078}"/>
    <cellStyle name="40% - Akzent2 4 25" xfId="39313" xr:uid="{C1FC7EAC-3530-4286-8DA7-6C8CD60930E9}"/>
    <cellStyle name="40% - Akzent2 4 26" xfId="5944" xr:uid="{734E453C-D1EA-4875-96C9-4516AC784296}"/>
    <cellStyle name="40% - Akzent2 4 3" xfId="5974" xr:uid="{77A74ED4-CF8A-40FD-AA6C-77CA0BDD45DE}"/>
    <cellStyle name="40% - Akzent2 4 3 2" xfId="5975" xr:uid="{53B9DD48-1F9E-4890-AE20-EC916E53E093}"/>
    <cellStyle name="40% - Akzent2 4 3 2 2" xfId="25412" xr:uid="{F0A98C13-2DC3-497F-8E77-03C8022002E8}"/>
    <cellStyle name="40% - Akzent2 4 3 2 3" xfId="40892" xr:uid="{D12338F0-88D4-4C18-BE50-B9ECBC7D8E84}"/>
    <cellStyle name="40% - Akzent2 4 3 3" xfId="25411" xr:uid="{DE86AD44-5B56-45D8-BC91-0B48F86204E5}"/>
    <cellStyle name="40% - Akzent2 4 3 3 2" xfId="41752" xr:uid="{BAB29D2B-8FE5-4B98-818A-9E3BF87CFF28}"/>
    <cellStyle name="40% - Akzent2 4 3 4" xfId="39946" xr:uid="{49DFC773-9A5D-49AF-9D04-734935C4B524}"/>
    <cellStyle name="40% - Akzent2 4 4" xfId="5976" xr:uid="{2B65B225-ED14-4BD6-8B0E-6BBA8D7668CB}"/>
    <cellStyle name="40% - Akzent2 4 4 2" xfId="5977" xr:uid="{0E742979-8238-41C2-B324-115B5AE0B1D0}"/>
    <cellStyle name="40% - Akzent2 4 4 2 2" xfId="25414" xr:uid="{CB52C998-F105-4516-B213-021FD06793EC}"/>
    <cellStyle name="40% - Akzent2 4 4 3" xfId="25413" xr:uid="{3E5D4CCE-B084-48E0-BD17-AF08C241B086}"/>
    <cellStyle name="40% - Akzent2 4 4 4" xfId="40461" xr:uid="{09D9D644-AB45-44C4-9CBC-F65B2872D586}"/>
    <cellStyle name="40% - Akzent2 4 5" xfId="5978" xr:uid="{9769A481-8A03-44C1-AAB3-C3104B19E964}"/>
    <cellStyle name="40% - Akzent2 4 5 2" xfId="5979" xr:uid="{4156D3EC-A311-4297-8BFB-97EB00035996}"/>
    <cellStyle name="40% - Akzent2 4 5 2 2" xfId="25416" xr:uid="{3926B09F-8457-4C24-B9B8-28A23BF06D74}"/>
    <cellStyle name="40% - Akzent2 4 5 3" xfId="25415" xr:uid="{FDA21216-4633-41E8-A82D-222AFC0711F5}"/>
    <cellStyle name="40% - Akzent2 4 5 4" xfId="41321" xr:uid="{6315DB63-0EFD-457A-8A20-27EDF41C1092}"/>
    <cellStyle name="40% - Akzent2 4 6" xfId="5980" xr:uid="{D53BB587-45C7-44A9-9E7E-45540170904F}"/>
    <cellStyle name="40% - Akzent2 4 6 2" xfId="5981" xr:uid="{18B543FC-E523-4A4C-A44C-6C492E14B2A3}"/>
    <cellStyle name="40% - Akzent2 4 6 2 2" xfId="25418" xr:uid="{74B084D9-E128-4718-BE91-49FF16A3382E}"/>
    <cellStyle name="40% - Akzent2 4 6 3" xfId="25417" xr:uid="{D35AE0AB-F2C4-4B82-97A2-7A542C5CCC1C}"/>
    <cellStyle name="40% - Akzent2 4 7" xfId="5982" xr:uid="{947B10BA-CD02-4D25-A228-8CAC1D3CFF07}"/>
    <cellStyle name="40% - Akzent2 4 7 2" xfId="5983" xr:uid="{2B04F193-E2FC-41CA-8179-10ED1D3D03BA}"/>
    <cellStyle name="40% - Akzent2 4 7 2 2" xfId="25420" xr:uid="{94CCFF4D-4082-4837-A5E5-7775FA9526CF}"/>
    <cellStyle name="40% - Akzent2 4 7 3" xfId="25419" xr:uid="{28F2434A-7D8E-4DBF-B748-0D5868742687}"/>
    <cellStyle name="40% - Akzent2 4 8" xfId="5984" xr:uid="{8BAB9FA7-4627-4C19-8E29-D66D62099088}"/>
    <cellStyle name="40% - Akzent2 4 8 2" xfId="5985" xr:uid="{CFB36068-9B37-4190-B8D9-66A1C9858D83}"/>
    <cellStyle name="40% - Akzent2 4 8 2 2" xfId="25422" xr:uid="{0084B3B6-1C21-4DD0-9752-77F9095CFB29}"/>
    <cellStyle name="40% - Akzent2 4 8 3" xfId="25421" xr:uid="{51516B98-0A14-4ECB-A8D9-919EA5E71FDB}"/>
    <cellStyle name="40% - Akzent2 4 9" xfId="5986" xr:uid="{11B61069-1AFD-4FAB-9565-57207F00717D}"/>
    <cellStyle name="40% - Akzent2 4 9 2" xfId="5987" xr:uid="{27627C9B-3588-41D9-83DE-7CDF648F2299}"/>
    <cellStyle name="40% - Akzent2 4 9 2 2" xfId="25424" xr:uid="{E5A17D17-C68A-427D-9A39-E47B336AB60B}"/>
    <cellStyle name="40% - Akzent2 4 9 3" xfId="25423" xr:uid="{DE0441B0-4F70-401B-B32A-2769F468859F}"/>
    <cellStyle name="40% - Akzent2 40" xfId="5988" xr:uid="{E1071EE1-8CD8-4D70-98CB-0377FC80FFCE}"/>
    <cellStyle name="40% - Akzent2 40 2" xfId="5989" xr:uid="{E619008C-BDC3-4299-AED6-22C7C2180D53}"/>
    <cellStyle name="40% - Akzent2 40 2 2" xfId="25426" xr:uid="{7F352765-C807-4C89-A62E-0848DB604650}"/>
    <cellStyle name="40% - Akzent2 40 3" xfId="25425" xr:uid="{6CAC770C-229F-41AF-88D1-957830D20BB9}"/>
    <cellStyle name="40% - Akzent2 41" xfId="5990" xr:uid="{3946E886-62D1-4FA3-9012-17FC76A85C44}"/>
    <cellStyle name="40% - Akzent2 41 2" xfId="5991" xr:uid="{3A1941F3-9F2B-402E-81B6-50978DFAA4C4}"/>
    <cellStyle name="40% - Akzent2 41 2 2" xfId="25428" xr:uid="{6FFAEC2C-E070-4930-9360-DBFCD72B9363}"/>
    <cellStyle name="40% - Akzent2 41 3" xfId="25427" xr:uid="{6CE456D6-7E8C-45EC-A66A-328EFD098EB1}"/>
    <cellStyle name="40% - Akzent2 42" xfId="5992" xr:uid="{30BCB5B1-B2EC-4955-B599-D69C93B11C5C}"/>
    <cellStyle name="40% - Akzent2 42 2" xfId="5993" xr:uid="{5C61EF7E-C2A8-465A-AAC4-3C63EDBC21AF}"/>
    <cellStyle name="40% - Akzent2 42 2 2" xfId="25430" xr:uid="{7753335A-36D7-41FD-B367-EF7F9592B04D}"/>
    <cellStyle name="40% - Akzent2 42 3" xfId="25429" xr:uid="{3B3EB4A7-0192-4B87-9C59-BCFCF91138EB}"/>
    <cellStyle name="40% - Akzent2 43" xfId="5994" xr:uid="{0CB2800E-DBEC-42B1-A37F-60F5C301FB26}"/>
    <cellStyle name="40% - Akzent2 43 2" xfId="5995" xr:uid="{E1A00DCE-7389-4F83-8BAC-9D0005A1D3D9}"/>
    <cellStyle name="40% - Akzent2 43 2 2" xfId="25432" xr:uid="{A98851C5-59AA-43B5-9BF9-2C2291C83893}"/>
    <cellStyle name="40% - Akzent2 43 3" xfId="25431" xr:uid="{BB4CA4FA-2D3A-430C-B808-4C4C62ED5F37}"/>
    <cellStyle name="40% - Akzent2 44" xfId="5996" xr:uid="{87B94A26-A605-49E3-BAC6-922027D8B968}"/>
    <cellStyle name="40% - Akzent2 44 2" xfId="5997" xr:uid="{08FF3CFD-F06C-4E37-88D6-6302AA4E842A}"/>
    <cellStyle name="40% - Akzent2 44 2 2" xfId="25434" xr:uid="{69F7660C-FED5-4D99-AAED-CFE0EEAE2677}"/>
    <cellStyle name="40% - Akzent2 44 3" xfId="25433" xr:uid="{C2AED9FB-0015-43F5-B1BD-DAAEA3571B02}"/>
    <cellStyle name="40% - Akzent2 45" xfId="5998" xr:uid="{5E011084-2DD0-4236-9F93-9524E8725D3B}"/>
    <cellStyle name="40% - Akzent2 45 2" xfId="5999" xr:uid="{31EB9AD4-E113-47AD-B953-3861220790C0}"/>
    <cellStyle name="40% - Akzent2 45 2 2" xfId="25436" xr:uid="{E317799E-FD10-43E2-A3FC-EF6DA569AF5E}"/>
    <cellStyle name="40% - Akzent2 45 3" xfId="25435" xr:uid="{989A6F11-68DE-47DF-88DC-5FEDDFF4F661}"/>
    <cellStyle name="40% - Akzent2 46" xfId="6000" xr:uid="{DEF7BD30-1703-49FB-BEE7-18A784BBDA3C}"/>
    <cellStyle name="40% - Akzent2 46 2" xfId="6001" xr:uid="{3C06C249-27AF-4F7B-A9EE-F27008DCB61D}"/>
    <cellStyle name="40% - Akzent2 46 2 2" xfId="25438" xr:uid="{746196A0-1ABE-4731-953B-2AAA495AD798}"/>
    <cellStyle name="40% - Akzent2 46 3" xfId="25437" xr:uid="{18AD25E2-F781-494F-A886-51F9039A44FC}"/>
    <cellStyle name="40% - Akzent2 47" xfId="6002" xr:uid="{F513957C-4E0E-4783-A950-AA1091F924CA}"/>
    <cellStyle name="40% - Akzent2 47 2" xfId="6003" xr:uid="{2E81E493-FBB2-43FC-9F8D-16E187BFF807}"/>
    <cellStyle name="40% - Akzent2 47 2 2" xfId="25440" xr:uid="{0F5BDB00-F8A4-48FF-BA12-583FDA4EE21B}"/>
    <cellStyle name="40% - Akzent2 47 3" xfId="25439" xr:uid="{C313A81A-3683-44C3-833C-FA3241A76702}"/>
    <cellStyle name="40% - Akzent2 48" xfId="6004" xr:uid="{060F25C2-05FB-4966-B47D-758FEEDF8D2A}"/>
    <cellStyle name="40% - Akzent2 48 2" xfId="6005" xr:uid="{3F6E68F5-BC0A-4BBE-B0B8-FB2B389FC5C3}"/>
    <cellStyle name="40% - Akzent2 48 2 2" xfId="25442" xr:uid="{D5EEE32E-5AE7-473A-BF70-A81340895A83}"/>
    <cellStyle name="40% - Akzent2 48 3" xfId="25441" xr:uid="{77355FCE-48DF-4826-A74D-26EF7C3B5E73}"/>
    <cellStyle name="40% - Akzent2 49" xfId="6006" xr:uid="{0F305AC9-AF43-4AA5-BE07-8172CF6BF88F}"/>
    <cellStyle name="40% - Akzent2 49 2" xfId="6007" xr:uid="{79FE4E88-C6CA-4EB9-8A66-B42E865E362B}"/>
    <cellStyle name="40% - Akzent2 49 2 2" xfId="25444" xr:uid="{0B0E69B6-9655-410B-A719-1C70C6BC2540}"/>
    <cellStyle name="40% - Akzent2 49 3" xfId="25443" xr:uid="{AA57954D-C822-4451-8B2D-CB25223D4464}"/>
    <cellStyle name="40% - Akzent2 5" xfId="6008" xr:uid="{275EAED5-2095-4C8F-A56E-7C5A1070D5C5}"/>
    <cellStyle name="40% - Akzent2 5 10" xfId="6009" xr:uid="{0CA24243-35CE-462C-9421-7B81DCB93397}"/>
    <cellStyle name="40% - Akzent2 5 10 2" xfId="6010" xr:uid="{563C3294-63F1-4A05-907C-C30E9A5FE7F8}"/>
    <cellStyle name="40% - Akzent2 5 10 2 2" xfId="25447" xr:uid="{B82E7B00-1671-46BC-9149-1732740BEE48}"/>
    <cellStyle name="40% - Akzent2 5 10 3" xfId="25446" xr:uid="{1DE1DC48-ED53-477D-BF4D-9710EE5BC5A4}"/>
    <cellStyle name="40% - Akzent2 5 11" xfId="6011" xr:uid="{237E3AC4-2D3C-4D15-953D-7452BDA9889C}"/>
    <cellStyle name="40% - Akzent2 5 11 2" xfId="6012" xr:uid="{5F4D63D5-4FE4-415D-82F9-0BDA78F958C6}"/>
    <cellStyle name="40% - Akzent2 5 11 2 2" xfId="25449" xr:uid="{290B4088-AAC7-480E-AB32-E539A576E4A2}"/>
    <cellStyle name="40% - Akzent2 5 11 3" xfId="25448" xr:uid="{EE3BE03E-FFDD-4EE9-8C82-F6B6D79E8836}"/>
    <cellStyle name="40% - Akzent2 5 12" xfId="6013" xr:uid="{A0FF5271-175A-49A5-9AAA-8A1EEBF91276}"/>
    <cellStyle name="40% - Akzent2 5 12 2" xfId="6014" xr:uid="{98CD6523-CFDE-40EC-85C2-04414D8FD31E}"/>
    <cellStyle name="40% - Akzent2 5 12 2 2" xfId="25451" xr:uid="{444ABC4A-B396-483E-8258-35184D8AA7BA}"/>
    <cellStyle name="40% - Akzent2 5 12 3" xfId="25450" xr:uid="{8272A0B0-88BE-48A4-AE02-BD1FA87B65B4}"/>
    <cellStyle name="40% - Akzent2 5 13" xfId="6015" xr:uid="{15B48B03-ED98-48B7-8470-D83ED8598FCA}"/>
    <cellStyle name="40% - Akzent2 5 13 2" xfId="6016" xr:uid="{BA998804-A6C9-4097-A696-2BC63FDF89AC}"/>
    <cellStyle name="40% - Akzent2 5 13 2 2" xfId="25453" xr:uid="{7C05223A-447A-4292-8FD7-7909BACF1FA9}"/>
    <cellStyle name="40% - Akzent2 5 13 3" xfId="25452" xr:uid="{5F40851E-4140-41F0-ACA4-8836C04D5132}"/>
    <cellStyle name="40% - Akzent2 5 14" xfId="6017" xr:uid="{3C2C5FC6-7E6E-4A27-A19F-BD23FD249F9D}"/>
    <cellStyle name="40% - Akzent2 5 14 2" xfId="6018" xr:uid="{D600DD5F-D3DA-430F-9340-9980E5C34513}"/>
    <cellStyle name="40% - Akzent2 5 14 2 2" xfId="25455" xr:uid="{1CB6556B-31E9-4DEF-BCD8-3A22229B142A}"/>
    <cellStyle name="40% - Akzent2 5 14 3" xfId="25454" xr:uid="{FBC4F24E-656B-40A1-A105-E4F68E2C0292}"/>
    <cellStyle name="40% - Akzent2 5 15" xfId="6019" xr:uid="{E283E54A-E38E-4568-B848-CA8694A0C98F}"/>
    <cellStyle name="40% - Akzent2 5 15 2" xfId="6020" xr:uid="{9BFC8ADD-9FA7-4E81-B7C3-45C6406CB500}"/>
    <cellStyle name="40% - Akzent2 5 15 2 2" xfId="25457" xr:uid="{706DAF69-022A-4D74-BC6A-CE887ECCC200}"/>
    <cellStyle name="40% - Akzent2 5 15 3" xfId="25456" xr:uid="{F2B65226-5B3C-45FA-B92A-A6DB2A510983}"/>
    <cellStyle name="40% - Akzent2 5 16" xfId="6021" xr:uid="{A71488D7-77BB-48FC-9495-5D459181C6F9}"/>
    <cellStyle name="40% - Akzent2 5 16 2" xfId="6022" xr:uid="{34520448-D1AF-4304-BCF8-7652C62F1DBF}"/>
    <cellStyle name="40% - Akzent2 5 16 2 2" xfId="25459" xr:uid="{6906EE6F-7B55-4522-8C0A-CB0FEF029C73}"/>
    <cellStyle name="40% - Akzent2 5 16 3" xfId="25458" xr:uid="{8A93B2CE-72A9-40EB-BBCF-033C7308D335}"/>
    <cellStyle name="40% - Akzent2 5 17" xfId="6023" xr:uid="{A5324310-8893-4970-9A0C-98B4461C079B}"/>
    <cellStyle name="40% - Akzent2 5 17 2" xfId="6024" xr:uid="{82A098ED-B57B-44A6-862A-19B86D1D249C}"/>
    <cellStyle name="40% - Akzent2 5 17 2 2" xfId="25461" xr:uid="{2BF6E2F2-10DD-471D-8F7D-102079673280}"/>
    <cellStyle name="40% - Akzent2 5 17 3" xfId="25460" xr:uid="{3EEE7048-1904-46D3-B21A-9F038C4960D3}"/>
    <cellStyle name="40% - Akzent2 5 18" xfId="6025" xr:uid="{1C4E2ED1-3B5D-46B4-9085-A256E347AE3E}"/>
    <cellStyle name="40% - Akzent2 5 18 2" xfId="6026" xr:uid="{C94FE54F-B849-4648-A99A-7C38819E2F09}"/>
    <cellStyle name="40% - Akzent2 5 18 2 2" xfId="25463" xr:uid="{9F4EC60D-2CB3-4397-81C4-3D4CF7E4B988}"/>
    <cellStyle name="40% - Akzent2 5 18 3" xfId="25462" xr:uid="{D44A9095-57FC-45FA-857C-B1ED49FB9D4E}"/>
    <cellStyle name="40% - Akzent2 5 19" xfId="6027" xr:uid="{6674AC70-81EE-4957-96EA-4121929F01B2}"/>
    <cellStyle name="40% - Akzent2 5 19 2" xfId="6028" xr:uid="{40DC00FE-9DE2-44F0-94E8-2FE3AA3D2DDC}"/>
    <cellStyle name="40% - Akzent2 5 19 2 2" xfId="25465" xr:uid="{1CAF5233-3D67-4460-A0FE-00AA07834CDF}"/>
    <cellStyle name="40% - Akzent2 5 19 3" xfId="25464" xr:uid="{A03D424F-8E54-442E-BE5C-8856AC9B6C4D}"/>
    <cellStyle name="40% - Akzent2 5 2" xfId="6029" xr:uid="{F33AE4BD-99C3-4A99-8DC3-552159C8D93B}"/>
    <cellStyle name="40% - Akzent2 5 2 2" xfId="6030" xr:uid="{E9190B25-AE5A-49FA-B9B7-5617292AF72C}"/>
    <cellStyle name="40% - Akzent2 5 2 2 2" xfId="25467" xr:uid="{88539082-ECFE-476C-9087-668515C6525E}"/>
    <cellStyle name="40% - Akzent2 5 2 3" xfId="25466" xr:uid="{334DF708-FD8A-43AA-B466-320ADD8389F8}"/>
    <cellStyle name="40% - Akzent2 5 20" xfId="6031" xr:uid="{843E6950-865D-4F22-A087-F6735B3243D0}"/>
    <cellStyle name="40% - Akzent2 5 20 2" xfId="6032" xr:uid="{5B6A1513-6F90-400A-BDC4-DE67F320B872}"/>
    <cellStyle name="40% - Akzent2 5 20 2 2" xfId="25469" xr:uid="{A744BF91-94CC-4155-9F22-C7544FF4B9EE}"/>
    <cellStyle name="40% - Akzent2 5 20 3" xfId="25468" xr:uid="{C32707DB-7615-4033-AF03-7FE08AFF32B7}"/>
    <cellStyle name="40% - Akzent2 5 21" xfId="6033" xr:uid="{7F38D0B1-9AD1-4F53-8243-67DFA33B86D3}"/>
    <cellStyle name="40% - Akzent2 5 21 2" xfId="6034" xr:uid="{C1F0D5FE-69AA-44BB-864E-D9378CC61F17}"/>
    <cellStyle name="40% - Akzent2 5 21 2 2" xfId="25471" xr:uid="{653ABD00-3D05-4F32-ACC0-5204361F1648}"/>
    <cellStyle name="40% - Akzent2 5 21 3" xfId="25470" xr:uid="{55251166-9C8A-492D-BBBE-83BBE90558F0}"/>
    <cellStyle name="40% - Akzent2 5 22" xfId="6035" xr:uid="{68B534BC-BE40-4A6E-986F-AF42D85E30A6}"/>
    <cellStyle name="40% - Akzent2 5 22 2" xfId="25472" xr:uid="{4B96E8F7-D0F6-45C9-AA95-51BEB72D3109}"/>
    <cellStyle name="40% - Akzent2 5 23" xfId="6036" xr:uid="{A41358C6-0A0D-4B7C-9584-91B3B5844B12}"/>
    <cellStyle name="40% - Akzent2 5 23 2" xfId="25473" xr:uid="{9174A703-C6BE-49DA-9F03-5F893F333FB8}"/>
    <cellStyle name="40% - Akzent2 5 24" xfId="25445" xr:uid="{63C553D8-7F08-43E5-81E6-3D6A0B535543}"/>
    <cellStyle name="40% - Akzent2 5 25" xfId="39309" xr:uid="{AE6FB6D7-8179-4960-8930-8037ABBF3D16}"/>
    <cellStyle name="40% - Akzent2 5 3" xfId="6037" xr:uid="{01FC165C-318D-431B-A556-A84CED0499FA}"/>
    <cellStyle name="40% - Akzent2 5 3 2" xfId="6038" xr:uid="{9BE46412-0161-4EB3-9133-B8411DB5B588}"/>
    <cellStyle name="40% - Akzent2 5 3 2 2" xfId="25475" xr:uid="{C1E2BBB9-DF04-461C-AB29-E820F3543DC5}"/>
    <cellStyle name="40% - Akzent2 5 3 3" xfId="25474" xr:uid="{FDD29910-0B40-458A-B6DF-330CF69A6FBE}"/>
    <cellStyle name="40% - Akzent2 5 4" xfId="6039" xr:uid="{60E5E359-3252-4D76-8F34-A77DBFAF903F}"/>
    <cellStyle name="40% - Akzent2 5 4 2" xfId="6040" xr:uid="{8B063715-2060-4638-9B10-023B72E98065}"/>
    <cellStyle name="40% - Akzent2 5 4 2 2" xfId="25477" xr:uid="{E46DF4C3-5B15-45DC-8F80-6EDDE5D50B13}"/>
    <cellStyle name="40% - Akzent2 5 4 3" xfId="25476" xr:uid="{70F2156E-23D0-4A00-94E5-F98BC4554EB8}"/>
    <cellStyle name="40% - Akzent2 5 5" xfId="6041" xr:uid="{7E03DCB3-731A-4D80-AD65-8E8DE0BE56B0}"/>
    <cellStyle name="40% - Akzent2 5 5 2" xfId="6042" xr:uid="{8A4899E9-3743-4FE7-8AEF-8B4D866062F0}"/>
    <cellStyle name="40% - Akzent2 5 5 2 2" xfId="25479" xr:uid="{EF24DC46-7EA4-489C-A98F-D8751168AE4B}"/>
    <cellStyle name="40% - Akzent2 5 5 3" xfId="25478" xr:uid="{88979F26-A916-4299-A436-57183B54244D}"/>
    <cellStyle name="40% - Akzent2 5 6" xfId="6043" xr:uid="{5517D8CE-2D6F-4C8C-93A2-241DE5123802}"/>
    <cellStyle name="40% - Akzent2 5 6 2" xfId="6044" xr:uid="{E88F4A57-D53B-4173-B36A-4DA03A156110}"/>
    <cellStyle name="40% - Akzent2 5 6 2 2" xfId="25481" xr:uid="{0D0CDCBD-A5A5-4967-9CFE-081B8178AA8D}"/>
    <cellStyle name="40% - Akzent2 5 6 3" xfId="25480" xr:uid="{739B33D7-61C5-467E-9D37-DD47314EC381}"/>
    <cellStyle name="40% - Akzent2 5 7" xfId="6045" xr:uid="{BE7BC152-2199-4D10-83EB-4A6C1BF6BF84}"/>
    <cellStyle name="40% - Akzent2 5 7 2" xfId="6046" xr:uid="{2D3D06FA-127C-46AE-AD81-9071BEFE30F1}"/>
    <cellStyle name="40% - Akzent2 5 7 2 2" xfId="25483" xr:uid="{6A6EA567-A99C-4C21-82C9-D449A43E1D81}"/>
    <cellStyle name="40% - Akzent2 5 7 3" xfId="25482" xr:uid="{0D051E3E-7895-4589-B92F-C521C677E940}"/>
    <cellStyle name="40% - Akzent2 5 8" xfId="6047" xr:uid="{BA8FA136-BFE8-42DE-A825-13192FEC1779}"/>
    <cellStyle name="40% - Akzent2 5 8 2" xfId="6048" xr:uid="{E2F1FB58-CB44-42BE-8D33-26074D60A48E}"/>
    <cellStyle name="40% - Akzent2 5 8 2 2" xfId="25485" xr:uid="{2D08E1A9-3793-44B8-BCF3-1D846B32540B}"/>
    <cellStyle name="40% - Akzent2 5 8 3" xfId="25484" xr:uid="{13AE8F71-9501-4D35-B3FA-61CCE92B2350}"/>
    <cellStyle name="40% - Akzent2 5 9" xfId="6049" xr:uid="{C5D47926-34F2-4718-B5FE-CE4EDF9566C6}"/>
    <cellStyle name="40% - Akzent2 5 9 2" xfId="6050" xr:uid="{423485A4-B560-4CD1-9B42-B962A661DD7B}"/>
    <cellStyle name="40% - Akzent2 5 9 2 2" xfId="25487" xr:uid="{845DE465-7BD3-481D-A3D8-AF8CDF017095}"/>
    <cellStyle name="40% - Akzent2 5 9 3" xfId="25486" xr:uid="{D2635527-6B77-406A-AB58-3AB1CF179B7A}"/>
    <cellStyle name="40% - Akzent2 50" xfId="6051" xr:uid="{592DD041-B125-493E-ADA9-BF3FED60C954}"/>
    <cellStyle name="40% - Akzent2 50 2" xfId="6052" xr:uid="{A3FD3B66-F84B-4B43-8D5D-C75DDF1551B0}"/>
    <cellStyle name="40% - Akzent2 50 2 2" xfId="25489" xr:uid="{87909F56-25B2-4754-8C88-3D2DC41DEB40}"/>
    <cellStyle name="40% - Akzent2 50 3" xfId="25488" xr:uid="{4A8C75FF-ECD2-4CF2-995E-CF7DE861EADF}"/>
    <cellStyle name="40% - Akzent2 51" xfId="6053" xr:uid="{5E3D8FC9-1774-4C27-B464-4EF4075F05F3}"/>
    <cellStyle name="40% - Akzent2 51 2" xfId="6054" xr:uid="{93893E01-4982-4548-B5B1-E6EE7AF6A57A}"/>
    <cellStyle name="40% - Akzent2 51 2 2" xfId="25491" xr:uid="{0CBD7CCB-E4F2-4B6A-80FB-B85CF9801552}"/>
    <cellStyle name="40% - Akzent2 51 3" xfId="25490" xr:uid="{3958EE65-8619-4BCE-A292-B9C4031E855E}"/>
    <cellStyle name="40% - Akzent2 52" xfId="6055" xr:uid="{AA54281C-0118-4AD6-8BA8-9C79B3EF3D73}"/>
    <cellStyle name="40% - Akzent2 52 2" xfId="6056" xr:uid="{019A9985-6261-4433-B7C3-90CC3D6A9C3B}"/>
    <cellStyle name="40% - Akzent2 52 2 2" xfId="25493" xr:uid="{352E0AF9-EC81-46DF-A3D6-E4424CFBB5BE}"/>
    <cellStyle name="40% - Akzent2 52 3" xfId="25492" xr:uid="{5915E78A-0BEF-4353-A140-AE88DDE1270C}"/>
    <cellStyle name="40% - Akzent2 53" xfId="6057" xr:uid="{1E71825B-2F01-468B-84A5-B73F8899C790}"/>
    <cellStyle name="40% - Akzent2 53 2" xfId="6058" xr:uid="{4A224CD0-0D7B-4671-A44B-9A01421DF4A0}"/>
    <cellStyle name="40% - Akzent2 53 2 2" xfId="25495" xr:uid="{C6FE5DA7-5486-473B-B9D2-6941B7D08C95}"/>
    <cellStyle name="40% - Akzent2 53 3" xfId="25494" xr:uid="{07E14F53-ED55-4B79-B5AF-DBFDC3DA80E7}"/>
    <cellStyle name="40% - Akzent2 54" xfId="6059" xr:uid="{90DBEE10-4034-4747-90FB-D100CC7F9491}"/>
    <cellStyle name="40% - Akzent2 54 2" xfId="6060" xr:uid="{942FD8F1-B13A-46A8-A1F1-805ADEE83DD1}"/>
    <cellStyle name="40% - Akzent2 54 2 2" xfId="25497" xr:uid="{F19A3D34-8A6D-400B-8EF0-BC7FC0D6335B}"/>
    <cellStyle name="40% - Akzent2 54 3" xfId="25496" xr:uid="{8AC99B72-3A2C-4926-A8E1-B82342750A7F}"/>
    <cellStyle name="40% - Akzent2 55" xfId="6061" xr:uid="{EAA91E6C-C98E-4945-ABF8-7A10E90376B7}"/>
    <cellStyle name="40% - Akzent2 55 2" xfId="6062" xr:uid="{D53C48A6-DDA5-4F1F-9204-63E44F74A6CE}"/>
    <cellStyle name="40% - Akzent2 55 2 2" xfId="25499" xr:uid="{398F2076-4F6F-4E87-A972-8E6A4E85F537}"/>
    <cellStyle name="40% - Akzent2 55 3" xfId="25498" xr:uid="{8F583C9F-7BD9-4E15-B359-3769F162F306}"/>
    <cellStyle name="40% - Akzent2 56" xfId="6063" xr:uid="{9B16C514-8B8E-45E4-B95B-8AE9A395CC53}"/>
    <cellStyle name="40% - Akzent2 56 2" xfId="6064" xr:uid="{3AF2347D-08C0-40F0-AE29-40EB46E1E4F1}"/>
    <cellStyle name="40% - Akzent2 56 2 2" xfId="25501" xr:uid="{AF464462-232D-42E9-8335-D3B4DB537C2E}"/>
    <cellStyle name="40% - Akzent2 56 3" xfId="25500" xr:uid="{4339B1F2-2064-4D63-BC34-42C8C6E16ACD}"/>
    <cellStyle name="40% - Akzent2 57" xfId="6065" xr:uid="{E2C5A4CC-0777-446E-9433-045B487AB3AA}"/>
    <cellStyle name="40% - Akzent2 57 2" xfId="6066" xr:uid="{C92C926D-D1BB-4ADC-93B2-5F30EFBE822F}"/>
    <cellStyle name="40% - Akzent2 57 2 2" xfId="25503" xr:uid="{53AA2149-7D62-4414-9B30-64A93148B0C2}"/>
    <cellStyle name="40% - Akzent2 57 3" xfId="25502" xr:uid="{7C1DFA9F-AB55-4324-B860-68B23B287EBA}"/>
    <cellStyle name="40% - Akzent2 58" xfId="6067" xr:uid="{72E667E2-961B-4CC2-B6C8-7791EC012E0D}"/>
    <cellStyle name="40% - Akzent2 58 2" xfId="6068" xr:uid="{4B77CAA7-3E53-4F37-A1FE-70266274F3F7}"/>
    <cellStyle name="40% - Akzent2 58 2 2" xfId="25505" xr:uid="{40497AD8-C320-4F06-ABD4-C06D2D1B3394}"/>
    <cellStyle name="40% - Akzent2 58 3" xfId="25504" xr:uid="{072F600F-23E3-40B2-9F9B-D6246674D16F}"/>
    <cellStyle name="40% - Akzent2 59" xfId="6069" xr:uid="{0B59132B-6963-4A36-8236-B15CCEF3346E}"/>
    <cellStyle name="40% - Akzent2 59 2" xfId="6070" xr:uid="{D97A8667-A883-4049-AF2B-56AE5579EB8D}"/>
    <cellStyle name="40% - Akzent2 59 2 2" xfId="25507" xr:uid="{BEA208F9-E9AC-4C58-B0C3-4B90E891F0D3}"/>
    <cellStyle name="40% - Akzent2 59 3" xfId="25506" xr:uid="{1CE2DB1A-E2C5-4FEA-BE00-69031B13A509}"/>
    <cellStyle name="40% - Akzent2 6" xfId="6071" xr:uid="{25725531-7DEB-4800-AFBC-57382EC465DE}"/>
    <cellStyle name="40% - Akzent2 6 10" xfId="6072" xr:uid="{A65C5636-54C7-4325-AF8F-931005F0F2D2}"/>
    <cellStyle name="40% - Akzent2 6 10 2" xfId="6073" xr:uid="{CD3FA7B9-1D0C-4F1C-B8E9-15AE346A1989}"/>
    <cellStyle name="40% - Akzent2 6 10 2 2" xfId="25510" xr:uid="{679EC2A1-2172-487A-A235-CBAAB072E58F}"/>
    <cellStyle name="40% - Akzent2 6 10 3" xfId="25509" xr:uid="{24E0FCD2-E761-4413-9795-078D4EC14AA2}"/>
    <cellStyle name="40% - Akzent2 6 11" xfId="6074" xr:uid="{210DE22F-E9B8-4FB7-BCED-D61C9B74FFDC}"/>
    <cellStyle name="40% - Akzent2 6 11 2" xfId="6075" xr:uid="{406D8BA4-F8F4-4FA1-B598-FEE5C32735F9}"/>
    <cellStyle name="40% - Akzent2 6 11 2 2" xfId="25512" xr:uid="{71CD7CB9-BA8D-40F7-AD68-2A9E3B6B6042}"/>
    <cellStyle name="40% - Akzent2 6 11 3" xfId="25511" xr:uid="{E0CC6085-D839-4B7E-A873-CA929946CE3E}"/>
    <cellStyle name="40% - Akzent2 6 12" xfId="6076" xr:uid="{8BABB458-161D-4FEA-80E2-36B28404C37A}"/>
    <cellStyle name="40% - Akzent2 6 12 2" xfId="6077" xr:uid="{EFD5C3FE-C951-4BF9-8DB2-56CB1F3BEAF6}"/>
    <cellStyle name="40% - Akzent2 6 12 2 2" xfId="25514" xr:uid="{1C492FE9-CD63-446A-88C1-ADD7BBAFC593}"/>
    <cellStyle name="40% - Akzent2 6 12 3" xfId="25513" xr:uid="{2594BB89-48EF-497C-8C3B-53D6E73D2927}"/>
    <cellStyle name="40% - Akzent2 6 13" xfId="6078" xr:uid="{825EC91F-B24A-4550-A3BD-43D8878D58B6}"/>
    <cellStyle name="40% - Akzent2 6 13 2" xfId="6079" xr:uid="{591F722D-0BA1-4035-AA84-EE240D151B48}"/>
    <cellStyle name="40% - Akzent2 6 13 2 2" xfId="25516" xr:uid="{EB66375A-4BC7-44EA-BD27-C348BC1F7D91}"/>
    <cellStyle name="40% - Akzent2 6 13 3" xfId="25515" xr:uid="{249F4F00-9A0F-494E-B709-F4C4BF73A6C1}"/>
    <cellStyle name="40% - Akzent2 6 14" xfId="6080" xr:uid="{8E45C508-59AE-479E-9C9D-3B25B94D5CF7}"/>
    <cellStyle name="40% - Akzent2 6 14 2" xfId="6081" xr:uid="{1BAF86FB-D53B-4503-B805-E9EB52C4E956}"/>
    <cellStyle name="40% - Akzent2 6 14 2 2" xfId="25518" xr:uid="{BAABFDD8-B166-44C0-A9D7-100C91D24898}"/>
    <cellStyle name="40% - Akzent2 6 14 3" xfId="25517" xr:uid="{3BEF6F58-5326-4C0C-93B6-427F6269AF38}"/>
    <cellStyle name="40% - Akzent2 6 15" xfId="6082" xr:uid="{C1D1859F-E97C-4F91-BB59-B0237FBE91A8}"/>
    <cellStyle name="40% - Akzent2 6 15 2" xfId="6083" xr:uid="{7F152E7D-F793-4141-BA21-49374467FE03}"/>
    <cellStyle name="40% - Akzent2 6 15 2 2" xfId="25520" xr:uid="{EE149002-8F22-4EEC-90A2-39B7923E55D2}"/>
    <cellStyle name="40% - Akzent2 6 15 3" xfId="25519" xr:uid="{A6F85E8E-6BB4-4B00-B158-704DE82C22F7}"/>
    <cellStyle name="40% - Akzent2 6 16" xfId="6084" xr:uid="{E27817EA-07A4-4E0F-84AF-2927462841E6}"/>
    <cellStyle name="40% - Akzent2 6 16 2" xfId="6085" xr:uid="{85BA4016-6F7A-4B4D-9313-7BA13AF09D26}"/>
    <cellStyle name="40% - Akzent2 6 16 2 2" xfId="25522" xr:uid="{7CFA1E4C-3219-43CF-91ED-D54754085B82}"/>
    <cellStyle name="40% - Akzent2 6 16 3" xfId="25521" xr:uid="{AE16099F-51ED-4D4F-B956-47491393FB2B}"/>
    <cellStyle name="40% - Akzent2 6 17" xfId="6086" xr:uid="{3FDE8A78-DD59-4E0E-A418-7D9DF668A378}"/>
    <cellStyle name="40% - Akzent2 6 17 2" xfId="6087" xr:uid="{51C0C340-3125-485F-97F9-58217794EB10}"/>
    <cellStyle name="40% - Akzent2 6 17 2 2" xfId="25524" xr:uid="{D0DDC446-D85D-4DB8-972E-F1B6BDA312BD}"/>
    <cellStyle name="40% - Akzent2 6 17 3" xfId="25523" xr:uid="{724F1180-1D32-4E01-9542-DCD19BB51F47}"/>
    <cellStyle name="40% - Akzent2 6 18" xfId="6088" xr:uid="{4AAC2787-208C-46C9-A983-2CA91114E3B1}"/>
    <cellStyle name="40% - Akzent2 6 18 2" xfId="6089" xr:uid="{F915D675-D6C7-4471-9E31-6CFFB3EBB794}"/>
    <cellStyle name="40% - Akzent2 6 18 2 2" xfId="25526" xr:uid="{C0595F9A-91FA-469B-9714-BC743BE12F25}"/>
    <cellStyle name="40% - Akzent2 6 18 3" xfId="25525" xr:uid="{ECECAE63-BFA0-47A6-B999-97D74AF6E736}"/>
    <cellStyle name="40% - Akzent2 6 19" xfId="6090" xr:uid="{9896B9F5-A7BB-4F0A-95A3-4A1C3C865753}"/>
    <cellStyle name="40% - Akzent2 6 19 2" xfId="6091" xr:uid="{A35A36BD-D035-4CE5-B9C8-85B9F81E8433}"/>
    <cellStyle name="40% - Akzent2 6 19 2 2" xfId="25528" xr:uid="{744685B2-B3E0-48EE-8F37-0801D470C212}"/>
    <cellStyle name="40% - Akzent2 6 19 3" xfId="25527" xr:uid="{47474151-D6F4-43D9-A17F-CB586AB068BE}"/>
    <cellStyle name="40% - Akzent2 6 2" xfId="6092" xr:uid="{B2741517-BDD8-4F1B-9C61-46EC94ADE067}"/>
    <cellStyle name="40% - Akzent2 6 2 2" xfId="25529" xr:uid="{81C4B092-9457-4DA9-8724-070E42E80FE5}"/>
    <cellStyle name="40% - Akzent2 6 20" xfId="6093" xr:uid="{61AA8109-66E0-4C7B-9D11-0CBFE262DABA}"/>
    <cellStyle name="40% - Akzent2 6 20 2" xfId="6094" xr:uid="{B205A904-2B35-47E2-A838-DCC41E59B16D}"/>
    <cellStyle name="40% - Akzent2 6 20 2 2" xfId="25531" xr:uid="{CD4724AB-4AD2-4137-A3D6-FF88456F3736}"/>
    <cellStyle name="40% - Akzent2 6 20 3" xfId="25530" xr:uid="{22613998-C130-4933-8795-F181EE9760B8}"/>
    <cellStyle name="40% - Akzent2 6 21" xfId="6095" xr:uid="{AAAC8F25-3291-4B2C-B680-DA1EA3974C6B}"/>
    <cellStyle name="40% - Akzent2 6 21 2" xfId="6096" xr:uid="{40E7317C-0418-4F1B-AA03-261299F21297}"/>
    <cellStyle name="40% - Akzent2 6 21 2 2" xfId="25533" xr:uid="{456FA0CA-0E3F-46A6-82DF-5653A3753EE9}"/>
    <cellStyle name="40% - Akzent2 6 21 3" xfId="25532" xr:uid="{C3334BFB-98FD-4BFD-B90F-CBB0552EBCB3}"/>
    <cellStyle name="40% - Akzent2 6 22" xfId="6097" xr:uid="{B63799F0-09AD-42E8-AD81-FF60799193F7}"/>
    <cellStyle name="40% - Akzent2 6 22 2" xfId="25534" xr:uid="{D8AEC04F-BF34-4E39-AC65-0CECD462F610}"/>
    <cellStyle name="40% - Akzent2 6 23" xfId="6098" xr:uid="{41077295-C9E0-4E72-8B6E-734403D28837}"/>
    <cellStyle name="40% - Akzent2 6 23 2" xfId="25535" xr:uid="{F107891E-330C-4C92-A56C-A2F992265075}"/>
    <cellStyle name="40% - Akzent2 6 24" xfId="25508" xr:uid="{E6BD193B-5718-40EC-903B-A39228E1C1F2}"/>
    <cellStyle name="40% - Akzent2 6 3" xfId="6099" xr:uid="{89720FDD-4D3D-4F22-99DA-282FD75A9664}"/>
    <cellStyle name="40% - Akzent2 6 3 2" xfId="6100" xr:uid="{43FA27C9-7DCF-434F-B956-2E82DB1221A1}"/>
    <cellStyle name="40% - Akzent2 6 3 2 2" xfId="25537" xr:uid="{A2010955-0FED-4B09-A15C-DE1076FE7B10}"/>
    <cellStyle name="40% - Akzent2 6 3 3" xfId="25536" xr:uid="{AB01EFE6-1195-494D-9863-14D8A2A59626}"/>
    <cellStyle name="40% - Akzent2 6 4" xfId="6101" xr:uid="{2A0EB747-1582-4FD8-B8EB-ACE536F70FAC}"/>
    <cellStyle name="40% - Akzent2 6 4 2" xfId="6102" xr:uid="{EFCF5763-1AFE-4326-AC23-A9F02AAF6470}"/>
    <cellStyle name="40% - Akzent2 6 4 2 2" xfId="25539" xr:uid="{A4B3153A-F232-4507-9C1A-227EBC419C4D}"/>
    <cellStyle name="40% - Akzent2 6 4 3" xfId="25538" xr:uid="{517C647B-9FF1-4F0D-B9C2-2D3552DEEA73}"/>
    <cellStyle name="40% - Akzent2 6 5" xfId="6103" xr:uid="{BB646BF3-3F62-483D-9FC9-B4ABDB1E2F7A}"/>
    <cellStyle name="40% - Akzent2 6 5 2" xfId="6104" xr:uid="{590BCC80-C975-4AD2-9D9A-478452B1734A}"/>
    <cellStyle name="40% - Akzent2 6 5 2 2" xfId="25541" xr:uid="{0E090140-9535-4409-BBC8-9F579E2D63C5}"/>
    <cellStyle name="40% - Akzent2 6 5 3" xfId="25540" xr:uid="{CA46BDA1-FD38-47E4-ACC7-F6678B55BAD2}"/>
    <cellStyle name="40% - Akzent2 6 6" xfId="6105" xr:uid="{10BF7D0C-2A67-46AF-B417-187019A381DA}"/>
    <cellStyle name="40% - Akzent2 6 6 2" xfId="6106" xr:uid="{F64C6F87-6CB5-44C4-82DA-0FF73C6959D9}"/>
    <cellStyle name="40% - Akzent2 6 6 2 2" xfId="25543" xr:uid="{5685EC70-13B6-40DA-8FCD-7E0D507429B8}"/>
    <cellStyle name="40% - Akzent2 6 6 3" xfId="25542" xr:uid="{7EC1F631-ED7A-47EC-90F7-8D3EE8CE2DA4}"/>
    <cellStyle name="40% - Akzent2 6 7" xfId="6107" xr:uid="{AEAB22B6-CF73-428E-BE98-0513EF1A7C3A}"/>
    <cellStyle name="40% - Akzent2 6 7 2" xfId="6108" xr:uid="{D354599F-C5C9-402F-BA44-4D47D5B651B6}"/>
    <cellStyle name="40% - Akzent2 6 7 2 2" xfId="25545" xr:uid="{9E3859F9-7A9D-49EC-84AC-36D1FC7FF6F0}"/>
    <cellStyle name="40% - Akzent2 6 7 3" xfId="25544" xr:uid="{FFB110A0-DC1F-4E3A-9357-23D0F8D1D7BB}"/>
    <cellStyle name="40% - Akzent2 6 8" xfId="6109" xr:uid="{A25BB39A-1EB2-4DD0-863D-0348F6335BB1}"/>
    <cellStyle name="40% - Akzent2 6 8 2" xfId="6110" xr:uid="{9DA8A0AE-37D9-44DD-96F9-097A87CBE84E}"/>
    <cellStyle name="40% - Akzent2 6 8 2 2" xfId="25547" xr:uid="{8CC540D0-2CA4-402C-8B4A-8E064D9F9548}"/>
    <cellStyle name="40% - Akzent2 6 8 3" xfId="25546" xr:uid="{223BD013-B353-4209-9B69-97D860ACB0E4}"/>
    <cellStyle name="40% - Akzent2 6 9" xfId="6111" xr:uid="{E430186B-A439-4122-B55C-F36A4BFA7711}"/>
    <cellStyle name="40% - Akzent2 6 9 2" xfId="6112" xr:uid="{81878A8B-AECB-486C-AE67-5152BCC3E9E9}"/>
    <cellStyle name="40% - Akzent2 6 9 2 2" xfId="25549" xr:uid="{08C011F4-7623-41A7-89A7-954C9C3886E3}"/>
    <cellStyle name="40% - Akzent2 6 9 3" xfId="25548" xr:uid="{2185F346-AC8A-40CA-9A1A-13B620F74E95}"/>
    <cellStyle name="40% - Akzent2 60" xfId="6113" xr:uid="{ABC9E4CA-A02C-47DB-B9D0-3EC8DCB6B50F}"/>
    <cellStyle name="40% - Akzent2 60 2" xfId="6114" xr:uid="{72FB477C-C4E6-4AF4-86F1-F92D371FEFFA}"/>
    <cellStyle name="40% - Akzent2 60 2 2" xfId="25551" xr:uid="{7820B39A-ABBD-4573-9556-9A2050A09C72}"/>
    <cellStyle name="40% - Akzent2 60 3" xfId="25550" xr:uid="{45DC3761-1020-4FA1-8E9D-64431A87AE56}"/>
    <cellStyle name="40% - Akzent2 61" xfId="6115" xr:uid="{5F92BE74-88E7-4B31-8DA3-4D85F2FEB0C1}"/>
    <cellStyle name="40% - Akzent2 61 2" xfId="6116" xr:uid="{AE2C8246-0701-4359-8B80-7D899A0BE48B}"/>
    <cellStyle name="40% - Akzent2 61 2 2" xfId="25553" xr:uid="{563A3316-4873-4470-88F3-89DCA9CD0257}"/>
    <cellStyle name="40% - Akzent2 61 3" xfId="25552" xr:uid="{5B222D0B-BF16-4879-8D98-50C86C9E6929}"/>
    <cellStyle name="40% - Akzent2 62" xfId="6117" xr:uid="{95B95B0C-EB51-4674-BBC9-56FF6C935DC3}"/>
    <cellStyle name="40% - Akzent2 62 2" xfId="6118" xr:uid="{A510A25F-F21D-46DA-978C-E495E52E4701}"/>
    <cellStyle name="40% - Akzent2 62 2 2" xfId="25555" xr:uid="{D4A4160D-A477-4B0C-BF5E-43CA4A47C8E4}"/>
    <cellStyle name="40% - Akzent2 62 3" xfId="25554" xr:uid="{312EA7CE-09E7-4A03-BB3D-6CC5AB80D10A}"/>
    <cellStyle name="40% - Akzent2 63" xfId="6119" xr:uid="{2A664C6C-484D-4050-8814-7DAE7456A56B}"/>
    <cellStyle name="40% - Akzent2 63 2" xfId="6120" xr:uid="{74DC6FB1-0B6A-4A90-965C-8DE495C2FB2B}"/>
    <cellStyle name="40% - Akzent2 63 2 2" xfId="25557" xr:uid="{E64F1EB5-FC20-4663-8579-6991CAAF8B5E}"/>
    <cellStyle name="40% - Akzent2 63 3" xfId="25556" xr:uid="{7182601D-AEE1-4A8A-A69D-FFE3D6C6D368}"/>
    <cellStyle name="40% - Akzent2 64" xfId="6121" xr:uid="{326F3D3B-15F2-4B24-806D-FFAE745FC088}"/>
    <cellStyle name="40% - Akzent2 64 2" xfId="6122" xr:uid="{E6262F60-5B29-413B-AC10-4A480F69F00D}"/>
    <cellStyle name="40% - Akzent2 64 2 2" xfId="25559" xr:uid="{36A40BAD-5324-49D7-85F4-CF21F3BD694C}"/>
    <cellStyle name="40% - Akzent2 64 3" xfId="25558" xr:uid="{90DCA321-A385-406B-8E4E-FA9CA8A8D30B}"/>
    <cellStyle name="40% - Akzent2 65" xfId="6123" xr:uid="{7A53124D-43A8-4729-BBDF-6573A03E41B9}"/>
    <cellStyle name="40% - Akzent2 65 2" xfId="6124" xr:uid="{DCFDAC48-474F-424B-A169-A1D93F2486BB}"/>
    <cellStyle name="40% - Akzent2 65 2 2" xfId="25561" xr:uid="{9A413E73-63C9-4008-87C3-88944CF0C49A}"/>
    <cellStyle name="40% - Akzent2 65 3" xfId="25560" xr:uid="{F127A067-6079-4BDD-9DF4-A01DE16A18D6}"/>
    <cellStyle name="40% - Akzent2 66" xfId="6125" xr:uid="{ADEC0532-FF63-4C36-8EEF-0F8201842FA9}"/>
    <cellStyle name="40% - Akzent2 66 2" xfId="6126" xr:uid="{01CBC802-6FB3-482B-8502-AC3B10A516C9}"/>
    <cellStyle name="40% - Akzent2 66 2 2" xfId="25563" xr:uid="{FFB88810-539C-4816-8866-DF8D641DFC9D}"/>
    <cellStyle name="40% - Akzent2 66 3" xfId="25562" xr:uid="{6684F48C-BD81-42B5-9769-FA50AF743A98}"/>
    <cellStyle name="40% - Akzent2 67" xfId="6127" xr:uid="{8DE12E7D-859C-427D-8768-5F43100B21B4}"/>
    <cellStyle name="40% - Akzent2 67 2" xfId="6128" xr:uid="{8BAB281F-3FDC-4CEF-9D1F-54A2B8BE2F4E}"/>
    <cellStyle name="40% - Akzent2 67 2 2" xfId="25565" xr:uid="{C47A7810-85A1-4AC5-B0BE-1185B86B277F}"/>
    <cellStyle name="40% - Akzent2 67 3" xfId="25564" xr:uid="{2CFCFEAC-ECAE-4B3A-936E-744C24F93E80}"/>
    <cellStyle name="40% - Akzent2 68" xfId="6129" xr:uid="{65BCB6A6-88C5-4127-9721-98E6875AC051}"/>
    <cellStyle name="40% - Akzent2 68 2" xfId="6130" xr:uid="{0DDDBB49-BE63-4A92-B97C-9D08A59275A7}"/>
    <cellStyle name="40% - Akzent2 68 2 2" xfId="25567" xr:uid="{63135651-1FBE-4922-9213-862D9D87E3FA}"/>
    <cellStyle name="40% - Akzent2 68 3" xfId="25566" xr:uid="{9DC56913-6E49-4A80-9C87-8FD8D5FBF944}"/>
    <cellStyle name="40% - Akzent2 69" xfId="6131" xr:uid="{C4489F66-9EEE-403B-840D-D8971C93D134}"/>
    <cellStyle name="40% - Akzent2 69 2" xfId="6132" xr:uid="{54E64476-4811-4411-AF05-BBAD6B21AD68}"/>
    <cellStyle name="40% - Akzent2 69 2 2" xfId="25569" xr:uid="{A2A3CCE7-039C-48AC-96B1-E4CCFC31D47B}"/>
    <cellStyle name="40% - Akzent2 69 3" xfId="25568" xr:uid="{3D4F2190-37B9-492F-8DE0-4A907392D55C}"/>
    <cellStyle name="40% - Akzent2 7" xfId="6133" xr:uid="{C3CC7E9A-EE8B-4E6A-88C4-F915B517F9C2}"/>
    <cellStyle name="40% - Akzent2 7 10" xfId="6134" xr:uid="{37577BB9-F545-475A-AD48-B078834CB83F}"/>
    <cellStyle name="40% - Akzent2 7 10 2" xfId="6135" xr:uid="{FB0E167E-FC5C-420F-B139-CFF96EE35844}"/>
    <cellStyle name="40% - Akzent2 7 10 2 2" xfId="25572" xr:uid="{F3EA4CED-D5E2-4804-ABEB-A964D6C8F8E7}"/>
    <cellStyle name="40% - Akzent2 7 10 3" xfId="25571" xr:uid="{6777E746-7FB5-4939-AE5F-3655B0C4BB66}"/>
    <cellStyle name="40% - Akzent2 7 11" xfId="6136" xr:uid="{D4F7E4F7-660A-4DB7-BE39-E0BB4754541F}"/>
    <cellStyle name="40% - Akzent2 7 11 2" xfId="6137" xr:uid="{B5B013BF-75DB-402E-8A82-ADB1D5A1FDA7}"/>
    <cellStyle name="40% - Akzent2 7 11 2 2" xfId="25574" xr:uid="{BAB62F0B-8457-44B2-AC13-FC578336D4FA}"/>
    <cellStyle name="40% - Akzent2 7 11 3" xfId="25573" xr:uid="{4A8836CB-8A2F-4EA7-92DA-AC5C05C8F7A1}"/>
    <cellStyle name="40% - Akzent2 7 12" xfId="6138" xr:uid="{2337479F-B0A4-4095-AC67-8D5E81D4DE11}"/>
    <cellStyle name="40% - Akzent2 7 12 2" xfId="6139" xr:uid="{536C6F52-BE99-4B8D-9694-F1014FD03E55}"/>
    <cellStyle name="40% - Akzent2 7 12 2 2" xfId="25576" xr:uid="{507DFC3F-9313-466D-998D-B44F5EE0C398}"/>
    <cellStyle name="40% - Akzent2 7 12 3" xfId="25575" xr:uid="{3FBCFC1B-110A-47B2-896E-EE69345484D8}"/>
    <cellStyle name="40% - Akzent2 7 13" xfId="6140" xr:uid="{D6B3FB01-0CFF-4C68-A834-AA555D2E2E0F}"/>
    <cellStyle name="40% - Akzent2 7 13 2" xfId="6141" xr:uid="{83936357-B18A-4B21-9D39-91CB5FBDCCF3}"/>
    <cellStyle name="40% - Akzent2 7 13 2 2" xfId="25578" xr:uid="{EB770927-3FFE-469D-97D0-85F315D1CDB0}"/>
    <cellStyle name="40% - Akzent2 7 13 3" xfId="25577" xr:uid="{7B1309ED-7975-4A47-BDD7-0E1D42A4646C}"/>
    <cellStyle name="40% - Akzent2 7 14" xfId="6142" xr:uid="{BAD4ADA6-27B9-48A3-919C-8366B3092F1C}"/>
    <cellStyle name="40% - Akzent2 7 14 2" xfId="6143" xr:uid="{BB201A4C-51F8-493F-9164-18C182F1A2BD}"/>
    <cellStyle name="40% - Akzent2 7 14 2 2" xfId="25580" xr:uid="{9F9894EF-5D43-4AA4-8CD5-DAF24260E289}"/>
    <cellStyle name="40% - Akzent2 7 14 3" xfId="25579" xr:uid="{33306981-137F-43CA-A03C-FF0DB01D89CF}"/>
    <cellStyle name="40% - Akzent2 7 15" xfId="6144" xr:uid="{7ED4D2A4-B477-4F61-BB47-2531FE244ECB}"/>
    <cellStyle name="40% - Akzent2 7 15 2" xfId="6145" xr:uid="{73D0B584-A569-4249-98A7-66228713CAF9}"/>
    <cellStyle name="40% - Akzent2 7 15 2 2" xfId="25582" xr:uid="{412A3141-D1B6-4431-AB02-F704225D25EA}"/>
    <cellStyle name="40% - Akzent2 7 15 3" xfId="25581" xr:uid="{B803DEAF-0365-4404-A76B-2C8C1DCD9F59}"/>
    <cellStyle name="40% - Akzent2 7 16" xfId="6146" xr:uid="{49AFBAC8-5409-40C2-89CA-E7D7DFC9C7F6}"/>
    <cellStyle name="40% - Akzent2 7 16 2" xfId="6147" xr:uid="{73E3D98F-F392-423F-BEC7-D69F1C003F86}"/>
    <cellStyle name="40% - Akzent2 7 16 2 2" xfId="25584" xr:uid="{A3473E30-92BE-43BC-8D91-F9E02C46AB08}"/>
    <cellStyle name="40% - Akzent2 7 16 3" xfId="25583" xr:uid="{969BF1B5-F24D-46C9-B4AF-4D84A120AC1B}"/>
    <cellStyle name="40% - Akzent2 7 17" xfId="6148" xr:uid="{634241D1-9619-489F-97B7-D451B618F003}"/>
    <cellStyle name="40% - Akzent2 7 17 2" xfId="6149" xr:uid="{0C072987-ADC2-4760-84F1-3F37844C23E6}"/>
    <cellStyle name="40% - Akzent2 7 17 2 2" xfId="25586" xr:uid="{C5E53CFB-6E33-4EF2-BEEA-89664F1C02AB}"/>
    <cellStyle name="40% - Akzent2 7 17 3" xfId="25585" xr:uid="{05CA4AB9-8101-4951-95E8-8D007AC0E16B}"/>
    <cellStyle name="40% - Akzent2 7 18" xfId="6150" xr:uid="{7D325A9D-E715-40FA-8022-819A2C180F3C}"/>
    <cellStyle name="40% - Akzent2 7 18 2" xfId="6151" xr:uid="{99410486-3DB9-471C-A1DD-6DB8E6265E06}"/>
    <cellStyle name="40% - Akzent2 7 18 2 2" xfId="25588" xr:uid="{A0DBBD4C-D65E-4AB3-A497-82CCC71BF7CC}"/>
    <cellStyle name="40% - Akzent2 7 18 3" xfId="25587" xr:uid="{4047CDA0-4DEE-43C2-AB85-FCD4FDFFA213}"/>
    <cellStyle name="40% - Akzent2 7 19" xfId="6152" xr:uid="{8F2FC2AC-1134-4B24-8967-F7D8D7FDD3C4}"/>
    <cellStyle name="40% - Akzent2 7 19 2" xfId="6153" xr:uid="{71C6A2F4-AC51-435C-B6C0-55BBE2B7934F}"/>
    <cellStyle name="40% - Akzent2 7 19 2 2" xfId="25590" xr:uid="{6E1A2D5B-79B9-44E3-A36A-4BFA499C479B}"/>
    <cellStyle name="40% - Akzent2 7 19 3" xfId="25589" xr:uid="{47BD8758-8558-47BE-8B50-9D4992A19D76}"/>
    <cellStyle name="40% - Akzent2 7 2" xfId="6154" xr:uid="{73A01A87-A57A-4E64-9BDD-563C4506752E}"/>
    <cellStyle name="40% - Akzent2 7 2 2" xfId="6155" xr:uid="{64DA489C-9EE5-4ECE-B36F-EA68E626BF18}"/>
    <cellStyle name="40% - Akzent2 7 2 2 2" xfId="25592" xr:uid="{06D88493-43DA-43F5-8964-8C6806ECEA50}"/>
    <cellStyle name="40% - Akzent2 7 2 3" xfId="25591" xr:uid="{50C9439D-A123-4BA6-A09F-F4407741C74D}"/>
    <cellStyle name="40% - Akzent2 7 20" xfId="6156" xr:uid="{B3972801-BAC7-4E4D-9F1B-DE9BA2699958}"/>
    <cellStyle name="40% - Akzent2 7 20 2" xfId="6157" xr:uid="{30A8644F-13AD-4AC6-B333-9DB6E5C223A5}"/>
    <cellStyle name="40% - Akzent2 7 20 2 2" xfId="25594" xr:uid="{441EFA9A-07F2-478A-83C3-276EAC33076B}"/>
    <cellStyle name="40% - Akzent2 7 20 3" xfId="25593" xr:uid="{13FCC5E4-9D3F-47CA-BCEE-92E098D96E39}"/>
    <cellStyle name="40% - Akzent2 7 21" xfId="6158" xr:uid="{ED3721C6-B4D9-4FB6-AB9F-F0AE1F958D68}"/>
    <cellStyle name="40% - Akzent2 7 21 2" xfId="6159" xr:uid="{A207A6F3-4BD5-4F59-9119-48CE71CFF90A}"/>
    <cellStyle name="40% - Akzent2 7 21 2 2" xfId="25596" xr:uid="{40CDF3AC-CF08-459A-9D43-4BD6A6DF5564}"/>
    <cellStyle name="40% - Akzent2 7 21 3" xfId="25595" xr:uid="{DF4A7E3D-D3FD-4EF0-BD20-AAC3AC97CE3F}"/>
    <cellStyle name="40% - Akzent2 7 22" xfId="6160" xr:uid="{86BB472F-A441-4E35-8E30-D528638D5B56}"/>
    <cellStyle name="40% - Akzent2 7 22 2" xfId="25597" xr:uid="{FBD0F125-73BB-477B-9A91-8DE265B4A343}"/>
    <cellStyle name="40% - Akzent2 7 23" xfId="25570" xr:uid="{F0F53039-1144-45F5-B7A3-0968F299EC6E}"/>
    <cellStyle name="40% - Akzent2 7 3" xfId="6161" xr:uid="{9F89F499-9431-4365-8215-3286388A6507}"/>
    <cellStyle name="40% - Akzent2 7 3 2" xfId="6162" xr:uid="{0FCA0EE6-044B-4838-8DFB-7B597B3431E0}"/>
    <cellStyle name="40% - Akzent2 7 3 2 2" xfId="25599" xr:uid="{7E9B201A-A350-4FAE-B84B-114A71882F1E}"/>
    <cellStyle name="40% - Akzent2 7 3 3" xfId="25598" xr:uid="{155EAEF2-0EDC-48C5-80FA-43CF4A3DA51E}"/>
    <cellStyle name="40% - Akzent2 7 4" xfId="6163" xr:uid="{E0F6FF24-945B-44A3-8845-F07122373B7A}"/>
    <cellStyle name="40% - Akzent2 7 4 2" xfId="6164" xr:uid="{CCD3B8A9-218E-4488-9833-A60614967FEF}"/>
    <cellStyle name="40% - Akzent2 7 4 2 2" xfId="25601" xr:uid="{449CE043-E83D-4995-A2D6-5B9C69A199FE}"/>
    <cellStyle name="40% - Akzent2 7 4 3" xfId="25600" xr:uid="{4CE9773F-0A2F-4962-9007-70615824FA30}"/>
    <cellStyle name="40% - Akzent2 7 5" xfId="6165" xr:uid="{DF954240-7BF6-43AA-8C41-C83BCCBE3E26}"/>
    <cellStyle name="40% - Akzent2 7 5 2" xfId="6166" xr:uid="{C8CC2634-65B4-4A76-A9BA-6066786A656D}"/>
    <cellStyle name="40% - Akzent2 7 5 2 2" xfId="25603" xr:uid="{123228CA-0AB0-4B09-AD86-B23094E5213A}"/>
    <cellStyle name="40% - Akzent2 7 5 3" xfId="25602" xr:uid="{A528F5BD-E8C8-4A70-81B1-C06F259A07C9}"/>
    <cellStyle name="40% - Akzent2 7 6" xfId="6167" xr:uid="{5E905182-9A33-4B85-AC63-53AA63ACFA54}"/>
    <cellStyle name="40% - Akzent2 7 6 2" xfId="6168" xr:uid="{66FAB3A2-0481-4512-A634-0E4C4BFA2445}"/>
    <cellStyle name="40% - Akzent2 7 6 2 2" xfId="25605" xr:uid="{4352DABC-8B15-44BD-B309-2F1F56165700}"/>
    <cellStyle name="40% - Akzent2 7 6 3" xfId="25604" xr:uid="{2AB776A7-B13A-48D3-9CD8-80E7985CBE1E}"/>
    <cellStyle name="40% - Akzent2 7 7" xfId="6169" xr:uid="{A3B07343-B002-4A0F-883F-41B7F879E952}"/>
    <cellStyle name="40% - Akzent2 7 7 2" xfId="6170" xr:uid="{87DA4445-0EDE-4DCD-9C4C-21F811BA281F}"/>
    <cellStyle name="40% - Akzent2 7 7 2 2" xfId="25607" xr:uid="{7CC3D7A0-E29F-4846-8FE7-3D687C56D30A}"/>
    <cellStyle name="40% - Akzent2 7 7 3" xfId="25606" xr:uid="{B7286929-B14D-495D-BF3A-A7182C2EAF44}"/>
    <cellStyle name="40% - Akzent2 7 8" xfId="6171" xr:uid="{AC1A43F7-5970-459E-B719-1E63D3375AE8}"/>
    <cellStyle name="40% - Akzent2 7 8 2" xfId="6172" xr:uid="{86BC1C6F-F0E1-4392-99DD-2F52753AD142}"/>
    <cellStyle name="40% - Akzent2 7 8 2 2" xfId="25609" xr:uid="{C3654A9D-EFFA-4268-8E0B-619A52643F1A}"/>
    <cellStyle name="40% - Akzent2 7 8 3" xfId="25608" xr:uid="{40831A10-14D0-439A-9814-4F454444B355}"/>
    <cellStyle name="40% - Akzent2 7 9" xfId="6173" xr:uid="{AADC16BC-39E8-4DB2-A6B7-5A34A6370382}"/>
    <cellStyle name="40% - Akzent2 7 9 2" xfId="6174" xr:uid="{258946F0-695A-4495-AE99-ECBD5542750D}"/>
    <cellStyle name="40% - Akzent2 7 9 2 2" xfId="25611" xr:uid="{5D578713-673B-437C-86E1-F6442498C41A}"/>
    <cellStyle name="40% - Akzent2 7 9 3" xfId="25610" xr:uid="{EFD1152C-678D-47B1-A6CA-DF6029D1EF1B}"/>
    <cellStyle name="40% - Akzent2 70" xfId="6175" xr:uid="{649979CB-EB11-4A82-B51D-69F53179D119}"/>
    <cellStyle name="40% - Akzent2 70 2" xfId="25612" xr:uid="{F314976E-FD5A-41F6-8850-990ECB070C9C}"/>
    <cellStyle name="40% - Akzent2 71" xfId="24937" xr:uid="{1A451062-067A-4C6F-8225-AE8A74A8C653}"/>
    <cellStyle name="40% - Akzent2 72" xfId="5500" xr:uid="{C391B7B8-35B8-4639-BF87-91A7C9F73882}"/>
    <cellStyle name="40% - Akzent2 8" xfId="6176" xr:uid="{C11FDE40-40BB-4DB0-B184-903023138020}"/>
    <cellStyle name="40% - Akzent2 8 10" xfId="6177" xr:uid="{52CBB048-8B3F-4C47-B074-050D434313C5}"/>
    <cellStyle name="40% - Akzent2 8 10 2" xfId="6178" xr:uid="{F0D6A554-1A46-457B-866C-2AFBE1A27759}"/>
    <cellStyle name="40% - Akzent2 8 10 2 2" xfId="25615" xr:uid="{3E91AF47-9FF3-40A7-BBE2-10905518EAAD}"/>
    <cellStyle name="40% - Akzent2 8 10 3" xfId="25614" xr:uid="{49DFE068-D402-4AFA-A6CB-6F956E5E1314}"/>
    <cellStyle name="40% - Akzent2 8 11" xfId="6179" xr:uid="{627068D2-57F2-4F8E-BE75-039B12F58AB1}"/>
    <cellStyle name="40% - Akzent2 8 11 2" xfId="6180" xr:uid="{7EA81578-FB21-406A-9991-A83BEA6CBCDA}"/>
    <cellStyle name="40% - Akzent2 8 11 2 2" xfId="25617" xr:uid="{3E594859-FD3A-4D5F-81F2-DE51796F099B}"/>
    <cellStyle name="40% - Akzent2 8 11 3" xfId="25616" xr:uid="{7B3E804D-8C6D-4ACD-B78F-B6DEC699FA60}"/>
    <cellStyle name="40% - Akzent2 8 12" xfId="6181" xr:uid="{9F3B4609-0E2E-455A-B652-6E9C93FB69B0}"/>
    <cellStyle name="40% - Akzent2 8 12 2" xfId="6182" xr:uid="{374E7786-DC03-476A-ADEC-62BE014FF0DF}"/>
    <cellStyle name="40% - Akzent2 8 12 2 2" xfId="25619" xr:uid="{7E67C2A2-9C92-4BBB-87EF-CD7886D07AA7}"/>
    <cellStyle name="40% - Akzent2 8 12 3" xfId="25618" xr:uid="{C69686E0-6C75-4DC2-A3D5-2763BA92B99E}"/>
    <cellStyle name="40% - Akzent2 8 13" xfId="6183" xr:uid="{88E9E8B2-737C-408C-83ED-C6FF2C4E1D31}"/>
    <cellStyle name="40% - Akzent2 8 13 2" xfId="6184" xr:uid="{9AEDF3F6-FA7B-456A-B882-B76F076A50E0}"/>
    <cellStyle name="40% - Akzent2 8 13 2 2" xfId="25621" xr:uid="{461AA79E-6C72-462F-9B88-45C647DCDDB7}"/>
    <cellStyle name="40% - Akzent2 8 13 3" xfId="25620" xr:uid="{6674287C-A7A5-46B7-B110-0E9282117D5B}"/>
    <cellStyle name="40% - Akzent2 8 14" xfId="6185" xr:uid="{3BFC8436-B7BD-4FEB-BE5F-CA67CBB0E7EA}"/>
    <cellStyle name="40% - Akzent2 8 14 2" xfId="6186" xr:uid="{8AADB9C1-4C82-4EBB-A8DF-1BFF3847AA8F}"/>
    <cellStyle name="40% - Akzent2 8 14 2 2" xfId="25623" xr:uid="{579126A1-A7C0-4069-BF63-851B9E57FF5C}"/>
    <cellStyle name="40% - Akzent2 8 14 3" xfId="25622" xr:uid="{C5172F0E-713F-426E-8482-6C91F0BE9340}"/>
    <cellStyle name="40% - Akzent2 8 15" xfId="6187" xr:uid="{85843499-DB21-485A-9053-36139D53596C}"/>
    <cellStyle name="40% - Akzent2 8 15 2" xfId="6188" xr:uid="{D84FB9CB-3141-4E94-9120-62EA703D5A92}"/>
    <cellStyle name="40% - Akzent2 8 15 2 2" xfId="25625" xr:uid="{924588F3-F70D-4CB0-AD91-7C8BF8271DF7}"/>
    <cellStyle name="40% - Akzent2 8 15 3" xfId="25624" xr:uid="{3E07E68F-D130-42F3-B6E7-FE21929E2374}"/>
    <cellStyle name="40% - Akzent2 8 16" xfId="6189" xr:uid="{8AC80CCE-780D-4FEB-9C59-CCADC143205C}"/>
    <cellStyle name="40% - Akzent2 8 16 2" xfId="6190" xr:uid="{E0738A17-067A-43A9-BE84-BE87862EF690}"/>
    <cellStyle name="40% - Akzent2 8 16 2 2" xfId="25627" xr:uid="{821147B6-4A41-4219-B09D-DD804CE7A403}"/>
    <cellStyle name="40% - Akzent2 8 16 3" xfId="25626" xr:uid="{CA02CEBF-9741-4A8D-91D3-B65F34EC7532}"/>
    <cellStyle name="40% - Akzent2 8 17" xfId="6191" xr:uid="{3A0CBEA6-2742-4110-B787-8821A8DA6691}"/>
    <cellStyle name="40% - Akzent2 8 17 2" xfId="6192" xr:uid="{6BD0593A-151C-4388-BCA8-37192689EF90}"/>
    <cellStyle name="40% - Akzent2 8 17 2 2" xfId="25629" xr:uid="{FDF8681C-870D-4F31-A8C9-AC4311352F98}"/>
    <cellStyle name="40% - Akzent2 8 17 3" xfId="25628" xr:uid="{05F584BF-C630-49B1-80DF-754FC09ACCEC}"/>
    <cellStyle name="40% - Akzent2 8 18" xfId="6193" xr:uid="{D5965D00-25F3-498C-A65E-0FDF99E4FE6C}"/>
    <cellStyle name="40% - Akzent2 8 18 2" xfId="6194" xr:uid="{8BC5F60C-6BCC-495F-A5AA-F01346061A05}"/>
    <cellStyle name="40% - Akzent2 8 18 2 2" xfId="25631" xr:uid="{19FD6801-ADDB-4517-AC4B-694DF165E377}"/>
    <cellStyle name="40% - Akzent2 8 18 3" xfId="25630" xr:uid="{939F56EB-3E70-4853-A765-EAD222A9DBA6}"/>
    <cellStyle name="40% - Akzent2 8 19" xfId="6195" xr:uid="{25A5A4EC-DFA6-47A4-8441-F8E81797117C}"/>
    <cellStyle name="40% - Akzent2 8 19 2" xfId="6196" xr:uid="{F0719103-FB3C-4A33-9B0F-7586D3DE7E96}"/>
    <cellStyle name="40% - Akzent2 8 19 2 2" xfId="25633" xr:uid="{F2D7BE24-D025-4D91-A0F1-AA92ED5A550C}"/>
    <cellStyle name="40% - Akzent2 8 19 3" xfId="25632" xr:uid="{0196B54D-BA5E-453E-9EB5-88CD6F5321FD}"/>
    <cellStyle name="40% - Akzent2 8 2" xfId="6197" xr:uid="{D0CB92AD-3CF7-4CAF-92B7-F650A30C0301}"/>
    <cellStyle name="40% - Akzent2 8 2 2" xfId="6198" xr:uid="{B18CEA4F-72C0-4919-BB37-E9292DB92128}"/>
    <cellStyle name="40% - Akzent2 8 2 2 2" xfId="25635" xr:uid="{B282F9DA-49B4-4BDD-868B-B73302F13C1A}"/>
    <cellStyle name="40% - Akzent2 8 2 3" xfId="25634" xr:uid="{56656D91-C0CC-4ADD-BB21-7173291EACFB}"/>
    <cellStyle name="40% - Akzent2 8 20" xfId="6199" xr:uid="{4650DC7D-0543-43DB-B8D0-39BE20C5A577}"/>
    <cellStyle name="40% - Akzent2 8 20 2" xfId="6200" xr:uid="{7A8E199D-B5A0-44EF-98F5-F3B5A77290FA}"/>
    <cellStyle name="40% - Akzent2 8 20 2 2" xfId="25637" xr:uid="{B6BFC380-21D8-49E0-A035-8EEAAEAA09DA}"/>
    <cellStyle name="40% - Akzent2 8 20 3" xfId="25636" xr:uid="{6EC4BF9C-2A30-4FA4-AB8D-7B178DE493D6}"/>
    <cellStyle name="40% - Akzent2 8 21" xfId="6201" xr:uid="{05E4E574-5FD1-497A-9FBA-6727BF161D4E}"/>
    <cellStyle name="40% - Akzent2 8 21 2" xfId="6202" xr:uid="{3003971B-7F7F-49A0-9391-8A9E9137BA01}"/>
    <cellStyle name="40% - Akzent2 8 21 2 2" xfId="25639" xr:uid="{8FF1216D-CE79-45FA-BB2D-E72A797DC742}"/>
    <cellStyle name="40% - Akzent2 8 21 3" xfId="25638" xr:uid="{95B40294-87FB-4D8A-A0C7-81918199DC8F}"/>
    <cellStyle name="40% - Akzent2 8 22" xfId="6203" xr:uid="{02B95BBD-6274-4BB7-819E-282723D70ABE}"/>
    <cellStyle name="40% - Akzent2 8 22 2" xfId="25640" xr:uid="{5551BC3E-22B6-4EA9-887B-8B626E4906DD}"/>
    <cellStyle name="40% - Akzent2 8 23" xfId="25613" xr:uid="{D7227E26-CB2D-4F03-8135-AEAB2FA2DACB}"/>
    <cellStyle name="40% - Akzent2 8 3" xfId="6204" xr:uid="{61FDF404-06E6-4A6A-AB4E-275A1D26DE1E}"/>
    <cellStyle name="40% - Akzent2 8 3 2" xfId="6205" xr:uid="{F608EB7B-37A7-4F10-B5C9-5060A02684FC}"/>
    <cellStyle name="40% - Akzent2 8 3 2 2" xfId="25642" xr:uid="{1A48EB47-F6D7-4D12-8B3A-3D3D38CAD2A4}"/>
    <cellStyle name="40% - Akzent2 8 3 3" xfId="25641" xr:uid="{506DB7B4-943A-4437-AEB1-646956C9FE63}"/>
    <cellStyle name="40% - Akzent2 8 4" xfId="6206" xr:uid="{060EEBCC-106A-471F-9D1D-649592E34DFA}"/>
    <cellStyle name="40% - Akzent2 8 4 2" xfId="6207" xr:uid="{BE2C2FE3-5447-4627-B576-D11EA8BDEFFB}"/>
    <cellStyle name="40% - Akzent2 8 4 2 2" xfId="25644" xr:uid="{08EA3579-8AC4-4EC4-95AA-41E643003DA3}"/>
    <cellStyle name="40% - Akzent2 8 4 3" xfId="25643" xr:uid="{A0B8085E-4198-47D4-965E-744083D1CAA5}"/>
    <cellStyle name="40% - Akzent2 8 5" xfId="6208" xr:uid="{0C2C2ADA-8165-4E05-B0A4-ED612293671B}"/>
    <cellStyle name="40% - Akzent2 8 5 2" xfId="6209" xr:uid="{316B1FE6-916C-4D90-B5AA-B1B6CC588BF1}"/>
    <cellStyle name="40% - Akzent2 8 5 2 2" xfId="25646" xr:uid="{72E6FE4C-7987-4901-87AC-723B3E3F0F86}"/>
    <cellStyle name="40% - Akzent2 8 5 3" xfId="25645" xr:uid="{DC42BDB2-6E3D-4C17-9E25-1D575070AD5F}"/>
    <cellStyle name="40% - Akzent2 8 6" xfId="6210" xr:uid="{C0B55CE6-BA24-4401-8DC7-684D120635F4}"/>
    <cellStyle name="40% - Akzent2 8 6 2" xfId="6211" xr:uid="{787B6A94-87D8-45DC-8EB0-D5E046B199C3}"/>
    <cellStyle name="40% - Akzent2 8 6 2 2" xfId="25648" xr:uid="{A499FB84-CDAA-45EB-BEDB-6C31EA6B435B}"/>
    <cellStyle name="40% - Akzent2 8 6 3" xfId="25647" xr:uid="{94B44A0C-E4F2-403D-97E3-16BDE13768F6}"/>
    <cellStyle name="40% - Akzent2 8 7" xfId="6212" xr:uid="{B6609FCD-6487-4DF6-8582-0B05D51F5B43}"/>
    <cellStyle name="40% - Akzent2 8 7 2" xfId="6213" xr:uid="{89D2F3BC-1EB8-4958-86B4-72CB2DB8A1B5}"/>
    <cellStyle name="40% - Akzent2 8 7 2 2" xfId="25650" xr:uid="{E1A13767-788E-4618-99C8-0D313BEB1887}"/>
    <cellStyle name="40% - Akzent2 8 7 3" xfId="25649" xr:uid="{4AAB97F8-AD1E-4604-963E-58F619F89489}"/>
    <cellStyle name="40% - Akzent2 8 8" xfId="6214" xr:uid="{E1834D81-102D-4BA7-8FCD-F7A011229A99}"/>
    <cellStyle name="40% - Akzent2 8 8 2" xfId="6215" xr:uid="{A3384976-1500-44C8-AB75-655F8044D039}"/>
    <cellStyle name="40% - Akzent2 8 8 2 2" xfId="25652" xr:uid="{74CE7ED4-457C-4F1A-84AB-B346D828FA0B}"/>
    <cellStyle name="40% - Akzent2 8 8 3" xfId="25651" xr:uid="{535AC37C-A12F-4CEA-BF0E-29BA95FEC05A}"/>
    <cellStyle name="40% - Akzent2 8 9" xfId="6216" xr:uid="{DF8FB115-4892-46BE-8A11-AF9C4C4ECF03}"/>
    <cellStyle name="40% - Akzent2 8 9 2" xfId="6217" xr:uid="{8256B592-C629-4E65-8804-536D8FB75D24}"/>
    <cellStyle name="40% - Akzent2 8 9 2 2" xfId="25654" xr:uid="{73C7644D-E352-4C6F-9C50-AD6385FDE48D}"/>
    <cellStyle name="40% - Akzent2 8 9 3" xfId="25653" xr:uid="{2C232A8A-30CD-4C04-8C2D-088EECC13460}"/>
    <cellStyle name="40% - Akzent2 9" xfId="6218" xr:uid="{26DBB483-20AA-4E4D-AC0B-C48E16BB89A7}"/>
    <cellStyle name="40% - Akzent2 9 10" xfId="6219" xr:uid="{36B0E99F-08C5-49C6-95FF-E6FD1838FAC1}"/>
    <cellStyle name="40% - Akzent2 9 10 2" xfId="6220" xr:uid="{5BF652F6-1D2D-4CAE-A5D6-4D481E66929B}"/>
    <cellStyle name="40% - Akzent2 9 10 2 2" xfId="25657" xr:uid="{BE634D67-D1CE-4D5D-8862-6EF61D0C7255}"/>
    <cellStyle name="40% - Akzent2 9 10 3" xfId="25656" xr:uid="{A83E183C-8A5F-46D7-A6A2-0F0A16657055}"/>
    <cellStyle name="40% - Akzent2 9 11" xfId="6221" xr:uid="{9EDC5A31-E01A-492F-AFAD-09E9009B9C4D}"/>
    <cellStyle name="40% - Akzent2 9 11 2" xfId="6222" xr:uid="{169D1127-094F-4741-8AFE-C26A052A65C3}"/>
    <cellStyle name="40% - Akzent2 9 11 2 2" xfId="25659" xr:uid="{960F7FB5-8CE4-46FB-AE95-AEB635D84658}"/>
    <cellStyle name="40% - Akzent2 9 11 3" xfId="25658" xr:uid="{EE032DB1-E5F6-4DB0-9107-07BDBDC6A7A5}"/>
    <cellStyle name="40% - Akzent2 9 12" xfId="6223" xr:uid="{C43D73BD-17E6-403A-B994-0A100637FC58}"/>
    <cellStyle name="40% - Akzent2 9 12 2" xfId="6224" xr:uid="{128C38C9-22E3-43DE-9CBF-5EAD539973E4}"/>
    <cellStyle name="40% - Akzent2 9 12 2 2" xfId="25661" xr:uid="{3D6EAB74-8942-4ECD-A2A9-4F65EAB3FD6A}"/>
    <cellStyle name="40% - Akzent2 9 12 3" xfId="25660" xr:uid="{68652907-038F-4252-985A-517683BAEC1A}"/>
    <cellStyle name="40% - Akzent2 9 13" xfId="6225" xr:uid="{8FA8B800-9A1C-4EB5-9983-E9723FF66ED1}"/>
    <cellStyle name="40% - Akzent2 9 13 2" xfId="6226" xr:uid="{E7423498-8BC3-4909-8AC7-E11ADA70DBE7}"/>
    <cellStyle name="40% - Akzent2 9 13 2 2" xfId="25663" xr:uid="{FF969CAC-FA7E-4D46-8820-B822940619BB}"/>
    <cellStyle name="40% - Akzent2 9 13 3" xfId="25662" xr:uid="{9B4A2303-0B3E-48EE-81F4-FBB6502019D5}"/>
    <cellStyle name="40% - Akzent2 9 14" xfId="6227" xr:uid="{94051067-7798-446B-8A27-1E5B3C1CFF79}"/>
    <cellStyle name="40% - Akzent2 9 14 2" xfId="6228" xr:uid="{43B915C9-9CA3-4DA7-9F37-540E84CC8F36}"/>
    <cellStyle name="40% - Akzent2 9 14 2 2" xfId="25665" xr:uid="{9075960A-17A8-466A-BF08-51BA36054B89}"/>
    <cellStyle name="40% - Akzent2 9 14 3" xfId="25664" xr:uid="{A2030717-4B1E-4E06-BE09-1B509223C88B}"/>
    <cellStyle name="40% - Akzent2 9 15" xfId="6229" xr:uid="{DAAA290B-D89D-461B-9FD6-D089DC29BCCF}"/>
    <cellStyle name="40% - Akzent2 9 15 2" xfId="6230" xr:uid="{A6689BF7-3DF1-40F5-AE6C-3C87C37AFBA8}"/>
    <cellStyle name="40% - Akzent2 9 15 2 2" xfId="25667" xr:uid="{29FAD27A-AF6B-4EE5-B705-6EC354502B4F}"/>
    <cellStyle name="40% - Akzent2 9 15 3" xfId="25666" xr:uid="{CEB4AF71-B74C-4BC0-AEBB-D6A5EBC06580}"/>
    <cellStyle name="40% - Akzent2 9 16" xfId="6231" xr:uid="{8493E37F-654E-44B4-9649-3A361C08117B}"/>
    <cellStyle name="40% - Akzent2 9 16 2" xfId="6232" xr:uid="{689E5B3A-9E03-45A5-B160-D563F91B6366}"/>
    <cellStyle name="40% - Akzent2 9 16 2 2" xfId="25669" xr:uid="{8AE18261-1622-44ED-B6D7-91F708883FE3}"/>
    <cellStyle name="40% - Akzent2 9 16 3" xfId="25668" xr:uid="{520FFE60-B463-45E2-86DA-85A0DE805D90}"/>
    <cellStyle name="40% - Akzent2 9 17" xfId="6233" xr:uid="{09A9CD41-D735-4652-9EE6-4D0CC38A4787}"/>
    <cellStyle name="40% - Akzent2 9 17 2" xfId="6234" xr:uid="{99F85817-D1EF-461A-B745-EB36F5260357}"/>
    <cellStyle name="40% - Akzent2 9 17 2 2" xfId="25671" xr:uid="{DF3E1603-7227-4DBC-AA48-C902C95EC53E}"/>
    <cellStyle name="40% - Akzent2 9 17 3" xfId="25670" xr:uid="{03043AC8-7100-4259-8C2F-32063C218F93}"/>
    <cellStyle name="40% - Akzent2 9 18" xfId="6235" xr:uid="{413F587A-9112-4FAE-96EE-782B5B99A1F2}"/>
    <cellStyle name="40% - Akzent2 9 18 2" xfId="6236" xr:uid="{07C273E9-5FC9-4670-97BB-607E607286E7}"/>
    <cellStyle name="40% - Akzent2 9 18 2 2" xfId="25673" xr:uid="{7C9A97A9-460C-4C6E-AB85-73F1C8CD8238}"/>
    <cellStyle name="40% - Akzent2 9 18 3" xfId="25672" xr:uid="{6DAC5C95-926E-4717-B996-EBE980AE36D9}"/>
    <cellStyle name="40% - Akzent2 9 19" xfId="6237" xr:uid="{DF5AFDC6-6B42-43C4-9E45-BCAF109338F1}"/>
    <cellStyle name="40% - Akzent2 9 19 2" xfId="6238" xr:uid="{E607D060-25D5-43EA-B5FD-F4B109CA1074}"/>
    <cellStyle name="40% - Akzent2 9 19 2 2" xfId="25675" xr:uid="{3F4345AC-9295-4073-92E3-197AB477CE40}"/>
    <cellStyle name="40% - Akzent2 9 19 3" xfId="25674" xr:uid="{A7EE905C-46D2-45FF-ADF1-05341FC5AF6C}"/>
    <cellStyle name="40% - Akzent2 9 2" xfId="6239" xr:uid="{4EB36134-1FE5-460C-A35E-CE2E72D08EAA}"/>
    <cellStyle name="40% - Akzent2 9 2 2" xfId="6240" xr:uid="{D5FF4F40-A6E3-4327-BE59-4ADD0A6495A8}"/>
    <cellStyle name="40% - Akzent2 9 2 2 2" xfId="25677" xr:uid="{43CA6C30-60AA-4AA0-82CD-9F4B612B328C}"/>
    <cellStyle name="40% - Akzent2 9 2 3" xfId="25676" xr:uid="{24BB88BB-DDB2-4EEB-B4C2-52C02528069F}"/>
    <cellStyle name="40% - Akzent2 9 20" xfId="6241" xr:uid="{1C40488B-EBD6-4919-A13A-2B687B4116EA}"/>
    <cellStyle name="40% - Akzent2 9 20 2" xfId="6242" xr:uid="{5F815502-2009-46D4-95A8-45F7A8EBBB5B}"/>
    <cellStyle name="40% - Akzent2 9 20 2 2" xfId="25679" xr:uid="{1821D261-8F3D-4000-B744-EC336DC3E91A}"/>
    <cellStyle name="40% - Akzent2 9 20 3" xfId="25678" xr:uid="{BDA89A5E-CC06-4772-A963-256628298945}"/>
    <cellStyle name="40% - Akzent2 9 21" xfId="6243" xr:uid="{17434C2E-0810-4D44-8FA7-D478DD825E7E}"/>
    <cellStyle name="40% - Akzent2 9 21 2" xfId="6244" xr:uid="{6C98CDFF-74E7-4783-A04E-5EBBA29E4FB4}"/>
    <cellStyle name="40% - Akzent2 9 21 2 2" xfId="25681" xr:uid="{7726D247-5AC4-45C1-B2DA-92D06F8ACA73}"/>
    <cellStyle name="40% - Akzent2 9 21 3" xfId="25680" xr:uid="{35B3FE6F-050B-4F44-9415-D6D6F5FD2149}"/>
    <cellStyle name="40% - Akzent2 9 22" xfId="6245" xr:uid="{17AD257B-12CB-4665-880F-57F390EC5821}"/>
    <cellStyle name="40% - Akzent2 9 22 2" xfId="25682" xr:uid="{0FEB94ED-5595-4DA1-9583-63EFFEF2CF5A}"/>
    <cellStyle name="40% - Akzent2 9 23" xfId="25655" xr:uid="{A5C4E123-1072-4945-8644-EC93672E2028}"/>
    <cellStyle name="40% - Akzent2 9 3" xfId="6246" xr:uid="{5DC9389D-A352-47CF-9F9E-8A63E595A1FD}"/>
    <cellStyle name="40% - Akzent2 9 3 2" xfId="6247" xr:uid="{A7889D5B-6C81-4621-9D4B-5D13391C93DF}"/>
    <cellStyle name="40% - Akzent2 9 3 2 2" xfId="25684" xr:uid="{EF17071D-38E8-4E53-9269-DD16AF6837BD}"/>
    <cellStyle name="40% - Akzent2 9 3 3" xfId="25683" xr:uid="{41E2ED8B-58F4-4BFD-800E-23C71D20D0CE}"/>
    <cellStyle name="40% - Akzent2 9 4" xfId="6248" xr:uid="{DB39B9E7-1844-42D0-83A8-78CEB751C538}"/>
    <cellStyle name="40% - Akzent2 9 4 2" xfId="6249" xr:uid="{0339773D-6390-4DD7-A14E-71E28A45BCF4}"/>
    <cellStyle name="40% - Akzent2 9 4 2 2" xfId="25686" xr:uid="{DFC8694E-F9BA-49DC-9933-5ADDBC9DD746}"/>
    <cellStyle name="40% - Akzent2 9 4 3" xfId="25685" xr:uid="{9DC638CA-8DED-476F-A13D-3CEAA74C3450}"/>
    <cellStyle name="40% - Akzent2 9 5" xfId="6250" xr:uid="{728BCFAB-6497-4596-AAFF-11DA2B6E14F1}"/>
    <cellStyle name="40% - Akzent2 9 5 2" xfId="6251" xr:uid="{DE80D503-53F6-4E6C-99EE-D5619E1A2687}"/>
    <cellStyle name="40% - Akzent2 9 5 2 2" xfId="25688" xr:uid="{D0A1C927-0D46-421A-BE61-965AF6378DD8}"/>
    <cellStyle name="40% - Akzent2 9 5 3" xfId="25687" xr:uid="{AA53F788-ED74-4A0C-B5F5-4431AD42138D}"/>
    <cellStyle name="40% - Akzent2 9 6" xfId="6252" xr:uid="{6C9AD81F-E376-443B-B21F-385B9640DBDE}"/>
    <cellStyle name="40% - Akzent2 9 6 2" xfId="6253" xr:uid="{E441CDEC-6D69-4B06-A6B5-E6C6AF2E9E44}"/>
    <cellStyle name="40% - Akzent2 9 6 2 2" xfId="25690" xr:uid="{310E471F-B7B2-470C-B794-916CC3E342A7}"/>
    <cellStyle name="40% - Akzent2 9 6 3" xfId="25689" xr:uid="{2885EB47-863F-4532-A131-064B7FAA6511}"/>
    <cellStyle name="40% - Akzent2 9 7" xfId="6254" xr:uid="{ACD2979D-4A32-4686-A256-63A177B67209}"/>
    <cellStyle name="40% - Akzent2 9 7 2" xfId="6255" xr:uid="{F9E144C2-97CA-4286-A129-A6E827230873}"/>
    <cellStyle name="40% - Akzent2 9 7 2 2" xfId="25692" xr:uid="{EC341BA7-AEC2-4C50-91ED-72E2EA4D4BF5}"/>
    <cellStyle name="40% - Akzent2 9 7 3" xfId="25691" xr:uid="{74AE1143-40F9-447D-9518-CF2E4963093A}"/>
    <cellStyle name="40% - Akzent2 9 8" xfId="6256" xr:uid="{0D27293C-533E-45F6-ABD1-95D6ABDF79B0}"/>
    <cellStyle name="40% - Akzent2 9 8 2" xfId="6257" xr:uid="{E1C6206D-65E8-4A5E-BF2D-AB597D7EBE9E}"/>
    <cellStyle name="40% - Akzent2 9 8 2 2" xfId="25694" xr:uid="{6BCCA7CD-567C-44D1-A8FD-C4127A2D3E74}"/>
    <cellStyle name="40% - Akzent2 9 8 3" xfId="25693" xr:uid="{59FE6463-C060-4729-BCA3-23450AFD2646}"/>
    <cellStyle name="40% - Akzent2 9 9" xfId="6258" xr:uid="{37BEFC5B-09CF-498C-8791-07BB36D32BA3}"/>
    <cellStyle name="40% - Akzent2 9 9 2" xfId="6259" xr:uid="{C17CF46D-1100-460D-8F85-7CF0FBE60285}"/>
    <cellStyle name="40% - Akzent2 9 9 2 2" xfId="25696" xr:uid="{15C067F9-A3C0-471D-9A13-3224442DBD59}"/>
    <cellStyle name="40% - Akzent2 9 9 3" xfId="25695" xr:uid="{55D19761-6D44-4D3E-9684-1C50AAA8482F}"/>
    <cellStyle name="40% - Akzent3 10" xfId="6261" xr:uid="{D0FA919C-810A-4CC3-A28A-890571B7FF87}"/>
    <cellStyle name="40% - Akzent3 10 10" xfId="6262" xr:uid="{CBEDCAAB-C270-4103-83F5-ECF2F66E313D}"/>
    <cellStyle name="40% - Akzent3 10 10 2" xfId="6263" xr:uid="{10DC3D79-12E9-4BE9-85F9-D53E8CF73194}"/>
    <cellStyle name="40% - Akzent3 10 10 2 2" xfId="25700" xr:uid="{4DF7DCE8-91E1-40C1-81A1-F7230C4EC78C}"/>
    <cellStyle name="40% - Akzent3 10 10 3" xfId="25699" xr:uid="{EB6A7DA5-AF48-49F5-9F32-AF73D799BE67}"/>
    <cellStyle name="40% - Akzent3 10 11" xfId="6264" xr:uid="{1F65E834-30E2-4BCA-B775-0A83786FEDC7}"/>
    <cellStyle name="40% - Akzent3 10 11 2" xfId="6265" xr:uid="{265DEA0F-D32F-4713-B058-2309B0385E68}"/>
    <cellStyle name="40% - Akzent3 10 11 2 2" xfId="25702" xr:uid="{F31D6985-DD31-45ED-BAD3-31D608767E47}"/>
    <cellStyle name="40% - Akzent3 10 11 3" xfId="25701" xr:uid="{EC4C4A1E-4371-481A-814B-B0C5F61D87F8}"/>
    <cellStyle name="40% - Akzent3 10 12" xfId="6266" xr:uid="{352BFD2F-3545-4CEE-A7D6-4040FEAC8A3D}"/>
    <cellStyle name="40% - Akzent3 10 12 2" xfId="6267" xr:uid="{0D18F0BE-3A96-4D3A-9F35-5A3145DCA6F3}"/>
    <cellStyle name="40% - Akzent3 10 12 2 2" xfId="25704" xr:uid="{01C49755-73FD-4DF7-8F62-D918B12DDBEA}"/>
    <cellStyle name="40% - Akzent3 10 12 3" xfId="25703" xr:uid="{9310054E-C134-4344-B282-65C57D30842E}"/>
    <cellStyle name="40% - Akzent3 10 13" xfId="6268" xr:uid="{76142938-086F-4D2F-B81A-EE57EF635E65}"/>
    <cellStyle name="40% - Akzent3 10 13 2" xfId="6269" xr:uid="{D102ACA4-39E5-4D48-9F13-95FE0B49663F}"/>
    <cellStyle name="40% - Akzent3 10 13 2 2" xfId="25706" xr:uid="{59982327-0E98-4FE6-BC0F-DF7E6254DCFB}"/>
    <cellStyle name="40% - Akzent3 10 13 3" xfId="25705" xr:uid="{B35E5E1C-3CEF-4983-812C-717F48398F8B}"/>
    <cellStyle name="40% - Akzent3 10 14" xfId="6270" xr:uid="{0271DD65-1456-4158-A481-6E7A652E6DFE}"/>
    <cellStyle name="40% - Akzent3 10 14 2" xfId="6271" xr:uid="{53E6FB86-0AC4-4CD8-B166-B6931F2B0DF4}"/>
    <cellStyle name="40% - Akzent3 10 14 2 2" xfId="25708" xr:uid="{9904AF9C-A8D1-4D81-9C3D-CEF990746914}"/>
    <cellStyle name="40% - Akzent3 10 14 3" xfId="25707" xr:uid="{A2793C95-068B-4E79-91DE-E544710A21B8}"/>
    <cellStyle name="40% - Akzent3 10 15" xfId="6272" xr:uid="{6B6A3043-48D6-4BE4-82C6-7FE905F36BF3}"/>
    <cellStyle name="40% - Akzent3 10 15 2" xfId="6273" xr:uid="{D3AC16F5-2533-47CD-9FA1-5EC77982F405}"/>
    <cellStyle name="40% - Akzent3 10 15 2 2" xfId="25710" xr:uid="{1854275A-1CA2-4FD3-BD13-DE1865D3B902}"/>
    <cellStyle name="40% - Akzent3 10 15 3" xfId="25709" xr:uid="{4380D916-D7D2-49C5-ABC6-4629EEAA1EEB}"/>
    <cellStyle name="40% - Akzent3 10 16" xfId="6274" xr:uid="{C0944F4A-E1A5-4DD2-8BC4-D397B598BA3D}"/>
    <cellStyle name="40% - Akzent3 10 16 2" xfId="6275" xr:uid="{63DA0329-770C-4164-8B6A-F82FE6B8441D}"/>
    <cellStyle name="40% - Akzent3 10 16 2 2" xfId="25712" xr:uid="{F9DC23F5-9C38-4C38-AB0F-37E4291ABA12}"/>
    <cellStyle name="40% - Akzent3 10 16 3" xfId="25711" xr:uid="{DDCF7FCC-ABED-402B-ADB6-A9C1ACF81FE7}"/>
    <cellStyle name="40% - Akzent3 10 17" xfId="6276" xr:uid="{622F9560-DF07-408A-A9C9-BC87BEA53B86}"/>
    <cellStyle name="40% - Akzent3 10 17 2" xfId="6277" xr:uid="{627AE990-1030-48C6-84F3-CA5AF544DAD3}"/>
    <cellStyle name="40% - Akzent3 10 17 2 2" xfId="25714" xr:uid="{B0080087-6F43-45F1-9B00-5CBC3140E631}"/>
    <cellStyle name="40% - Akzent3 10 17 3" xfId="25713" xr:uid="{87AB0235-C2A6-40BD-8EDA-744A568956AB}"/>
    <cellStyle name="40% - Akzent3 10 18" xfId="6278" xr:uid="{20BD6C51-E3EC-4A7D-8FC0-0FA0F3AC36E3}"/>
    <cellStyle name="40% - Akzent3 10 18 2" xfId="6279" xr:uid="{AA8A6FFD-F794-442E-A212-3D59A6B531A5}"/>
    <cellStyle name="40% - Akzent3 10 18 2 2" xfId="25716" xr:uid="{9FA18170-B37D-400E-9CED-C55BDFB90F70}"/>
    <cellStyle name="40% - Akzent3 10 18 3" xfId="25715" xr:uid="{6733EF84-FA9E-4481-8AF4-4FADED0971CB}"/>
    <cellStyle name="40% - Akzent3 10 19" xfId="6280" xr:uid="{CB8B02F9-164E-4CC4-9D4C-9AB9708D71A4}"/>
    <cellStyle name="40% - Akzent3 10 19 2" xfId="6281" xr:uid="{A7E73633-9C87-4A75-BA8E-06A19A1EF880}"/>
    <cellStyle name="40% - Akzent3 10 19 2 2" xfId="25718" xr:uid="{3411BA93-1C91-4DA5-B79D-AA9D6A8AACC5}"/>
    <cellStyle name="40% - Akzent3 10 19 3" xfId="25717" xr:uid="{BB016FA6-CC4F-4C3A-85F6-F98B64AFA79C}"/>
    <cellStyle name="40% - Akzent3 10 2" xfId="6282" xr:uid="{6E2DD7E2-F7E9-4D0B-8C7F-0426598749C6}"/>
    <cellStyle name="40% - Akzent3 10 2 2" xfId="6283" xr:uid="{AEB37658-98C1-4157-A6E7-1CABFE0773CC}"/>
    <cellStyle name="40% - Akzent3 10 2 2 2" xfId="25720" xr:uid="{951F2AF4-9CA2-4638-B929-F50FC72A8B21}"/>
    <cellStyle name="40% - Akzent3 10 2 3" xfId="25719" xr:uid="{90690CD8-A510-4052-A981-8607F086522E}"/>
    <cellStyle name="40% - Akzent3 10 20" xfId="6284" xr:uid="{12FE98DE-9BA7-48C4-BB26-95F8769559D4}"/>
    <cellStyle name="40% - Akzent3 10 20 2" xfId="6285" xr:uid="{62FE3D18-1941-4AC8-9992-AD1B3131D5B3}"/>
    <cellStyle name="40% - Akzent3 10 20 2 2" xfId="25722" xr:uid="{7270472E-09D0-4466-B7A3-846C764F9976}"/>
    <cellStyle name="40% - Akzent3 10 20 3" xfId="25721" xr:uid="{7A3871A7-7A19-4275-B2E1-DB21BE5407AF}"/>
    <cellStyle name="40% - Akzent3 10 21" xfId="6286" xr:uid="{FCA20073-1F48-4A16-A028-E88F220542BC}"/>
    <cellStyle name="40% - Akzent3 10 21 2" xfId="6287" xr:uid="{6C6281E4-46B7-4939-BBC5-102E87D3542B}"/>
    <cellStyle name="40% - Akzent3 10 21 2 2" xfId="25724" xr:uid="{3EF82EC3-202D-4B44-87DE-C02F16AEAEC7}"/>
    <cellStyle name="40% - Akzent3 10 21 3" xfId="25723" xr:uid="{1E8EF353-8DF9-4B9C-85A5-9946E82A3181}"/>
    <cellStyle name="40% - Akzent3 10 22" xfId="6288" xr:uid="{1A190555-4586-47EA-B49F-4745374BCC3A}"/>
    <cellStyle name="40% - Akzent3 10 22 2" xfId="25725" xr:uid="{5ED10A55-7F51-4F73-A131-1264DEE0D485}"/>
    <cellStyle name="40% - Akzent3 10 23" xfId="25698" xr:uid="{7047EB17-38F4-41AC-92F1-286990236D81}"/>
    <cellStyle name="40% - Akzent3 10 3" xfId="6289" xr:uid="{8189B21F-7575-4CFB-B323-723C66D4425E}"/>
    <cellStyle name="40% - Akzent3 10 3 2" xfId="6290" xr:uid="{025AA4DD-6AC6-4356-A21A-30AC1BB4444E}"/>
    <cellStyle name="40% - Akzent3 10 3 2 2" xfId="25727" xr:uid="{6FDDEDEA-33D1-4417-8880-272F8CD02DC0}"/>
    <cellStyle name="40% - Akzent3 10 3 3" xfId="25726" xr:uid="{FE24AE2F-8078-4203-B187-41029A872FB7}"/>
    <cellStyle name="40% - Akzent3 10 4" xfId="6291" xr:uid="{93196888-355A-408A-B7F6-743753E52E3F}"/>
    <cellStyle name="40% - Akzent3 10 4 2" xfId="6292" xr:uid="{15A66444-B043-4E3C-B3E8-78216172A392}"/>
    <cellStyle name="40% - Akzent3 10 4 2 2" xfId="25729" xr:uid="{5E99D32A-686B-40DA-AC8E-068C1527D10B}"/>
    <cellStyle name="40% - Akzent3 10 4 3" xfId="25728" xr:uid="{0B74D43A-DCB3-41C3-AA3B-785290510444}"/>
    <cellStyle name="40% - Akzent3 10 5" xfId="6293" xr:uid="{4DC0B8F4-B433-4CCA-B0F9-45E1D0A39FE8}"/>
    <cellStyle name="40% - Akzent3 10 5 2" xfId="6294" xr:uid="{6667BBD0-651F-48C8-BCE8-E6A331A50887}"/>
    <cellStyle name="40% - Akzent3 10 5 2 2" xfId="25731" xr:uid="{8E76B55E-14DF-4C59-9C78-F1B3DF1E3F97}"/>
    <cellStyle name="40% - Akzent3 10 5 3" xfId="25730" xr:uid="{EE4E909C-7459-4CCD-AF73-345F176C0F60}"/>
    <cellStyle name="40% - Akzent3 10 6" xfId="6295" xr:uid="{F12AEBEE-D71A-4BA8-A2A2-E47A52DC1B5F}"/>
    <cellStyle name="40% - Akzent3 10 6 2" xfId="6296" xr:uid="{C39EC47D-6DC1-4D15-8A33-E380DC482A15}"/>
    <cellStyle name="40% - Akzent3 10 6 2 2" xfId="25733" xr:uid="{94C29E30-B733-4C02-B4A7-D054C852DFA6}"/>
    <cellStyle name="40% - Akzent3 10 6 3" xfId="25732" xr:uid="{22E804B9-8350-46B6-8464-A2A3EC1C4913}"/>
    <cellStyle name="40% - Akzent3 10 7" xfId="6297" xr:uid="{FA0FADF9-0FA4-45F5-BDF4-E828E4B60008}"/>
    <cellStyle name="40% - Akzent3 10 7 2" xfId="6298" xr:uid="{2204AE06-FF35-493F-94E4-E181BE6D8899}"/>
    <cellStyle name="40% - Akzent3 10 7 2 2" xfId="25735" xr:uid="{EC729A66-B5B7-4CC0-BB4E-C39C30A56FEF}"/>
    <cellStyle name="40% - Akzent3 10 7 3" xfId="25734" xr:uid="{0C288540-6042-4B33-9268-7836A4142217}"/>
    <cellStyle name="40% - Akzent3 10 8" xfId="6299" xr:uid="{6BFC5656-51A6-41FD-A9ED-7FB18C48AF33}"/>
    <cellStyle name="40% - Akzent3 10 8 2" xfId="6300" xr:uid="{008754D3-4837-4E55-A6D4-0C3DEC408EE8}"/>
    <cellStyle name="40% - Akzent3 10 8 2 2" xfId="25737" xr:uid="{59E31ADF-D773-4893-82E8-DB9949C037DA}"/>
    <cellStyle name="40% - Akzent3 10 8 3" xfId="25736" xr:uid="{28820078-554C-464A-AFC7-3E56337E217B}"/>
    <cellStyle name="40% - Akzent3 10 9" xfId="6301" xr:uid="{2A80A67D-3FF1-49C2-AB0F-53DC507D4E03}"/>
    <cellStyle name="40% - Akzent3 10 9 2" xfId="6302" xr:uid="{F262262B-DC9B-412E-9C21-D201505D8BBC}"/>
    <cellStyle name="40% - Akzent3 10 9 2 2" xfId="25739" xr:uid="{E7E5DCB7-EC83-4D38-90D3-59346ED83BD2}"/>
    <cellStyle name="40% - Akzent3 10 9 3" xfId="25738" xr:uid="{2305D8AE-1D5D-4E5B-83F1-69576215F6B6}"/>
    <cellStyle name="40% - Akzent3 11" xfId="6303" xr:uid="{A8166142-F445-4F10-86AD-A0DA08BCA746}"/>
    <cellStyle name="40% - Akzent3 11 10" xfId="6304" xr:uid="{6715463C-4EE3-49A8-A120-525895D55BDE}"/>
    <cellStyle name="40% - Akzent3 11 10 2" xfId="6305" xr:uid="{19E439CF-0E07-4249-A968-FF8FCD98B3B3}"/>
    <cellStyle name="40% - Akzent3 11 10 2 2" xfId="25742" xr:uid="{D3A2410E-B988-4EB6-B9FB-E54127CED2EA}"/>
    <cellStyle name="40% - Akzent3 11 10 3" xfId="25741" xr:uid="{50BE6969-5E26-4E20-AAC4-842E7E9111BB}"/>
    <cellStyle name="40% - Akzent3 11 11" xfId="6306" xr:uid="{C1224BA3-E397-4772-A048-7F04607F7B2F}"/>
    <cellStyle name="40% - Akzent3 11 11 2" xfId="6307" xr:uid="{83421751-1F58-4316-800C-A5BAB6A59F12}"/>
    <cellStyle name="40% - Akzent3 11 11 2 2" xfId="25744" xr:uid="{BC1FB3A9-D8CC-4651-8573-67B7A7896D88}"/>
    <cellStyle name="40% - Akzent3 11 11 3" xfId="25743" xr:uid="{7509D6C6-681E-43BD-8B4F-9C1C8A316EFB}"/>
    <cellStyle name="40% - Akzent3 11 12" xfId="6308" xr:uid="{3400CD3F-42B8-4875-A81F-D59FE8AB2875}"/>
    <cellStyle name="40% - Akzent3 11 12 2" xfId="6309" xr:uid="{A46CAE65-AA93-4D89-BB7D-7DEBF3A9E3F7}"/>
    <cellStyle name="40% - Akzent3 11 12 2 2" xfId="25746" xr:uid="{968D72AC-22D0-48CC-B708-3A7DFF2A9C55}"/>
    <cellStyle name="40% - Akzent3 11 12 3" xfId="25745" xr:uid="{0F1BD8FA-9B4C-4D3B-A340-030A6F2FDD50}"/>
    <cellStyle name="40% - Akzent3 11 13" xfId="6310" xr:uid="{A836E234-B96A-4381-92C2-CA6C584BE844}"/>
    <cellStyle name="40% - Akzent3 11 13 2" xfId="6311" xr:uid="{51EA242E-5371-437D-92DD-99251FCDC639}"/>
    <cellStyle name="40% - Akzent3 11 13 2 2" xfId="25748" xr:uid="{99093E8F-9F57-4968-827F-DA764887C939}"/>
    <cellStyle name="40% - Akzent3 11 13 3" xfId="25747" xr:uid="{288BF2F4-9FCC-46EE-8626-36B14170EC0E}"/>
    <cellStyle name="40% - Akzent3 11 14" xfId="6312" xr:uid="{B0A1200F-61FD-4696-B390-1550172CA50B}"/>
    <cellStyle name="40% - Akzent3 11 14 2" xfId="6313" xr:uid="{468F9D52-3CEE-4B73-9818-F4675EFD91CD}"/>
    <cellStyle name="40% - Akzent3 11 14 2 2" xfId="25750" xr:uid="{5C55F5CC-14C9-4316-8043-1B1AE833D521}"/>
    <cellStyle name="40% - Akzent3 11 14 3" xfId="25749" xr:uid="{9841F94F-1685-457E-BD8F-509243D48C5B}"/>
    <cellStyle name="40% - Akzent3 11 15" xfId="6314" xr:uid="{E90067FA-05A0-42EC-9F27-21674B3F73F9}"/>
    <cellStyle name="40% - Akzent3 11 15 2" xfId="6315" xr:uid="{CDB500CF-4FA1-4BE4-B384-7B2509B6A772}"/>
    <cellStyle name="40% - Akzent3 11 15 2 2" xfId="25752" xr:uid="{6F70FE0E-66D4-4FD5-A79C-45D49D1D38FD}"/>
    <cellStyle name="40% - Akzent3 11 15 3" xfId="25751" xr:uid="{B35602F3-1E73-4F46-A8A6-85759AE5B4BD}"/>
    <cellStyle name="40% - Akzent3 11 16" xfId="6316" xr:uid="{7BB1AB54-D558-4FCE-84B1-99DD6C59CAE2}"/>
    <cellStyle name="40% - Akzent3 11 16 2" xfId="6317" xr:uid="{DA3159AD-D949-471C-9392-6FC4CAA03311}"/>
    <cellStyle name="40% - Akzent3 11 16 2 2" xfId="25754" xr:uid="{4F17EBAF-7EE0-4380-96F3-46AA23C63DEF}"/>
    <cellStyle name="40% - Akzent3 11 16 3" xfId="25753" xr:uid="{A76E3359-178C-4227-801A-708672B957D8}"/>
    <cellStyle name="40% - Akzent3 11 17" xfId="6318" xr:uid="{AC371B0A-36E7-4E27-829C-C38049438AF7}"/>
    <cellStyle name="40% - Akzent3 11 17 2" xfId="6319" xr:uid="{A35B31FB-CFF0-4285-9323-33FCC6B2CCFC}"/>
    <cellStyle name="40% - Akzent3 11 17 2 2" xfId="25756" xr:uid="{ECB176B7-B636-4183-82A4-3C927DE2C965}"/>
    <cellStyle name="40% - Akzent3 11 17 3" xfId="25755" xr:uid="{63805261-BF67-439B-A158-F77732A139B6}"/>
    <cellStyle name="40% - Akzent3 11 18" xfId="6320" xr:uid="{DB4B4235-1998-4C28-A6D1-787CCAFC917B}"/>
    <cellStyle name="40% - Akzent3 11 18 2" xfId="6321" xr:uid="{331DF808-C2E6-4935-A85E-C4BDD9C3185C}"/>
    <cellStyle name="40% - Akzent3 11 18 2 2" xfId="25758" xr:uid="{1CF1BB77-A495-4332-A9B6-6EED2696CEDE}"/>
    <cellStyle name="40% - Akzent3 11 18 3" xfId="25757" xr:uid="{6B4892EA-5FFA-4070-825C-5D9396BFBCA5}"/>
    <cellStyle name="40% - Akzent3 11 19" xfId="6322" xr:uid="{0DEB0D22-0F95-439F-8D70-22BE82467000}"/>
    <cellStyle name="40% - Akzent3 11 19 2" xfId="6323" xr:uid="{0E441288-2F12-494B-999D-BCA4B59036D6}"/>
    <cellStyle name="40% - Akzent3 11 19 2 2" xfId="25760" xr:uid="{81B3BE90-5153-40F8-99BF-3A376D639336}"/>
    <cellStyle name="40% - Akzent3 11 19 3" xfId="25759" xr:uid="{28279F3D-F893-4B18-8C3D-C6FF7F4EA44F}"/>
    <cellStyle name="40% - Akzent3 11 2" xfId="6324" xr:uid="{2D637C2D-43EC-4A1F-8C25-6EC54A8E4420}"/>
    <cellStyle name="40% - Akzent3 11 2 2" xfId="6325" xr:uid="{C4DC1C0E-9627-4344-88E3-312545E47ED6}"/>
    <cellStyle name="40% - Akzent3 11 2 2 2" xfId="25762" xr:uid="{827051B7-7BEF-4BAB-8CE0-0EA98BBB8E1D}"/>
    <cellStyle name="40% - Akzent3 11 2 3" xfId="25761" xr:uid="{5D5D9A13-F719-4B1C-B1A7-1D258E16360D}"/>
    <cellStyle name="40% - Akzent3 11 20" xfId="6326" xr:uid="{345B76DA-FDE4-49B9-AF58-6F8AF88EE747}"/>
    <cellStyle name="40% - Akzent3 11 20 2" xfId="6327" xr:uid="{7E2D6756-ACC1-45BE-A8C5-F43CEAB3EF9C}"/>
    <cellStyle name="40% - Akzent3 11 20 2 2" xfId="25764" xr:uid="{0980B93F-985D-49D7-91FA-DCCA14E5841A}"/>
    <cellStyle name="40% - Akzent3 11 20 3" xfId="25763" xr:uid="{7CC3F274-3E7C-4A4A-99F2-B61945EB28F1}"/>
    <cellStyle name="40% - Akzent3 11 21" xfId="6328" xr:uid="{E826B3D7-0267-4CC6-8834-2A3753E492FE}"/>
    <cellStyle name="40% - Akzent3 11 21 2" xfId="6329" xr:uid="{90FFD125-9492-4093-B9E2-BEDF0D95D424}"/>
    <cellStyle name="40% - Akzent3 11 21 2 2" xfId="25766" xr:uid="{B8BD4614-0B36-4C79-9906-8B1513DC340D}"/>
    <cellStyle name="40% - Akzent3 11 21 3" xfId="25765" xr:uid="{BD387CB5-F8E9-43AC-BB51-4EAD6F2EF707}"/>
    <cellStyle name="40% - Akzent3 11 22" xfId="6330" xr:uid="{4C96A161-7F98-431F-B22E-9DD8F879F771}"/>
    <cellStyle name="40% - Akzent3 11 22 2" xfId="25767" xr:uid="{A7D96FD6-C6CB-4A80-B5A1-1591FC28D304}"/>
    <cellStyle name="40% - Akzent3 11 23" xfId="25740" xr:uid="{6611B056-5B44-4B80-9FBE-036012193F21}"/>
    <cellStyle name="40% - Akzent3 11 3" xfId="6331" xr:uid="{D1255F31-5E52-4381-8AFD-318118DD0AA7}"/>
    <cellStyle name="40% - Akzent3 11 3 2" xfId="6332" xr:uid="{CE73BD78-92E6-47ED-8133-C00F5F72FBE0}"/>
    <cellStyle name="40% - Akzent3 11 3 2 2" xfId="25769" xr:uid="{25C9210F-2E87-41C3-A730-DCAD6D72A33D}"/>
    <cellStyle name="40% - Akzent3 11 3 3" xfId="25768" xr:uid="{30E0CB1D-04DE-48DD-B11A-CF0C055EBF0B}"/>
    <cellStyle name="40% - Akzent3 11 4" xfId="6333" xr:uid="{3DCA2894-CFDD-4370-9703-B9E7E663AB45}"/>
    <cellStyle name="40% - Akzent3 11 4 2" xfId="6334" xr:uid="{39834A93-F25B-4DE1-B922-0658FDD1A2EA}"/>
    <cellStyle name="40% - Akzent3 11 4 2 2" xfId="25771" xr:uid="{021914AB-0617-4AB8-BEC7-9C7893017AD1}"/>
    <cellStyle name="40% - Akzent3 11 4 3" xfId="25770" xr:uid="{16B8C756-8EF9-4458-804C-6F17956BBA00}"/>
    <cellStyle name="40% - Akzent3 11 5" xfId="6335" xr:uid="{3CEDAD59-A885-4252-B1E1-21441F01102F}"/>
    <cellStyle name="40% - Akzent3 11 5 2" xfId="6336" xr:uid="{24BB2225-EE46-4DA9-9F36-61460D3B9DF4}"/>
    <cellStyle name="40% - Akzent3 11 5 2 2" xfId="25773" xr:uid="{7CC3E8AB-AF92-4FE8-AAE0-16A737D54F1F}"/>
    <cellStyle name="40% - Akzent3 11 5 3" xfId="25772" xr:uid="{5FFE1C0E-B3DD-4E45-8492-86C8F85CF1E0}"/>
    <cellStyle name="40% - Akzent3 11 6" xfId="6337" xr:uid="{F2437F65-A586-4EDE-897A-7A1C0EC08E9C}"/>
    <cellStyle name="40% - Akzent3 11 6 2" xfId="6338" xr:uid="{D33DB235-7410-421B-B2E3-848F1687299A}"/>
    <cellStyle name="40% - Akzent3 11 6 2 2" xfId="25775" xr:uid="{9CF9388D-EC33-41DA-85A0-4894F9CCAA44}"/>
    <cellStyle name="40% - Akzent3 11 6 3" xfId="25774" xr:uid="{7EC51F58-4886-4EFD-A33D-22B029B4CD15}"/>
    <cellStyle name="40% - Akzent3 11 7" xfId="6339" xr:uid="{4DBB8054-CDF9-4E28-A671-81ABF2C3EECE}"/>
    <cellStyle name="40% - Akzent3 11 7 2" xfId="6340" xr:uid="{25C0C64E-0236-475D-8AA1-E2582635A8F8}"/>
    <cellStyle name="40% - Akzent3 11 7 2 2" xfId="25777" xr:uid="{36D194FB-09F0-4E7A-9B52-D04A8EF6A851}"/>
    <cellStyle name="40% - Akzent3 11 7 3" xfId="25776" xr:uid="{03131F9C-DD40-4093-81D5-1289AA5898C3}"/>
    <cellStyle name="40% - Akzent3 11 8" xfId="6341" xr:uid="{C5632D54-EAEC-4576-B1AA-A3F6EC459ED3}"/>
    <cellStyle name="40% - Akzent3 11 8 2" xfId="6342" xr:uid="{ABA056B3-0593-4BF5-9C0A-339DC53159EA}"/>
    <cellStyle name="40% - Akzent3 11 8 2 2" xfId="25779" xr:uid="{7779A82B-7CB7-422D-8CF6-49AFF91F0E46}"/>
    <cellStyle name="40% - Akzent3 11 8 3" xfId="25778" xr:uid="{84B636C3-88F2-4778-A79F-E82A27DA3F60}"/>
    <cellStyle name="40% - Akzent3 11 9" xfId="6343" xr:uid="{9A2FDA41-47C7-44F3-899C-F324DFD1025A}"/>
    <cellStyle name="40% - Akzent3 11 9 2" xfId="6344" xr:uid="{0AFC1D5D-98D8-46C5-AECE-A5183D6007E7}"/>
    <cellStyle name="40% - Akzent3 11 9 2 2" xfId="25781" xr:uid="{697D9A14-454C-44F8-8A23-1882B6EEE5D6}"/>
    <cellStyle name="40% - Akzent3 11 9 3" xfId="25780" xr:uid="{A7A37665-2082-49A5-A81C-1EF46850BB2B}"/>
    <cellStyle name="40% - Akzent3 12" xfId="6345" xr:uid="{D41352F1-99CD-4F89-9738-B69E3D12BFBE}"/>
    <cellStyle name="40% - Akzent3 12 10" xfId="6346" xr:uid="{00F11808-DF48-4DF6-BE20-78E68A5EE46C}"/>
    <cellStyle name="40% - Akzent3 12 10 2" xfId="6347" xr:uid="{8E670E2C-80BE-4C62-9627-001152EECBCF}"/>
    <cellStyle name="40% - Akzent3 12 10 2 2" xfId="25784" xr:uid="{C655F860-96A0-472A-89A6-8677C63C07C7}"/>
    <cellStyle name="40% - Akzent3 12 10 3" xfId="25783" xr:uid="{E360116D-1A99-4A37-9E36-E0576CCEAEDB}"/>
    <cellStyle name="40% - Akzent3 12 11" xfId="6348" xr:uid="{A476F02C-0A06-4A96-A5A5-27A4FE87DD56}"/>
    <cellStyle name="40% - Akzent3 12 11 2" xfId="6349" xr:uid="{784E4B6D-536B-4C0E-AF9A-FF22368535D2}"/>
    <cellStyle name="40% - Akzent3 12 11 2 2" xfId="25786" xr:uid="{390F966F-6639-4B8A-BBEF-E656EF1BAE08}"/>
    <cellStyle name="40% - Akzent3 12 11 3" xfId="25785" xr:uid="{299F4C4A-8517-40B6-8C5C-183D16451134}"/>
    <cellStyle name="40% - Akzent3 12 12" xfId="6350" xr:uid="{27B9C606-1149-45D7-B499-B4630A69C6F6}"/>
    <cellStyle name="40% - Akzent3 12 12 2" xfId="6351" xr:uid="{346E568B-9EE6-4BF0-AAD7-994B3D2FCC92}"/>
    <cellStyle name="40% - Akzent3 12 12 2 2" xfId="25788" xr:uid="{17D0EB31-9F4D-4A96-8935-6D96A3077542}"/>
    <cellStyle name="40% - Akzent3 12 12 3" xfId="25787" xr:uid="{7428CD72-03D7-478B-9BF2-0299006F9104}"/>
    <cellStyle name="40% - Akzent3 12 13" xfId="6352" xr:uid="{3A215F4D-C49A-4817-AFB2-4AE50167FD73}"/>
    <cellStyle name="40% - Akzent3 12 13 2" xfId="6353" xr:uid="{A5A303C0-57EF-423F-BD6B-21A8D2BC51AB}"/>
    <cellStyle name="40% - Akzent3 12 13 2 2" xfId="25790" xr:uid="{059B5A53-690A-49EA-AD98-8C642352D865}"/>
    <cellStyle name="40% - Akzent3 12 13 3" xfId="25789" xr:uid="{691AAD04-B66A-44D6-BF2C-E8A3EF195B07}"/>
    <cellStyle name="40% - Akzent3 12 14" xfId="6354" xr:uid="{86A95450-3661-453B-A2B1-0C2203A5FA4C}"/>
    <cellStyle name="40% - Akzent3 12 14 2" xfId="6355" xr:uid="{3322B163-4971-4EA4-9B44-CC9D0482EBAC}"/>
    <cellStyle name="40% - Akzent3 12 14 2 2" xfId="25792" xr:uid="{8AE4B132-41FC-4B10-82A5-D23FBCD9ABDA}"/>
    <cellStyle name="40% - Akzent3 12 14 3" xfId="25791" xr:uid="{A18C3168-92EA-4F50-AD72-E0A048CF53E3}"/>
    <cellStyle name="40% - Akzent3 12 15" xfId="6356" xr:uid="{8EB2F6DC-3FE3-44A1-BD86-6D41C3CC8381}"/>
    <cellStyle name="40% - Akzent3 12 15 2" xfId="6357" xr:uid="{D78F2E68-A83C-482B-A168-29624AF5E3B9}"/>
    <cellStyle name="40% - Akzent3 12 15 2 2" xfId="25794" xr:uid="{15B010C0-D92D-456C-A8EA-6310FB9FDF63}"/>
    <cellStyle name="40% - Akzent3 12 15 3" xfId="25793" xr:uid="{B97D788B-28D8-49E9-B38A-3B97A6E84709}"/>
    <cellStyle name="40% - Akzent3 12 16" xfId="6358" xr:uid="{3E3DFC2A-D5E4-4C55-B10D-6C0DDA5B176E}"/>
    <cellStyle name="40% - Akzent3 12 16 2" xfId="6359" xr:uid="{CC798508-019C-48AF-AEBD-DC03CE4321E1}"/>
    <cellStyle name="40% - Akzent3 12 16 2 2" xfId="25796" xr:uid="{97596F91-B65D-45B7-A2D6-83AF13263899}"/>
    <cellStyle name="40% - Akzent3 12 16 3" xfId="25795" xr:uid="{2CEB48D6-08F7-4FC4-AA47-1F99238C39AC}"/>
    <cellStyle name="40% - Akzent3 12 17" xfId="6360" xr:uid="{82414AAD-2FC1-4F43-94FA-7CAF8AC64F9B}"/>
    <cellStyle name="40% - Akzent3 12 17 2" xfId="6361" xr:uid="{CB458CF8-3639-4AE5-BCB7-F0D797940E8B}"/>
    <cellStyle name="40% - Akzent3 12 17 2 2" xfId="25798" xr:uid="{A9842CB0-E6C2-4AAD-9F38-724873D67A0B}"/>
    <cellStyle name="40% - Akzent3 12 17 3" xfId="25797" xr:uid="{C1F3E915-0604-46A8-A861-F1A1C0B7F7AB}"/>
    <cellStyle name="40% - Akzent3 12 18" xfId="6362" xr:uid="{9CA32DA0-DF7F-48DC-B8F4-D94F0667FD92}"/>
    <cellStyle name="40% - Akzent3 12 18 2" xfId="6363" xr:uid="{DEB54FFB-16BB-4A7A-9E1E-89E80D597232}"/>
    <cellStyle name="40% - Akzent3 12 18 2 2" xfId="25800" xr:uid="{82A7259B-91E9-4B9C-8861-F806D305766C}"/>
    <cellStyle name="40% - Akzent3 12 18 3" xfId="25799" xr:uid="{4D63B154-E469-43EC-9F68-A9E8A84843DD}"/>
    <cellStyle name="40% - Akzent3 12 19" xfId="6364" xr:uid="{516A815F-0763-41CB-B8D2-E9255AAC109F}"/>
    <cellStyle name="40% - Akzent3 12 19 2" xfId="6365" xr:uid="{E97D3236-5812-4282-86B3-46EB90B0211B}"/>
    <cellStyle name="40% - Akzent3 12 19 2 2" xfId="25802" xr:uid="{3752A84B-9113-4891-9208-1E132B8615BE}"/>
    <cellStyle name="40% - Akzent3 12 19 3" xfId="25801" xr:uid="{41EF5892-8A6D-403C-B97D-167134F42026}"/>
    <cellStyle name="40% - Akzent3 12 2" xfId="6366" xr:uid="{0AABACDD-C5A2-423B-BDFD-BB5B7F9924A9}"/>
    <cellStyle name="40% - Akzent3 12 2 2" xfId="6367" xr:uid="{E1D7E8E8-C8F5-4677-9693-BDF8E54E52A9}"/>
    <cellStyle name="40% - Akzent3 12 2 2 2" xfId="25804" xr:uid="{EE72DE8A-01FC-4190-9A91-810082D5A7FC}"/>
    <cellStyle name="40% - Akzent3 12 2 3" xfId="25803" xr:uid="{4E56F3F8-27BB-4221-81B8-B1DFAC54FB7B}"/>
    <cellStyle name="40% - Akzent3 12 20" xfId="6368" xr:uid="{F5686AB1-674A-4F2E-A73F-1D8B19EF3228}"/>
    <cellStyle name="40% - Akzent3 12 20 2" xfId="6369" xr:uid="{6C0BAFD5-D488-4A73-BC23-3ABA206E9A22}"/>
    <cellStyle name="40% - Akzent3 12 20 2 2" xfId="25806" xr:uid="{29FEFA34-70AF-478A-8473-244DF60D7CA6}"/>
    <cellStyle name="40% - Akzent3 12 20 3" xfId="25805" xr:uid="{4C604754-2D53-4B2B-9371-31A256CBFE15}"/>
    <cellStyle name="40% - Akzent3 12 21" xfId="6370" xr:uid="{6260E72A-846E-46F9-A299-8802B2FC52FB}"/>
    <cellStyle name="40% - Akzent3 12 21 2" xfId="6371" xr:uid="{5AE0CCEA-6F9A-4A09-A763-FF449FC3258C}"/>
    <cellStyle name="40% - Akzent3 12 21 2 2" xfId="25808" xr:uid="{27DBE922-17EC-452D-97A6-2A4CD12B5AF0}"/>
    <cellStyle name="40% - Akzent3 12 21 3" xfId="25807" xr:uid="{39C516F4-6443-4FF2-884A-2171556755F7}"/>
    <cellStyle name="40% - Akzent3 12 22" xfId="6372" xr:uid="{9E8EA80B-5DF7-48A1-992A-AC857E6511BD}"/>
    <cellStyle name="40% - Akzent3 12 22 2" xfId="25809" xr:uid="{051509AF-5DBF-4F54-A6E1-1405D057600C}"/>
    <cellStyle name="40% - Akzent3 12 23" xfId="25782" xr:uid="{4AE39E2A-25C8-437E-99CA-6A7B13F12497}"/>
    <cellStyle name="40% - Akzent3 12 3" xfId="6373" xr:uid="{8BF23CD0-D295-4042-918F-22BE1A716CA0}"/>
    <cellStyle name="40% - Akzent3 12 3 2" xfId="6374" xr:uid="{6710328E-9A3A-4759-B489-3A02330441BE}"/>
    <cellStyle name="40% - Akzent3 12 3 2 2" xfId="25811" xr:uid="{E87AA050-CBB4-404D-BE55-D19FCC28B77A}"/>
    <cellStyle name="40% - Akzent3 12 3 3" xfId="25810" xr:uid="{F0FA46F9-D02E-4129-A81D-298FD962892E}"/>
    <cellStyle name="40% - Akzent3 12 4" xfId="6375" xr:uid="{65BB147E-BBDA-4FE5-A929-8402B579607B}"/>
    <cellStyle name="40% - Akzent3 12 4 2" xfId="6376" xr:uid="{D5272D26-A351-4260-89EE-00AD5E444E61}"/>
    <cellStyle name="40% - Akzent3 12 4 2 2" xfId="25813" xr:uid="{C9718CF6-49E4-447F-BAAA-E48813A0EE91}"/>
    <cellStyle name="40% - Akzent3 12 4 3" xfId="25812" xr:uid="{9B88FC28-5AA6-4821-8C9B-3DA5409229CC}"/>
    <cellStyle name="40% - Akzent3 12 5" xfId="6377" xr:uid="{2AAC5958-47FF-4BAB-B7AC-B176273DE5F0}"/>
    <cellStyle name="40% - Akzent3 12 5 2" xfId="6378" xr:uid="{845CE7FD-9706-4ADB-B9D6-9082A5578F49}"/>
    <cellStyle name="40% - Akzent3 12 5 2 2" xfId="25815" xr:uid="{24BC8B55-F55B-4168-A52B-4DBC4AEA55F6}"/>
    <cellStyle name="40% - Akzent3 12 5 3" xfId="25814" xr:uid="{9210EC2B-1CCF-4182-ADD6-492A5F899185}"/>
    <cellStyle name="40% - Akzent3 12 6" xfId="6379" xr:uid="{B9018376-41A7-463F-BDBA-827EB3558205}"/>
    <cellStyle name="40% - Akzent3 12 6 2" xfId="6380" xr:uid="{A666CB23-8704-44A1-8A73-D06536B9050C}"/>
    <cellStyle name="40% - Akzent3 12 6 2 2" xfId="25817" xr:uid="{69EC49E2-A0A3-4BF3-BC17-F908AFEE62DA}"/>
    <cellStyle name="40% - Akzent3 12 6 3" xfId="25816" xr:uid="{7487E5E9-4904-4DBB-8D75-6643C4C365DD}"/>
    <cellStyle name="40% - Akzent3 12 7" xfId="6381" xr:uid="{64E18DB1-ACF2-44EF-89D6-733772F218E6}"/>
    <cellStyle name="40% - Akzent3 12 7 2" xfId="6382" xr:uid="{78F3DFBB-BF92-452E-87DA-C0523323DC10}"/>
    <cellStyle name="40% - Akzent3 12 7 2 2" xfId="25819" xr:uid="{8A732AF4-0B78-46FE-8B0C-F05EDEEC5ABF}"/>
    <cellStyle name="40% - Akzent3 12 7 3" xfId="25818" xr:uid="{B4404A8B-C1AB-4796-8DB6-59561299E15C}"/>
    <cellStyle name="40% - Akzent3 12 8" xfId="6383" xr:uid="{32154A12-7FD3-4FF1-8D30-61C4AB87D32D}"/>
    <cellStyle name="40% - Akzent3 12 8 2" xfId="6384" xr:uid="{332B58A4-FE04-4118-8170-1C9B6DD9DBB5}"/>
    <cellStyle name="40% - Akzent3 12 8 2 2" xfId="25821" xr:uid="{EAE9A784-2D82-42FC-9B9C-9A26CA898CF8}"/>
    <cellStyle name="40% - Akzent3 12 8 3" xfId="25820" xr:uid="{C328C9A5-D824-4AB9-A24E-95B9B13C0ADB}"/>
    <cellStyle name="40% - Akzent3 12 9" xfId="6385" xr:uid="{C4998329-F159-4482-BC96-9BB5560D19BE}"/>
    <cellStyle name="40% - Akzent3 12 9 2" xfId="6386" xr:uid="{8DF3711C-CA42-4677-9683-FE95240460FE}"/>
    <cellStyle name="40% - Akzent3 12 9 2 2" xfId="25823" xr:uid="{26365C0A-48AF-4D1E-A39B-DF708FB01308}"/>
    <cellStyle name="40% - Akzent3 12 9 3" xfId="25822" xr:uid="{84D66041-7346-48DF-BE7E-B8728DD51119}"/>
    <cellStyle name="40% - Akzent3 13" xfId="6387" xr:uid="{02527584-EAA1-4213-8537-F5E8B190D6A9}"/>
    <cellStyle name="40% - Akzent3 13 10" xfId="6388" xr:uid="{D0C2D666-A495-4C25-A8A8-452A46370493}"/>
    <cellStyle name="40% - Akzent3 13 10 2" xfId="6389" xr:uid="{54C72B5E-9F51-4764-92B9-D3CF508881B5}"/>
    <cellStyle name="40% - Akzent3 13 10 2 2" xfId="25826" xr:uid="{B99103D2-0087-4404-9F80-C29A78D19F8C}"/>
    <cellStyle name="40% - Akzent3 13 10 3" xfId="25825" xr:uid="{BBFE6B39-5CA6-456B-AF58-C3F176000840}"/>
    <cellStyle name="40% - Akzent3 13 11" xfId="6390" xr:uid="{25101DD0-F600-4FD6-829E-38165B2C5AF1}"/>
    <cellStyle name="40% - Akzent3 13 11 2" xfId="6391" xr:uid="{0AA1810D-15B2-47AF-B3CA-E2126196518E}"/>
    <cellStyle name="40% - Akzent3 13 11 2 2" xfId="25828" xr:uid="{4DACF9C6-8CA2-4E84-8362-CF544FFF1AEE}"/>
    <cellStyle name="40% - Akzent3 13 11 3" xfId="25827" xr:uid="{B1094580-4B0E-4DB3-8782-252B48570993}"/>
    <cellStyle name="40% - Akzent3 13 12" xfId="6392" xr:uid="{5696A2BE-6D97-4123-9E5B-327407F8A994}"/>
    <cellStyle name="40% - Akzent3 13 12 2" xfId="6393" xr:uid="{46A6A55C-4456-4B4C-90EE-7F217B543BEC}"/>
    <cellStyle name="40% - Akzent3 13 12 2 2" xfId="25830" xr:uid="{2CCBDAE5-7661-4B7A-BB4D-F66031115B46}"/>
    <cellStyle name="40% - Akzent3 13 12 3" xfId="25829" xr:uid="{41AF6012-E4C5-455C-B114-FBBCCA06BF91}"/>
    <cellStyle name="40% - Akzent3 13 13" xfId="6394" xr:uid="{95E6B764-DFB0-47DB-BD59-0C27AB922EAE}"/>
    <cellStyle name="40% - Akzent3 13 13 2" xfId="6395" xr:uid="{E44522AA-A3FD-4D21-9086-6AF2D1D2E4E2}"/>
    <cellStyle name="40% - Akzent3 13 13 2 2" xfId="25832" xr:uid="{489C10EC-EF65-4828-9689-106A661D568A}"/>
    <cellStyle name="40% - Akzent3 13 13 3" xfId="25831" xr:uid="{C7FD33F9-74C5-4B0C-967D-92B54B84E104}"/>
    <cellStyle name="40% - Akzent3 13 14" xfId="6396" xr:uid="{DBB6182D-EBA8-467D-8DB2-1F007D57CD30}"/>
    <cellStyle name="40% - Akzent3 13 14 2" xfId="25833" xr:uid="{9C2815DD-3CE8-49AB-A58E-9769ACCD33E7}"/>
    <cellStyle name="40% - Akzent3 13 15" xfId="25824" xr:uid="{FD86B80A-42C7-4BA3-B78F-16849F2FF197}"/>
    <cellStyle name="40% - Akzent3 13 2" xfId="6397" xr:uid="{92BF0AA6-B8A0-4309-B9BE-0BA88D63AF45}"/>
    <cellStyle name="40% - Akzent3 13 2 2" xfId="6398" xr:uid="{C988F3D7-8976-40B7-9595-A0B107A08B7A}"/>
    <cellStyle name="40% - Akzent3 13 2 2 2" xfId="25835" xr:uid="{420A00DD-7C25-4E42-B89A-D428B1D78459}"/>
    <cellStyle name="40% - Akzent3 13 2 3" xfId="25834" xr:uid="{B2084BE9-015D-4CFF-BA6B-0946AD17916A}"/>
    <cellStyle name="40% - Akzent3 13 3" xfId="6399" xr:uid="{4E189E3D-B6D0-436F-9628-19754A62B001}"/>
    <cellStyle name="40% - Akzent3 13 3 2" xfId="6400" xr:uid="{3E5AD843-F173-4D91-903B-7B85E1ED8BBD}"/>
    <cellStyle name="40% - Akzent3 13 3 2 2" xfId="25837" xr:uid="{A189E1F6-832C-4A40-B8D8-B2E8503BE292}"/>
    <cellStyle name="40% - Akzent3 13 3 3" xfId="25836" xr:uid="{541F4CFF-3183-4FE3-9824-293ACEDE0C4E}"/>
    <cellStyle name="40% - Akzent3 13 4" xfId="6401" xr:uid="{9B268E4D-4BD5-47D5-B28B-4F9829169B2E}"/>
    <cellStyle name="40% - Akzent3 13 4 2" xfId="6402" xr:uid="{ADC64D90-08A0-47A1-B2FE-21A382D0DBA5}"/>
    <cellStyle name="40% - Akzent3 13 4 2 2" xfId="25839" xr:uid="{3FF356C0-4145-490D-A0F4-50AF09796FEC}"/>
    <cellStyle name="40% - Akzent3 13 4 3" xfId="25838" xr:uid="{34CD048A-D6C5-4CD5-867B-0521232F3F09}"/>
    <cellStyle name="40% - Akzent3 13 5" xfId="6403" xr:uid="{CB397ACD-C8FA-4A5B-9D21-19928606F9EC}"/>
    <cellStyle name="40% - Akzent3 13 5 2" xfId="6404" xr:uid="{0678A91E-97AD-4187-A8EE-C9B833CEA918}"/>
    <cellStyle name="40% - Akzent3 13 5 2 2" xfId="25841" xr:uid="{20212969-5CD9-487B-B85A-5E2EF9DF6F20}"/>
    <cellStyle name="40% - Akzent3 13 5 3" xfId="25840" xr:uid="{41787781-C5F4-49DD-8ADE-38CA4CB76878}"/>
    <cellStyle name="40% - Akzent3 13 6" xfId="6405" xr:uid="{9DCB62B5-1305-4966-8586-5D03E76A6693}"/>
    <cellStyle name="40% - Akzent3 13 6 2" xfId="6406" xr:uid="{0E6BAEA7-C8A3-44CE-B146-2C7544BD381E}"/>
    <cellStyle name="40% - Akzent3 13 6 2 2" xfId="25843" xr:uid="{3E649236-1A74-4390-B1A2-803D99691C1C}"/>
    <cellStyle name="40% - Akzent3 13 6 3" xfId="25842" xr:uid="{ADD1F275-1276-4059-B4B8-3EDDA7B8DCCD}"/>
    <cellStyle name="40% - Akzent3 13 7" xfId="6407" xr:uid="{61521779-35AB-4E98-BC07-C207F1C5A902}"/>
    <cellStyle name="40% - Akzent3 13 7 2" xfId="6408" xr:uid="{A4D82B77-5C80-4D1E-8D23-C75298C22718}"/>
    <cellStyle name="40% - Akzent3 13 7 2 2" xfId="25845" xr:uid="{7AC7CB2A-04CB-444F-9D95-CC6B0D3DCB61}"/>
    <cellStyle name="40% - Akzent3 13 7 3" xfId="25844" xr:uid="{BAF379A5-349E-479D-8C95-6B65A459B6B2}"/>
    <cellStyle name="40% - Akzent3 13 8" xfId="6409" xr:uid="{E98489A3-FD05-4918-920E-17AB8BE4B41E}"/>
    <cellStyle name="40% - Akzent3 13 8 2" xfId="6410" xr:uid="{38261496-B8D7-42B5-8EB7-08787F389D8C}"/>
    <cellStyle name="40% - Akzent3 13 8 2 2" xfId="25847" xr:uid="{3FF1C9D1-15A6-4ABB-B630-60F2BB080C2E}"/>
    <cellStyle name="40% - Akzent3 13 8 3" xfId="25846" xr:uid="{BB8B3F4E-90EB-48DA-9BE7-0893678F77AD}"/>
    <cellStyle name="40% - Akzent3 13 9" xfId="6411" xr:uid="{2A38C99F-4BB6-4E4F-BC8D-A9CB3750B6AD}"/>
    <cellStyle name="40% - Akzent3 13 9 2" xfId="6412" xr:uid="{A9ED17F9-B5F8-42FF-9159-745E3546AE67}"/>
    <cellStyle name="40% - Akzent3 13 9 2 2" xfId="25849" xr:uid="{3419584E-B6D8-40C9-B5F4-64C55918E5D7}"/>
    <cellStyle name="40% - Akzent3 13 9 3" xfId="25848" xr:uid="{9E3AE3C3-2829-4E0D-84CE-56FC340B192F}"/>
    <cellStyle name="40% - Akzent3 14" xfId="6413" xr:uid="{F66149C4-11AF-480C-8F4C-CEDA3F2A7273}"/>
    <cellStyle name="40% - Akzent3 14 2" xfId="6414" xr:uid="{AEA68589-56A6-4F43-B234-06DCB0A3AFD7}"/>
    <cellStyle name="40% - Akzent3 14 2 2" xfId="25851" xr:uid="{DC93BB7F-605E-44BE-A35A-B793E88DC4EA}"/>
    <cellStyle name="40% - Akzent3 14 3" xfId="6415" xr:uid="{03934DB1-76C6-49C9-8BB1-0A7573A63371}"/>
    <cellStyle name="40% - Akzent3 14 3 2" xfId="25852" xr:uid="{D3DE10C6-171E-48E3-A8BB-2A8842109E55}"/>
    <cellStyle name="40% - Akzent3 14 4" xfId="25850" xr:uid="{CD09AE82-B54D-47C3-8B57-E077A2685061}"/>
    <cellStyle name="40% - Akzent3 15" xfId="6416" xr:uid="{6CD5CF0A-2651-4283-A3C1-7F585E5EF32D}"/>
    <cellStyle name="40% - Akzent3 15 2" xfId="6417" xr:uid="{96B66A7B-6B9D-42C0-B0A5-5ED0B48302EB}"/>
    <cellStyle name="40% - Akzent3 15 2 2" xfId="25854" xr:uid="{37388ED1-434B-4D0C-B4D0-C215333EAA29}"/>
    <cellStyle name="40% - Akzent3 15 3" xfId="6418" xr:uid="{C252D54A-46F3-492B-84FD-06F1059F2248}"/>
    <cellStyle name="40% - Akzent3 15 3 2" xfId="25855" xr:uid="{561A5C40-A8CC-482D-BD50-81F91EC20EA7}"/>
    <cellStyle name="40% - Akzent3 15 4" xfId="25853" xr:uid="{CC9F335E-C57D-4DF5-912E-9C32DD8F3A50}"/>
    <cellStyle name="40% - Akzent3 16" xfId="6419" xr:uid="{E109882D-CB37-4069-80D8-559A6B3FB8B4}"/>
    <cellStyle name="40% - Akzent3 16 2" xfId="6420" xr:uid="{245B9A55-48F0-4D72-A02C-64E593002959}"/>
    <cellStyle name="40% - Akzent3 16 2 2" xfId="25857" xr:uid="{A8BB14FE-FC12-499A-BD00-51626E2A9225}"/>
    <cellStyle name="40% - Akzent3 16 3" xfId="6421" xr:uid="{6691CF60-8D8B-42B5-B228-95ED576F051C}"/>
    <cellStyle name="40% - Akzent3 16 3 2" xfId="25858" xr:uid="{2BF37217-31E4-4EB8-9887-42772D2419B9}"/>
    <cellStyle name="40% - Akzent3 16 4" xfId="25856" xr:uid="{387DD204-79AF-48C0-B249-7120A3CBB38B}"/>
    <cellStyle name="40% - Akzent3 17" xfId="6422" xr:uid="{CE20D79D-AF16-4B4F-8ABB-C2E17E1967B1}"/>
    <cellStyle name="40% - Akzent3 17 2" xfId="6423" xr:uid="{AC208612-A216-473A-BB9A-DCF83254A936}"/>
    <cellStyle name="40% - Akzent3 17 2 2" xfId="25860" xr:uid="{08F57744-B81F-42E4-941C-056ADBA32008}"/>
    <cellStyle name="40% - Akzent3 17 3" xfId="6424" xr:uid="{BF846D62-3B37-40E3-B27F-A134B8149A78}"/>
    <cellStyle name="40% - Akzent3 17 3 2" xfId="25861" xr:uid="{849DBE81-75AA-4876-8C3C-ABD62AB99E2A}"/>
    <cellStyle name="40% - Akzent3 17 4" xfId="25859" xr:uid="{0E8B0228-1141-445D-910B-73270DCAD8BF}"/>
    <cellStyle name="40% - Akzent3 18" xfId="6425" xr:uid="{12D030EB-7DCF-4DDA-A44C-E034FDE59AE0}"/>
    <cellStyle name="40% - Akzent3 18 2" xfId="6426" xr:uid="{F9C34DB5-92DC-42C1-A265-FCA828872677}"/>
    <cellStyle name="40% - Akzent3 18 2 2" xfId="25863" xr:uid="{9899A3CD-07E2-4830-BF75-1880AA1990B4}"/>
    <cellStyle name="40% - Akzent3 18 3" xfId="6427" xr:uid="{EC5D6615-EFE6-4C6C-A1A0-CFBB30A41802}"/>
    <cellStyle name="40% - Akzent3 18 3 2" xfId="25864" xr:uid="{BB53CE71-CAD1-4596-88F2-F978E42FE3CF}"/>
    <cellStyle name="40% - Akzent3 18 4" xfId="25862" xr:uid="{826DA55C-52A4-4EBA-9E23-5345B8DB4601}"/>
    <cellStyle name="40% - Akzent3 19" xfId="6428" xr:uid="{B3497D4D-ABE8-4AE5-A39B-81C746FD291E}"/>
    <cellStyle name="40% - Akzent3 19 2" xfId="6429" xr:uid="{15E9D6E3-6E99-47EC-9746-E776A4586ECE}"/>
    <cellStyle name="40% - Akzent3 19 2 2" xfId="25866" xr:uid="{AB7E6002-0C73-4AC9-B6B3-5AECD96E8160}"/>
    <cellStyle name="40% - Akzent3 19 3" xfId="6430" xr:uid="{5A4350A6-7323-49EC-B534-107A7192FA3A}"/>
    <cellStyle name="40% - Akzent3 19 3 2" xfId="25867" xr:uid="{46D3F1CC-CD0E-4B2D-965F-D63303A58D87}"/>
    <cellStyle name="40% - Akzent3 19 4" xfId="25865" xr:uid="{DA3B258B-BC98-4704-A17C-5C7D2FCDE1C7}"/>
    <cellStyle name="40% - Akzent3 2" xfId="102" xr:uid="{35D31FD5-BA4C-4266-B57A-9375A0C25597}"/>
    <cellStyle name="40% - Akzent3 2 10" xfId="6432" xr:uid="{60AE5741-6417-46BD-AF8C-AA7AFFC9FA50}"/>
    <cellStyle name="40% - Akzent3 2 10 2" xfId="6433" xr:uid="{41921D22-9093-4C32-B481-F48C61A48863}"/>
    <cellStyle name="40% - Akzent3 2 10 2 2" xfId="25870" xr:uid="{7C03F7C5-1952-4F2C-97FA-85FCD2949562}"/>
    <cellStyle name="40% - Akzent3 2 10 3" xfId="25869" xr:uid="{B7986B57-CC43-43E9-8FC6-201AC7AEFBCA}"/>
    <cellStyle name="40% - Akzent3 2 11" xfId="6434" xr:uid="{BAB9132A-28D5-452D-95C5-56717F11E39E}"/>
    <cellStyle name="40% - Akzent3 2 11 2" xfId="6435" xr:uid="{C2AC9C9C-703B-4B96-900D-3CC172305413}"/>
    <cellStyle name="40% - Akzent3 2 11 2 2" xfId="25872" xr:uid="{5E80ECAB-6D8B-4BC3-A66A-76846343D1DC}"/>
    <cellStyle name="40% - Akzent3 2 11 3" xfId="25871" xr:uid="{34467CF6-F5C1-460B-B700-CF99EA33A7E7}"/>
    <cellStyle name="40% - Akzent3 2 12" xfId="6436" xr:uid="{B9E987CE-725A-4E0B-8543-93DEADEA9776}"/>
    <cellStyle name="40% - Akzent3 2 12 2" xfId="6437" xr:uid="{0789C46C-F037-4494-A34B-88D62445245A}"/>
    <cellStyle name="40% - Akzent3 2 12 2 2" xfId="25874" xr:uid="{612CCA2B-877F-4B26-9060-7CFE042AB4F9}"/>
    <cellStyle name="40% - Akzent3 2 12 3" xfId="25873" xr:uid="{2965A326-4D48-4E95-A919-86CC1B676128}"/>
    <cellStyle name="40% - Akzent3 2 13" xfId="6438" xr:uid="{94FA7FF7-553C-4480-9477-05147555523B}"/>
    <cellStyle name="40% - Akzent3 2 13 2" xfId="6439" xr:uid="{3537CB07-0559-402C-8E44-A5F3FC075B59}"/>
    <cellStyle name="40% - Akzent3 2 13 2 2" xfId="25876" xr:uid="{9ED1343C-2EE1-4E00-8C77-FDDD08EE7E5B}"/>
    <cellStyle name="40% - Akzent3 2 13 3" xfId="25875" xr:uid="{F29102F1-C1C1-4458-BA0C-588811B37EB1}"/>
    <cellStyle name="40% - Akzent3 2 14" xfId="6440" xr:uid="{765D3A00-858F-4335-BF72-586B27C92B45}"/>
    <cellStyle name="40% - Akzent3 2 14 2" xfId="6441" xr:uid="{77497714-C174-4193-BB2C-C30E98822903}"/>
    <cellStyle name="40% - Akzent3 2 14 2 2" xfId="25878" xr:uid="{266FA2DD-A22E-4146-AA60-3B7D0485F1C4}"/>
    <cellStyle name="40% - Akzent3 2 14 3" xfId="25877" xr:uid="{17B5666F-997E-424B-A991-950263224F11}"/>
    <cellStyle name="40% - Akzent3 2 15" xfId="6442" xr:uid="{BE562BDE-E738-449C-8282-307357730C3F}"/>
    <cellStyle name="40% - Akzent3 2 15 2" xfId="6443" xr:uid="{DC1CD69A-42E0-4E44-9AE8-3CFF09337CF7}"/>
    <cellStyle name="40% - Akzent3 2 15 2 2" xfId="25880" xr:uid="{B648E32C-E215-45A7-A913-64640F669C8E}"/>
    <cellStyle name="40% - Akzent3 2 15 3" xfId="25879" xr:uid="{34DFC142-5045-4BD5-BEAE-F6A49800FD27}"/>
    <cellStyle name="40% - Akzent3 2 16" xfId="6444" xr:uid="{8CFFE639-EBC8-4AE0-B5A5-CEF8F2B815E8}"/>
    <cellStyle name="40% - Akzent3 2 16 2" xfId="6445" xr:uid="{77523F14-3B37-488D-A0A1-70C3431FBEE7}"/>
    <cellStyle name="40% - Akzent3 2 16 2 2" xfId="25882" xr:uid="{DDDC17F1-9AA8-4CF9-824A-A0A82A2ECE0D}"/>
    <cellStyle name="40% - Akzent3 2 16 3" xfId="25881" xr:uid="{7FB22D23-5643-414E-8665-C89F7B6A884A}"/>
    <cellStyle name="40% - Akzent3 2 17" xfId="6446" xr:uid="{BB2C05FE-F9C0-4BF4-9C5F-C9650A714875}"/>
    <cellStyle name="40% - Akzent3 2 17 2" xfId="6447" xr:uid="{5C6CC7E8-9ACA-44B4-8975-9316FFB28C22}"/>
    <cellStyle name="40% - Akzent3 2 17 2 2" xfId="25884" xr:uid="{56C41073-3F00-4DF6-8333-37E4FCA04616}"/>
    <cellStyle name="40% - Akzent3 2 17 3" xfId="25883" xr:uid="{2B85B6F4-10C0-45AE-BAF3-23284F7C5550}"/>
    <cellStyle name="40% - Akzent3 2 18" xfId="6448" xr:uid="{711E76B0-E50B-4DA0-979E-7F9E633A8F67}"/>
    <cellStyle name="40% - Akzent3 2 18 2" xfId="6449" xr:uid="{A36E714B-92DB-449F-9B58-4C72C13EAC6B}"/>
    <cellStyle name="40% - Akzent3 2 18 2 2" xfId="25886" xr:uid="{28E27EEE-741C-479C-8869-6B154C8AC8DE}"/>
    <cellStyle name="40% - Akzent3 2 18 3" xfId="25885" xr:uid="{A41F2541-DB31-47A8-ADBD-12882875A9A8}"/>
    <cellStyle name="40% - Akzent3 2 19" xfId="6450" xr:uid="{566D22C4-5D64-45EB-876D-1BE5A9699D75}"/>
    <cellStyle name="40% - Akzent3 2 19 2" xfId="6451" xr:uid="{B1942F2A-6C9E-49AA-8E71-1AC94DE431C2}"/>
    <cellStyle name="40% - Akzent3 2 19 2 2" xfId="25888" xr:uid="{EDF0A67C-EFB4-4DFC-879A-4165C05C64B3}"/>
    <cellStyle name="40% - Akzent3 2 19 3" xfId="25887" xr:uid="{D64C1098-E2E4-479C-BE2D-59806FC2E898}"/>
    <cellStyle name="40% - Akzent3 2 2" xfId="6452" xr:uid="{F7C52183-FB65-4446-AF8C-35BA7E85A4D9}"/>
    <cellStyle name="40% - Akzent3 2 2 10" xfId="6453" xr:uid="{C4B753FF-86BF-46BE-93DD-F7F0EF033982}"/>
    <cellStyle name="40% - Akzent3 2 2 10 2" xfId="25890" xr:uid="{BDAFBF1C-B4F7-4443-84D0-E2C966725AEB}"/>
    <cellStyle name="40% - Akzent3 2 2 11" xfId="6454" xr:uid="{8E99ABC6-3BB4-4BEC-B3CA-25363898C0E3}"/>
    <cellStyle name="40% - Akzent3 2 2 11 2" xfId="25891" xr:uid="{6B7C8602-B472-437D-AA1F-A1EF4B2B69B4}"/>
    <cellStyle name="40% - Akzent3 2 2 12" xfId="6455" xr:uid="{453155D7-6787-4331-9405-682C14AA6E5D}"/>
    <cellStyle name="40% - Akzent3 2 2 12 2" xfId="25892" xr:uid="{626E97EF-45A2-4B8F-B35F-69BD951203AA}"/>
    <cellStyle name="40% - Akzent3 2 2 13" xfId="6456" xr:uid="{F037BBAB-69B8-4369-8B84-B255387527FE}"/>
    <cellStyle name="40% - Akzent3 2 2 13 2" xfId="6457" xr:uid="{BA5385CC-F0C8-4477-B76C-E92C974AC9FE}"/>
    <cellStyle name="40% - Akzent3 2 2 13 2 2" xfId="25894" xr:uid="{9001F2BA-D311-4A5A-A8ED-753AAAEC89E3}"/>
    <cellStyle name="40% - Akzent3 2 2 13 3" xfId="25893" xr:uid="{71BCD72A-F251-48DA-9163-C119C1ACF929}"/>
    <cellStyle name="40% - Akzent3 2 2 14" xfId="6458" xr:uid="{1C7C3709-846D-460A-A1C3-33D512FB8729}"/>
    <cellStyle name="40% - Akzent3 2 2 14 2" xfId="6459" xr:uid="{99D35D2B-22BF-40A5-BCEF-8B42E2FA29CE}"/>
    <cellStyle name="40% - Akzent3 2 2 14 2 2" xfId="25896" xr:uid="{461CAF5C-7F96-4CCF-A55E-440CE6533AD6}"/>
    <cellStyle name="40% - Akzent3 2 2 14 3" xfId="25895" xr:uid="{43011F04-1E6E-46AD-A0D9-8CA573DFBA21}"/>
    <cellStyle name="40% - Akzent3 2 2 15" xfId="6460" xr:uid="{94B4BDBE-B5F8-4AFC-9EC3-DEBF5299C0A6}"/>
    <cellStyle name="40% - Akzent3 2 2 15 2" xfId="6461" xr:uid="{C128E24E-BE57-49E3-9A09-1D704ED4A12D}"/>
    <cellStyle name="40% - Akzent3 2 2 15 2 2" xfId="25898" xr:uid="{BB2DF593-547D-4637-AFF9-92F81BEB83F6}"/>
    <cellStyle name="40% - Akzent3 2 2 15 3" xfId="25897" xr:uid="{E231CA3B-89CF-4347-A62C-19319B91C5FD}"/>
    <cellStyle name="40% - Akzent3 2 2 16" xfId="6462" xr:uid="{865D507B-2911-4256-825B-981464035357}"/>
    <cellStyle name="40% - Akzent3 2 2 16 2" xfId="6463" xr:uid="{7B96C6B6-3BCC-47B9-AB90-6ECCEBF1A5B3}"/>
    <cellStyle name="40% - Akzent3 2 2 16 2 2" xfId="25900" xr:uid="{52240F3A-452B-4E50-9045-34F90207D9AC}"/>
    <cellStyle name="40% - Akzent3 2 2 16 3" xfId="25899" xr:uid="{752E60B4-F7EF-4712-AC1A-B188A0FA1A7F}"/>
    <cellStyle name="40% - Akzent3 2 2 17" xfId="6464" xr:uid="{2F4B9F0B-2180-4465-ACBB-FCFFE49448C2}"/>
    <cellStyle name="40% - Akzent3 2 2 17 2" xfId="6465" xr:uid="{885CA31D-9014-4FA6-B3F9-062FD2D00A75}"/>
    <cellStyle name="40% - Akzent3 2 2 17 2 2" xfId="25902" xr:uid="{EE7FAF39-0822-4A4D-B731-925E3D15E4B1}"/>
    <cellStyle name="40% - Akzent3 2 2 17 3" xfId="25901" xr:uid="{F968BFAE-B320-42D4-A1A6-DA717EFD0357}"/>
    <cellStyle name="40% - Akzent3 2 2 18" xfId="6466" xr:uid="{D3C633B7-FDC7-4545-B616-853AC210B1BE}"/>
    <cellStyle name="40% - Akzent3 2 2 18 2" xfId="6467" xr:uid="{BB9EBCCC-0074-4C45-8A53-DDEECB1A6AEE}"/>
    <cellStyle name="40% - Akzent3 2 2 18 2 2" xfId="25904" xr:uid="{65C95E1F-B528-40AA-986D-2ED1C4F71159}"/>
    <cellStyle name="40% - Akzent3 2 2 18 3" xfId="25903" xr:uid="{0867A63B-1476-4D70-BD2D-962B4C860801}"/>
    <cellStyle name="40% - Akzent3 2 2 19" xfId="6468" xr:uid="{60515511-EFA1-46BF-9EE9-03A5A6321D46}"/>
    <cellStyle name="40% - Akzent3 2 2 19 2" xfId="6469" xr:uid="{27E28CEC-0CAE-46DA-A707-00BF91308936}"/>
    <cellStyle name="40% - Akzent3 2 2 19 2 2" xfId="25906" xr:uid="{DCBD6B9A-7E3C-4ED9-8E72-43B2ADEA5221}"/>
    <cellStyle name="40% - Akzent3 2 2 19 3" xfId="25905" xr:uid="{CCA1B7AA-3D16-4E92-84F5-30FC64BA5D00}"/>
    <cellStyle name="40% - Akzent3 2 2 2" xfId="6470" xr:uid="{673B5C1F-32DF-426F-8E2E-E0D077BC5359}"/>
    <cellStyle name="40% - Akzent3 2 2 2 10" xfId="6471" xr:uid="{B725F66D-1358-4061-BE3A-180FEBB4B06A}"/>
    <cellStyle name="40% - Akzent3 2 2 2 10 2" xfId="6472" xr:uid="{3757A96A-399F-4967-9481-B88DB799E220}"/>
    <cellStyle name="40% - Akzent3 2 2 2 10 2 2" xfId="25909" xr:uid="{85814EA7-E4C6-47CE-96D4-EE2127A22849}"/>
    <cellStyle name="40% - Akzent3 2 2 2 10 3" xfId="25908" xr:uid="{23840756-D726-4F0A-A0C8-7C999A0A9D42}"/>
    <cellStyle name="40% - Akzent3 2 2 2 11" xfId="6473" xr:uid="{F901ACDD-C353-42A7-BE1D-5541C09DEDEF}"/>
    <cellStyle name="40% - Akzent3 2 2 2 11 2" xfId="25910" xr:uid="{B42FACBA-1423-4D3E-A290-FF8FCCE92550}"/>
    <cellStyle name="40% - Akzent3 2 2 2 12" xfId="25907" xr:uid="{E8A01973-D4D4-4848-8978-BCAA6B9023EC}"/>
    <cellStyle name="40% - Akzent3 2 2 2 13" xfId="39949" xr:uid="{B7BFFD81-42A6-4BB7-B3A8-9C452919103E}"/>
    <cellStyle name="40% - Akzent3 2 2 2 2" xfId="6474" xr:uid="{AE645F86-347F-4A34-A0F9-DF639D7F0DD7}"/>
    <cellStyle name="40% - Akzent3 2 2 2 2 10" xfId="40895" xr:uid="{13AF03E2-4AE0-4515-A9DE-86796F27A9F7}"/>
    <cellStyle name="40% - Akzent3 2 2 2 2 2" xfId="6475" xr:uid="{766C67F5-F1E3-468A-B864-A026C532C6DB}"/>
    <cellStyle name="40% - Akzent3 2 2 2 2 2 10" xfId="25912" xr:uid="{BA68AC80-1087-46A3-A4ED-3A3B7792D0DC}"/>
    <cellStyle name="40% - Akzent3 2 2 2 2 2 2" xfId="6476" xr:uid="{82159DEE-6A39-4102-834D-602A07E44154}"/>
    <cellStyle name="40% - Akzent3 2 2 2 2 2 2 2" xfId="6477" xr:uid="{37756332-6FD6-46CA-B4C5-DD52340BD6EF}"/>
    <cellStyle name="40% - Akzent3 2 2 2 2 2 2 2 2" xfId="6478" xr:uid="{63F57B37-8AE8-4839-B7DF-8BE768C51950}"/>
    <cellStyle name="40% - Akzent3 2 2 2 2 2 2 2 2 2" xfId="25915" xr:uid="{18BDF2A2-6C0E-4C13-BB3A-6EF16B34048F}"/>
    <cellStyle name="40% - Akzent3 2 2 2 2 2 2 2 3" xfId="25914" xr:uid="{9E182376-846B-456F-93E1-A6BAB24DBDD7}"/>
    <cellStyle name="40% - Akzent3 2 2 2 2 2 2 3" xfId="25913" xr:uid="{3D198BFA-A082-471E-A85B-34687ECE8729}"/>
    <cellStyle name="40% - Akzent3 2 2 2 2 2 3" xfId="6479" xr:uid="{DD34E084-7DFB-440A-9304-8B5ECF5CF8B0}"/>
    <cellStyle name="40% - Akzent3 2 2 2 2 2 3 2" xfId="6480" xr:uid="{39D057CC-F59F-4165-869E-1FBABA924BF9}"/>
    <cellStyle name="40% - Akzent3 2 2 2 2 2 3 2 2" xfId="25917" xr:uid="{A6E5DBCA-B838-41BE-8636-BF6CEEC3ECBD}"/>
    <cellStyle name="40% - Akzent3 2 2 2 2 2 3 3" xfId="25916" xr:uid="{1C7CDD7B-E0AE-41EF-97C6-818A389F3B34}"/>
    <cellStyle name="40% - Akzent3 2 2 2 2 2 4" xfId="6481" xr:uid="{A34E28D1-B4C7-4848-9910-DB825A09E3CE}"/>
    <cellStyle name="40% - Akzent3 2 2 2 2 2 4 2" xfId="6482" xr:uid="{4B795252-4E8B-4C05-B2B3-1F03D62431B8}"/>
    <cellStyle name="40% - Akzent3 2 2 2 2 2 4 2 2" xfId="25919" xr:uid="{9A0E16A1-173C-4726-841B-E4F24A1FB8A3}"/>
    <cellStyle name="40% - Akzent3 2 2 2 2 2 4 3" xfId="25918" xr:uid="{AFE26C0F-C58D-4DFA-B86B-0FA422CF421D}"/>
    <cellStyle name="40% - Akzent3 2 2 2 2 2 5" xfId="6483" xr:uid="{4CDB4EE2-BD48-4AED-A787-F33997B70686}"/>
    <cellStyle name="40% - Akzent3 2 2 2 2 2 5 2" xfId="6484" xr:uid="{6D1410BD-6E55-4833-86CC-5976888A5733}"/>
    <cellStyle name="40% - Akzent3 2 2 2 2 2 5 2 2" xfId="25921" xr:uid="{8C1F8C39-B638-491C-9B17-93E7C4A0164C}"/>
    <cellStyle name="40% - Akzent3 2 2 2 2 2 5 3" xfId="25920" xr:uid="{F6F52E18-3F08-4E77-9618-8074C872B0CA}"/>
    <cellStyle name="40% - Akzent3 2 2 2 2 2 6" xfId="6485" xr:uid="{76EABD7F-34B4-4DB2-9F4E-035C0DAA31C5}"/>
    <cellStyle name="40% - Akzent3 2 2 2 2 2 6 2" xfId="6486" xr:uid="{DC7E905C-29D1-4A8E-9213-0EB82CD08B1C}"/>
    <cellStyle name="40% - Akzent3 2 2 2 2 2 6 2 2" xfId="25923" xr:uid="{11AB656D-C388-4AC7-B651-646486C9D469}"/>
    <cellStyle name="40% - Akzent3 2 2 2 2 2 6 3" xfId="25922" xr:uid="{A5C670A9-7F79-4CBA-9CA2-7376B28F4876}"/>
    <cellStyle name="40% - Akzent3 2 2 2 2 2 7" xfId="6487" xr:uid="{10D91984-9579-4933-A27B-47F550E4CA1A}"/>
    <cellStyle name="40% - Akzent3 2 2 2 2 2 7 2" xfId="6488" xr:uid="{E526CB99-11DA-437F-8746-53A0651DB9BC}"/>
    <cellStyle name="40% - Akzent3 2 2 2 2 2 7 2 2" xfId="25925" xr:uid="{B770018C-9188-483E-BAAE-6E2FD76A5EE9}"/>
    <cellStyle name="40% - Akzent3 2 2 2 2 2 7 3" xfId="25924" xr:uid="{A7FE33A2-40C9-481B-8853-BE3417747897}"/>
    <cellStyle name="40% - Akzent3 2 2 2 2 2 8" xfId="6489" xr:uid="{138B9404-E214-4DD6-95B1-E2502567D716}"/>
    <cellStyle name="40% - Akzent3 2 2 2 2 2 8 2" xfId="6490" xr:uid="{E14EDC72-C03A-4268-A85F-7E7915B08544}"/>
    <cellStyle name="40% - Akzent3 2 2 2 2 2 8 2 2" xfId="25927" xr:uid="{76603908-001C-4299-AD10-9CBCA17D79B1}"/>
    <cellStyle name="40% - Akzent3 2 2 2 2 2 8 3" xfId="25926" xr:uid="{E13E1FE6-6073-4ED9-968A-1BF1970714E3}"/>
    <cellStyle name="40% - Akzent3 2 2 2 2 2 9" xfId="6491" xr:uid="{6E1D05CB-C858-4E4C-8641-5FC7006B63F9}"/>
    <cellStyle name="40% - Akzent3 2 2 2 2 2 9 2" xfId="25928" xr:uid="{BE5A6A8C-72D1-4B28-98A6-426356AC2FF7}"/>
    <cellStyle name="40% - Akzent3 2 2 2 2 3" xfId="6492" xr:uid="{99439903-E1EC-4654-89E1-3CCBEA7DA958}"/>
    <cellStyle name="40% - Akzent3 2 2 2 2 3 2" xfId="6493" xr:uid="{D89FF65D-B058-4034-B61D-A1D174FE31C8}"/>
    <cellStyle name="40% - Akzent3 2 2 2 2 3 2 2" xfId="25930" xr:uid="{C3123192-3964-4F2E-825B-648F29E1C755}"/>
    <cellStyle name="40% - Akzent3 2 2 2 2 3 3" xfId="6494" xr:uid="{4FA43FC1-1AB8-454F-95B1-2245635991AE}"/>
    <cellStyle name="40% - Akzent3 2 2 2 2 3 3 2" xfId="25931" xr:uid="{8F522A88-804B-4801-9747-439930483899}"/>
    <cellStyle name="40% - Akzent3 2 2 2 2 3 4" xfId="25929" xr:uid="{2620B0AB-6896-4EA6-8B82-1A35C94327A3}"/>
    <cellStyle name="40% - Akzent3 2 2 2 2 4" xfId="6495" xr:uid="{7D583F73-D434-457E-8F68-AD974D936C55}"/>
    <cellStyle name="40% - Akzent3 2 2 2 2 4 2" xfId="25932" xr:uid="{6B00EBF6-ACAC-4008-B224-41727EDADD91}"/>
    <cellStyle name="40% - Akzent3 2 2 2 2 5" xfId="6496" xr:uid="{7C6315B5-B280-45C6-A313-17588275D617}"/>
    <cellStyle name="40% - Akzent3 2 2 2 2 5 2" xfId="25933" xr:uid="{45601B8E-D891-4EEE-A66E-74ADDF3BEB5E}"/>
    <cellStyle name="40% - Akzent3 2 2 2 2 6" xfId="6497" xr:uid="{D0E71046-8E60-46F9-B865-5239F97228F8}"/>
    <cellStyle name="40% - Akzent3 2 2 2 2 6 2" xfId="25934" xr:uid="{AAAB0A2E-CF09-4471-8524-C48E75E70366}"/>
    <cellStyle name="40% - Akzent3 2 2 2 2 7" xfId="6498" xr:uid="{2C9F972F-77CA-4BA7-91CE-7AECEEE1B342}"/>
    <cellStyle name="40% - Akzent3 2 2 2 2 7 2" xfId="25935" xr:uid="{10D02CDD-F3FB-4687-B2F0-7B5A628D3C09}"/>
    <cellStyle name="40% - Akzent3 2 2 2 2 8" xfId="6499" xr:uid="{8F0AC80D-6860-4774-910C-23AAE82B4478}"/>
    <cellStyle name="40% - Akzent3 2 2 2 2 8 2" xfId="25936" xr:uid="{42A0EE87-72B8-471E-87C6-5227056F164E}"/>
    <cellStyle name="40% - Akzent3 2 2 2 2 9" xfId="25911" xr:uid="{C9E99917-02A8-4327-9988-7FC0A78F71E2}"/>
    <cellStyle name="40% - Akzent3 2 2 2 3" xfId="6500" xr:uid="{5A7DEE65-9C3E-48F9-84A8-69C91653C844}"/>
    <cellStyle name="40% - Akzent3 2 2 2 3 2" xfId="6501" xr:uid="{284BFD89-53FF-4662-B90C-1FA9D48D882F}"/>
    <cellStyle name="40% - Akzent3 2 2 2 3 2 2" xfId="25938" xr:uid="{22E12F06-4E56-4169-B8AC-E04E183EE890}"/>
    <cellStyle name="40% - Akzent3 2 2 2 3 3" xfId="25937" xr:uid="{CCAC9A20-A849-4536-AE69-A5DFBB7CED51}"/>
    <cellStyle name="40% - Akzent3 2 2 2 3 4" xfId="41755" xr:uid="{20C0498D-5288-40DD-8EDF-FC4DCC1EFE58}"/>
    <cellStyle name="40% - Akzent3 2 2 2 4" xfId="6502" xr:uid="{CB9A1BED-0425-4E19-BE0A-05F6B5D23E0E}"/>
    <cellStyle name="40% - Akzent3 2 2 2 4 2" xfId="6503" xr:uid="{3BDE9586-84B5-4673-A923-550B0825E490}"/>
    <cellStyle name="40% - Akzent3 2 2 2 4 2 2" xfId="25940" xr:uid="{01C03D85-C379-4065-99F0-C8F26C8865C6}"/>
    <cellStyle name="40% - Akzent3 2 2 2 4 3" xfId="25939" xr:uid="{353B2299-76D7-468E-9C9C-B223B250024F}"/>
    <cellStyle name="40% - Akzent3 2 2 2 5" xfId="6504" xr:uid="{F66DA536-E65F-42E3-8BD4-A820AFF68449}"/>
    <cellStyle name="40% - Akzent3 2 2 2 5 2" xfId="6505" xr:uid="{D1A5F464-DDA3-499E-8882-6635B3C7D889}"/>
    <cellStyle name="40% - Akzent3 2 2 2 5 2 2" xfId="6506" xr:uid="{E783CC54-0856-43CE-87A0-063F5033083A}"/>
    <cellStyle name="40% - Akzent3 2 2 2 5 2 2 2" xfId="25943" xr:uid="{B376549E-6B29-4533-B9E2-48ADE89486B5}"/>
    <cellStyle name="40% - Akzent3 2 2 2 5 2 3" xfId="25942" xr:uid="{34D796E6-A883-4320-9AB3-DC97C555CFC0}"/>
    <cellStyle name="40% - Akzent3 2 2 2 5 3" xfId="25941" xr:uid="{ED79AED1-020E-4153-B84B-12E4FD2EED95}"/>
    <cellStyle name="40% - Akzent3 2 2 2 6" xfId="6507" xr:uid="{DB80BAC7-E959-461E-9BC0-FD1552934ADA}"/>
    <cellStyle name="40% - Akzent3 2 2 2 6 2" xfId="6508" xr:uid="{245DE115-18E0-4C7A-A3DF-4C440F85CCE0}"/>
    <cellStyle name="40% - Akzent3 2 2 2 6 2 2" xfId="25945" xr:uid="{72AD7EED-A9A1-4CA1-877F-7D2047D15C13}"/>
    <cellStyle name="40% - Akzent3 2 2 2 6 3" xfId="25944" xr:uid="{1F79DBA0-F2E9-4C60-A536-37CA81E2A372}"/>
    <cellStyle name="40% - Akzent3 2 2 2 7" xfId="6509" xr:uid="{65DB969C-5316-422B-8C8C-395C142DADC0}"/>
    <cellStyle name="40% - Akzent3 2 2 2 7 2" xfId="6510" xr:uid="{6B0C6405-335C-4941-8050-AAB90F47A924}"/>
    <cellStyle name="40% - Akzent3 2 2 2 7 2 2" xfId="25947" xr:uid="{0AE152B6-109D-4F9F-A440-AAFD90077528}"/>
    <cellStyle name="40% - Akzent3 2 2 2 7 3" xfId="25946" xr:uid="{BD7FB146-9C47-409C-B34F-28C5DA1889A5}"/>
    <cellStyle name="40% - Akzent3 2 2 2 8" xfId="6511" xr:uid="{092378DA-BBB5-47ED-A4BD-2681C1DDDDD5}"/>
    <cellStyle name="40% - Akzent3 2 2 2 8 2" xfId="6512" xr:uid="{08F56861-2B94-413A-AB3F-1B092C52512D}"/>
    <cellStyle name="40% - Akzent3 2 2 2 8 2 2" xfId="25949" xr:uid="{A9D1C9E0-18FC-45D7-B873-92351CB9FA1E}"/>
    <cellStyle name="40% - Akzent3 2 2 2 8 3" xfId="25948" xr:uid="{5E691DB8-AD39-41FE-9AF1-027D031042D9}"/>
    <cellStyle name="40% - Akzent3 2 2 2 9" xfId="6513" xr:uid="{5AD4B232-ADD0-44D0-872D-1F029147D5F9}"/>
    <cellStyle name="40% - Akzent3 2 2 2 9 2" xfId="6514" xr:uid="{405BB9CC-B75E-4302-94B8-CA9E76DA1AD7}"/>
    <cellStyle name="40% - Akzent3 2 2 2 9 2 2" xfId="25951" xr:uid="{6EFD4485-F8CC-464F-8207-66591DC4774C}"/>
    <cellStyle name="40% - Akzent3 2 2 2 9 3" xfId="25950" xr:uid="{DF611B4C-4B86-4ACC-A79F-8AEE8955745B}"/>
    <cellStyle name="40% - Akzent3 2 2 20" xfId="6515" xr:uid="{F7C96D72-67D5-428F-9061-E704F9D8FADC}"/>
    <cellStyle name="40% - Akzent3 2 2 20 2" xfId="6516" xr:uid="{DFE4099F-BAA2-4A6D-ACC6-E7218AD535C4}"/>
    <cellStyle name="40% - Akzent3 2 2 20 2 2" xfId="25953" xr:uid="{2C992127-77D8-43D1-8466-2B8A54B6C648}"/>
    <cellStyle name="40% - Akzent3 2 2 20 3" xfId="25952" xr:uid="{CF0428CC-20FA-46E2-A087-9B4DB82FAD7D}"/>
    <cellStyle name="40% - Akzent3 2 2 21" xfId="6517" xr:uid="{F05ABBA5-F843-44DE-A74F-5ED1E06F4E18}"/>
    <cellStyle name="40% - Akzent3 2 2 21 2" xfId="6518" xr:uid="{6E66A120-F357-46D7-9B48-1169A9969ADA}"/>
    <cellStyle name="40% - Akzent3 2 2 21 2 2" xfId="25955" xr:uid="{089F7152-6AE3-4BB1-B2A0-BD8D88F7332E}"/>
    <cellStyle name="40% - Akzent3 2 2 21 3" xfId="25954" xr:uid="{70414252-796E-44A8-8EF8-E2B43212553A}"/>
    <cellStyle name="40% - Akzent3 2 2 22" xfId="6519" xr:uid="{AB89A483-AC91-4614-933C-A7C53F2F8925}"/>
    <cellStyle name="40% - Akzent3 2 2 22 2" xfId="25956" xr:uid="{8BC2CEEF-F906-4CF9-B8D1-C9ED51E61A49}"/>
    <cellStyle name="40% - Akzent3 2 2 23" xfId="25889" xr:uid="{C6115CC1-6CB7-49B7-8503-F6D52BC45DBE}"/>
    <cellStyle name="40% - Akzent3 2 2 24" xfId="39316" xr:uid="{158D969F-45FC-4796-A067-14B5B87D537D}"/>
    <cellStyle name="40% - Akzent3 2 2 3" xfId="6520" xr:uid="{EECD9511-73BE-4CB6-B933-151C1A2BBEAC}"/>
    <cellStyle name="40% - Akzent3 2 2 3 2" xfId="6521" xr:uid="{85F2280D-DEA8-4350-AFEC-163355422AE0}"/>
    <cellStyle name="40% - Akzent3 2 2 3 2 2" xfId="25958" xr:uid="{439BA9BD-75C2-493B-B2B4-83213FE912A2}"/>
    <cellStyle name="40% - Akzent3 2 2 3 3" xfId="25957" xr:uid="{C827C778-2B6F-4625-AB30-31314088A29F}"/>
    <cellStyle name="40% - Akzent3 2 2 3 4" xfId="40463" xr:uid="{127C6ABF-9096-43F2-AA9B-94DEEB706BD7}"/>
    <cellStyle name="40% - Akzent3 2 2 4" xfId="6522" xr:uid="{1E39AA6B-CABC-404F-8453-263B31D9DBD8}"/>
    <cellStyle name="40% - Akzent3 2 2 4 2" xfId="6523" xr:uid="{698945E0-4CFE-4430-88D7-9AC71B5552F3}"/>
    <cellStyle name="40% - Akzent3 2 2 4 2 2" xfId="25960" xr:uid="{BB0FFB8B-87ED-4818-8BD2-D083D26137C1}"/>
    <cellStyle name="40% - Akzent3 2 2 4 3" xfId="25959" xr:uid="{1D7A923C-5F63-432F-BDF9-1254E82332A5}"/>
    <cellStyle name="40% - Akzent3 2 2 4 4" xfId="41323" xr:uid="{BE879DE2-7700-4A56-A14C-7B551EADA7D8}"/>
    <cellStyle name="40% - Akzent3 2 2 5" xfId="6524" xr:uid="{56E2490E-469D-4527-AF2A-703CBF896AD1}"/>
    <cellStyle name="40% - Akzent3 2 2 5 2" xfId="6525" xr:uid="{A55D419C-5B2B-48B1-A0F4-6359235442E2}"/>
    <cellStyle name="40% - Akzent3 2 2 5 2 2" xfId="25962" xr:uid="{9DBB022E-671B-4768-B8F1-2A13EC1F8A7A}"/>
    <cellStyle name="40% - Akzent3 2 2 5 3" xfId="6526" xr:uid="{EC928F69-42C4-483B-83AF-C43E5F743411}"/>
    <cellStyle name="40% - Akzent3 2 2 5 3 2" xfId="25963" xr:uid="{EA7FF003-9D54-4345-8A23-6920DA018F66}"/>
    <cellStyle name="40% - Akzent3 2 2 5 4" xfId="25961" xr:uid="{916C41FE-89DE-4882-9BFD-2DB206147CD6}"/>
    <cellStyle name="40% - Akzent3 2 2 6" xfId="6527" xr:uid="{019AA20E-B43C-4842-B098-B5815C65339C}"/>
    <cellStyle name="40% - Akzent3 2 2 6 2" xfId="25964" xr:uid="{30994D03-A814-44B0-B93C-5FB53B9C0A09}"/>
    <cellStyle name="40% - Akzent3 2 2 7" xfId="6528" xr:uid="{51FF90F9-95F9-47CF-8561-0F9BB7D5C308}"/>
    <cellStyle name="40% - Akzent3 2 2 7 2" xfId="6529" xr:uid="{FAB7EC58-ACD4-46BA-B5B4-ADA1C2407908}"/>
    <cellStyle name="40% - Akzent3 2 2 7 2 2" xfId="25966" xr:uid="{CE71183A-550F-4CE0-A017-8C072AA291CD}"/>
    <cellStyle name="40% - Akzent3 2 2 7 3" xfId="6530" xr:uid="{5AD63563-E456-4878-BB4A-C66128754913}"/>
    <cellStyle name="40% - Akzent3 2 2 7 3 2" xfId="25967" xr:uid="{BC263757-6408-4F82-8522-C2BD2CAB7340}"/>
    <cellStyle name="40% - Akzent3 2 2 7 4" xfId="25965" xr:uid="{C4E78E1F-599E-42EA-AAC8-0DCDEEC4138A}"/>
    <cellStyle name="40% - Akzent3 2 2 8" xfId="6531" xr:uid="{034FFC64-035B-47E3-A703-A772DAA1AD21}"/>
    <cellStyle name="40% - Akzent3 2 2 8 2" xfId="25968" xr:uid="{9EF0D82A-66DE-4109-9239-058D5226E6AC}"/>
    <cellStyle name="40% - Akzent3 2 2 9" xfId="6532" xr:uid="{A93E9BE4-531C-48ED-AA34-A1A0C7966A02}"/>
    <cellStyle name="40% - Akzent3 2 2 9 2" xfId="25969" xr:uid="{481F56F9-B491-46C3-BE8E-FB0DC8244E92}"/>
    <cellStyle name="40% - Akzent3 2 20" xfId="6533" xr:uid="{F4F066D6-4200-46C7-A6C9-F5AA7039D07A}"/>
    <cellStyle name="40% - Akzent3 2 20 2" xfId="6534" xr:uid="{ADF2D562-3A35-4910-814D-7757B0D9E70F}"/>
    <cellStyle name="40% - Akzent3 2 20 2 2" xfId="25971" xr:uid="{0B868D3F-713C-4804-B0A0-219E67E8B769}"/>
    <cellStyle name="40% - Akzent3 2 20 3" xfId="25970" xr:uid="{BC202115-A6F3-4DE4-ADAB-07F2184AA2AD}"/>
    <cellStyle name="40% - Akzent3 2 21" xfId="6535" xr:uid="{1C359CF5-263B-467E-A67A-2F988931C674}"/>
    <cellStyle name="40% - Akzent3 2 21 2" xfId="6536" xr:uid="{DFD5A94F-433D-4A92-B27B-758DD8092AE0}"/>
    <cellStyle name="40% - Akzent3 2 21 2 2" xfId="25973" xr:uid="{9C84ED2D-952B-4F4D-A796-B1A58018BD5E}"/>
    <cellStyle name="40% - Akzent3 2 21 3" xfId="25972" xr:uid="{B0EF4A99-E7C6-4C06-A8AE-112B3BF338DD}"/>
    <cellStyle name="40% - Akzent3 2 22" xfId="6537" xr:uid="{7CBAEEAD-9CC0-4CCF-8EA1-DFE25FE30AC0}"/>
    <cellStyle name="40% - Akzent3 2 22 2" xfId="6538" xr:uid="{D89B2336-FB32-4840-91F3-4B74F54E3CA7}"/>
    <cellStyle name="40% - Akzent3 2 22 2 2" xfId="25975" xr:uid="{84501CA7-70B5-413C-A0CD-92264F6A71BB}"/>
    <cellStyle name="40% - Akzent3 2 22 3" xfId="25974" xr:uid="{FDA4E35B-F2EB-4E8D-867D-3D7E2D25178A}"/>
    <cellStyle name="40% - Akzent3 2 23" xfId="6539" xr:uid="{57B7241E-03E6-448A-8452-5D28B6B4F429}"/>
    <cellStyle name="40% - Akzent3 2 23 2" xfId="6540" xr:uid="{06ACF94F-4D7C-4042-BD58-02005A66361F}"/>
    <cellStyle name="40% - Akzent3 2 23 2 2" xfId="25977" xr:uid="{60CC0A5E-4D89-4B57-9B02-FA694B418E20}"/>
    <cellStyle name="40% - Akzent3 2 23 3" xfId="25976" xr:uid="{7399DC43-0B09-495A-A179-72D7C85EEA89}"/>
    <cellStyle name="40% - Akzent3 2 24" xfId="6541" xr:uid="{9F96FCF1-C710-41DF-83C6-CAB8C488A431}"/>
    <cellStyle name="40% - Akzent3 2 24 2" xfId="25978" xr:uid="{59C02CB6-EECC-4656-8917-EE59CD5486DB}"/>
    <cellStyle name="40% - Akzent3 2 25" xfId="25868" xr:uid="{17EE9A82-DACF-4423-A4AA-35F8DFECCA11}"/>
    <cellStyle name="40% - Akzent3 2 26" xfId="39315" xr:uid="{3CCDA97A-BF23-44C3-8A83-F034427F6707}"/>
    <cellStyle name="40% - Akzent3 2 27" xfId="6431" xr:uid="{57F8ABD5-DF20-4DB7-99C9-7A362E566313}"/>
    <cellStyle name="40% - Akzent3 2 3" xfId="6542" xr:uid="{8F8D3A10-BAE7-44E7-84F2-B2F1D326E9FF}"/>
    <cellStyle name="40% - Akzent3 2 3 10" xfId="6543" xr:uid="{1B7A3C99-DE7E-4369-A58F-2EB2A3E5AB70}"/>
    <cellStyle name="40% - Akzent3 2 3 10 2" xfId="6544" xr:uid="{A2EC0FEB-9F5C-4EF0-8AD1-0EE39DBA56F6}"/>
    <cellStyle name="40% - Akzent3 2 3 10 2 2" xfId="25981" xr:uid="{E0B05732-978B-4EF3-A381-981A19142A54}"/>
    <cellStyle name="40% - Akzent3 2 3 10 3" xfId="25980" xr:uid="{DD3D59AF-C492-46A7-B984-048242B6F57D}"/>
    <cellStyle name="40% - Akzent3 2 3 11" xfId="6545" xr:uid="{470B7939-570D-46B8-8CC7-A2711140E08E}"/>
    <cellStyle name="40% - Akzent3 2 3 11 2" xfId="6546" xr:uid="{07286F40-AAF8-4178-A185-6636DEDFE812}"/>
    <cellStyle name="40% - Akzent3 2 3 11 2 2" xfId="25983" xr:uid="{5ED5841C-C32C-4550-8CC9-ADBAA4CFD4A2}"/>
    <cellStyle name="40% - Akzent3 2 3 11 3" xfId="25982" xr:uid="{0F835C45-02E1-4F9A-B56F-E3DCB62E9619}"/>
    <cellStyle name="40% - Akzent3 2 3 12" xfId="6547" xr:uid="{F3B7289E-5E27-4B75-8DBB-6BC164DFEC2B}"/>
    <cellStyle name="40% - Akzent3 2 3 12 2" xfId="6548" xr:uid="{5BA41164-05D7-4786-8A38-44CA78B021BD}"/>
    <cellStyle name="40% - Akzent3 2 3 12 2 2" xfId="25985" xr:uid="{360C555F-1D8D-47A4-A10D-AD85630E386F}"/>
    <cellStyle name="40% - Akzent3 2 3 12 3" xfId="25984" xr:uid="{69F7DCAA-192A-4C0D-B23E-43117AD9B493}"/>
    <cellStyle name="40% - Akzent3 2 3 13" xfId="6549" xr:uid="{11034334-CABE-4B6B-86F1-64F2C1CD7549}"/>
    <cellStyle name="40% - Akzent3 2 3 13 2" xfId="6550" xr:uid="{47F75C87-279A-4AAF-9181-EC3B83514334}"/>
    <cellStyle name="40% - Akzent3 2 3 13 2 2" xfId="25987" xr:uid="{32C6D1A1-0B8C-43E0-A976-CD5BA43DDE83}"/>
    <cellStyle name="40% - Akzent3 2 3 13 3" xfId="25986" xr:uid="{4F1C664E-B037-437F-A132-45211D5B6371}"/>
    <cellStyle name="40% - Akzent3 2 3 14" xfId="6551" xr:uid="{E8ECDEDC-063F-4E0A-847B-6774A2C9A303}"/>
    <cellStyle name="40% - Akzent3 2 3 14 2" xfId="6552" xr:uid="{EC714888-2ECF-4FD6-A160-513E41920D23}"/>
    <cellStyle name="40% - Akzent3 2 3 14 2 2" xfId="25989" xr:uid="{58A1D317-9BCF-461E-A29D-A04D1997A140}"/>
    <cellStyle name="40% - Akzent3 2 3 14 3" xfId="25988" xr:uid="{AFA6D7CC-E8C7-478D-8DF9-D2AFC289F22E}"/>
    <cellStyle name="40% - Akzent3 2 3 15" xfId="6553" xr:uid="{D62A3A4D-CF33-4835-901F-4DA6C2AAC7CB}"/>
    <cellStyle name="40% - Akzent3 2 3 15 2" xfId="6554" xr:uid="{A578024F-489A-437E-8544-A24A4DA918E3}"/>
    <cellStyle name="40% - Akzent3 2 3 15 2 2" xfId="25991" xr:uid="{F77105A7-15E4-401D-AD8C-1AEE30E710B6}"/>
    <cellStyle name="40% - Akzent3 2 3 15 3" xfId="25990" xr:uid="{0BD86132-B1B9-4266-9E79-5A973E44C016}"/>
    <cellStyle name="40% - Akzent3 2 3 16" xfId="6555" xr:uid="{935B2059-6A18-49BE-83B3-5EAD60773E81}"/>
    <cellStyle name="40% - Akzent3 2 3 16 2" xfId="6556" xr:uid="{74ECB2D7-69FE-44E6-BE5B-5F96116AD887}"/>
    <cellStyle name="40% - Akzent3 2 3 16 2 2" xfId="25993" xr:uid="{24E4CC9B-25A2-44B6-B220-CF7DA5848136}"/>
    <cellStyle name="40% - Akzent3 2 3 16 3" xfId="25992" xr:uid="{F4EFA279-AA75-46C5-8637-11A2CBD6457A}"/>
    <cellStyle name="40% - Akzent3 2 3 17" xfId="6557" xr:uid="{2A118D3E-F2F4-4B9C-BB2C-E8A9B5FF72A3}"/>
    <cellStyle name="40% - Akzent3 2 3 17 2" xfId="6558" xr:uid="{23E9AA58-D1A8-4796-B8FE-DEA23BF07D07}"/>
    <cellStyle name="40% - Akzent3 2 3 17 2 2" xfId="25995" xr:uid="{13EC528B-F79B-45D9-90CC-63A19363492B}"/>
    <cellStyle name="40% - Akzent3 2 3 17 3" xfId="25994" xr:uid="{95EA9A4B-6795-40E5-9607-83897FD041AA}"/>
    <cellStyle name="40% - Akzent3 2 3 18" xfId="6559" xr:uid="{C0CB8A72-5D5A-4B28-B6B5-4CE14B04200B}"/>
    <cellStyle name="40% - Akzent3 2 3 18 2" xfId="6560" xr:uid="{6D495339-C289-4742-88F0-5DE2367DA96C}"/>
    <cellStyle name="40% - Akzent3 2 3 18 2 2" xfId="25997" xr:uid="{770AA131-FF00-4A9D-816D-4864889475C2}"/>
    <cellStyle name="40% - Akzent3 2 3 18 3" xfId="25996" xr:uid="{27A1615D-5048-462C-976D-24AC51440F51}"/>
    <cellStyle name="40% - Akzent3 2 3 19" xfId="6561" xr:uid="{D4EF601A-DCE4-44A8-9B43-A0230C4EF145}"/>
    <cellStyle name="40% - Akzent3 2 3 19 2" xfId="6562" xr:uid="{9E7E2A46-52C8-465B-825B-D475F9404A79}"/>
    <cellStyle name="40% - Akzent3 2 3 19 2 2" xfId="25999" xr:uid="{442DEFE3-4225-488D-B18F-2CCD3B888598}"/>
    <cellStyle name="40% - Akzent3 2 3 19 3" xfId="25998" xr:uid="{30BCEC24-6AA3-469B-9956-46BC4B4CD111}"/>
    <cellStyle name="40% - Akzent3 2 3 2" xfId="6563" xr:uid="{74492559-9E60-47F9-A968-DE7681A5B882}"/>
    <cellStyle name="40% - Akzent3 2 3 2 2" xfId="6564" xr:uid="{39EB9036-8C24-43E5-A0E5-D7CB351CDF5C}"/>
    <cellStyle name="40% - Akzent3 2 3 2 2 2" xfId="26001" xr:uid="{126F1C67-877C-4F6A-A47B-001C0AE45745}"/>
    <cellStyle name="40% - Akzent3 2 3 2 3" xfId="26000" xr:uid="{6E78DD4F-5B22-4D96-ADFE-948DB28493D4}"/>
    <cellStyle name="40% - Akzent3 2 3 2 4" xfId="40894" xr:uid="{8F269A4A-1E90-4D55-8D59-15EE344E5B0F}"/>
    <cellStyle name="40% - Akzent3 2 3 20" xfId="6565" xr:uid="{5AA5DA24-A1B1-4B49-9891-0CE3418951A9}"/>
    <cellStyle name="40% - Akzent3 2 3 20 2" xfId="6566" xr:uid="{184854D5-58D1-45D6-BDF9-C19BECA4BAB1}"/>
    <cellStyle name="40% - Akzent3 2 3 20 2 2" xfId="26003" xr:uid="{07E24E9A-E07F-4CEB-A503-1653851CE046}"/>
    <cellStyle name="40% - Akzent3 2 3 20 3" xfId="26002" xr:uid="{4EBDDFC6-A4A2-4598-8F88-E04478462080}"/>
    <cellStyle name="40% - Akzent3 2 3 21" xfId="6567" xr:uid="{651EB5E8-E493-476D-ABD6-B259A93D56D4}"/>
    <cellStyle name="40% - Akzent3 2 3 21 2" xfId="6568" xr:uid="{9F11D49D-A29B-4AC9-B77F-EF08506E748B}"/>
    <cellStyle name="40% - Akzent3 2 3 21 2 2" xfId="26005" xr:uid="{BA7670CC-0B8D-4E4B-B1F7-87162A343349}"/>
    <cellStyle name="40% - Akzent3 2 3 21 3" xfId="26004" xr:uid="{73633F92-C6B0-40F2-83CE-C55EF24B3F52}"/>
    <cellStyle name="40% - Akzent3 2 3 22" xfId="6569" xr:uid="{B8D3A378-08BF-4E26-A550-9F95135354EC}"/>
    <cellStyle name="40% - Akzent3 2 3 22 2" xfId="26006" xr:uid="{1FAAB52E-FDC9-4F78-A39B-410610DF2890}"/>
    <cellStyle name="40% - Akzent3 2 3 23" xfId="25979" xr:uid="{A08CC79B-9A96-44AD-8648-13FC7F148A5C}"/>
    <cellStyle name="40% - Akzent3 2 3 24" xfId="39948" xr:uid="{65BFC292-4762-44A8-950E-3B574A1C23FD}"/>
    <cellStyle name="40% - Akzent3 2 3 3" xfId="6570" xr:uid="{421517EB-F312-43E2-AF87-A7A14301F4E7}"/>
    <cellStyle name="40% - Akzent3 2 3 3 2" xfId="6571" xr:uid="{40CF2EA4-7E06-4211-880D-DF25CB04A4C1}"/>
    <cellStyle name="40% - Akzent3 2 3 3 2 2" xfId="26008" xr:uid="{B42426C1-8540-4366-A16D-619ED48E9DC0}"/>
    <cellStyle name="40% - Akzent3 2 3 3 3" xfId="26007" xr:uid="{3DA58D8C-FB98-40F3-BAA4-3A06E8670216}"/>
    <cellStyle name="40% - Akzent3 2 3 3 4" xfId="41754" xr:uid="{0A728562-E9BD-4947-8C83-5CEAED3F4453}"/>
    <cellStyle name="40% - Akzent3 2 3 4" xfId="6572" xr:uid="{F8DA7192-0953-4001-92B6-D3295E2925AE}"/>
    <cellStyle name="40% - Akzent3 2 3 4 2" xfId="6573" xr:uid="{E7C93AF5-A577-4A31-848E-FB7EEE1DCC2B}"/>
    <cellStyle name="40% - Akzent3 2 3 4 2 2" xfId="26010" xr:uid="{383FBB30-A4ED-4210-B20E-A9D4B1A5FD9D}"/>
    <cellStyle name="40% - Akzent3 2 3 4 3" xfId="26009" xr:uid="{28120E23-77A5-4D5D-B510-C2A0471739F6}"/>
    <cellStyle name="40% - Akzent3 2 3 5" xfId="6574" xr:uid="{291DBEA9-D6D0-44C4-8B1E-8DA4C5DF5EDF}"/>
    <cellStyle name="40% - Akzent3 2 3 5 2" xfId="6575" xr:uid="{5F8D6ED4-84D0-4D85-AA18-2DF987A0EE80}"/>
    <cellStyle name="40% - Akzent3 2 3 5 2 2" xfId="26012" xr:uid="{3BE7B8C7-2D6D-4DA6-A7FE-680465315F46}"/>
    <cellStyle name="40% - Akzent3 2 3 5 3" xfId="26011" xr:uid="{07948A56-A982-4EAB-B413-47030DF8DF76}"/>
    <cellStyle name="40% - Akzent3 2 3 6" xfId="6576" xr:uid="{C0197831-1050-4BF8-B2AE-FED2B1009FBA}"/>
    <cellStyle name="40% - Akzent3 2 3 6 2" xfId="6577" xr:uid="{9893DE73-EF53-4498-8EE2-94FBCC343DB9}"/>
    <cellStyle name="40% - Akzent3 2 3 6 2 2" xfId="26014" xr:uid="{1C531E53-9B02-4058-8A41-5F48F5B60FC8}"/>
    <cellStyle name="40% - Akzent3 2 3 6 3" xfId="26013" xr:uid="{DC9F51A9-AB03-4726-BA34-D3CE936D7339}"/>
    <cellStyle name="40% - Akzent3 2 3 7" xfId="6578" xr:uid="{AD83799D-3890-473F-B15B-D8AFB9A3A5B8}"/>
    <cellStyle name="40% - Akzent3 2 3 7 2" xfId="6579" xr:uid="{10DBE1F2-B5A5-4052-84BE-A1BA2692F6CE}"/>
    <cellStyle name="40% - Akzent3 2 3 7 2 2" xfId="26016" xr:uid="{869BE163-E137-427A-A1CA-69EB30E75243}"/>
    <cellStyle name="40% - Akzent3 2 3 7 3" xfId="26015" xr:uid="{38CC784B-BE02-4813-9B25-01B1DDDCF94F}"/>
    <cellStyle name="40% - Akzent3 2 3 8" xfId="6580" xr:uid="{1A295363-DAB0-4B00-BD2C-A4F54A75D309}"/>
    <cellStyle name="40% - Akzent3 2 3 8 2" xfId="6581" xr:uid="{2E9CD02B-3CE4-472D-B59B-A882721A21D8}"/>
    <cellStyle name="40% - Akzent3 2 3 8 2 2" xfId="26018" xr:uid="{DD2EFC70-DD1B-418E-9037-DC0C64370480}"/>
    <cellStyle name="40% - Akzent3 2 3 8 3" xfId="26017" xr:uid="{06AF9F4A-9B27-47ED-BB08-6EE569879C41}"/>
    <cellStyle name="40% - Akzent3 2 3 9" xfId="6582" xr:uid="{29C8FBB2-E84C-4545-BFA7-138F05A3E3DA}"/>
    <cellStyle name="40% - Akzent3 2 3 9 2" xfId="6583" xr:uid="{2F22F62A-7148-45DF-9D21-B995E2B0B55A}"/>
    <cellStyle name="40% - Akzent3 2 3 9 2 2" xfId="26020" xr:uid="{A8BA5F9F-65A2-4A9E-8DF5-C57CEB2097E7}"/>
    <cellStyle name="40% - Akzent3 2 3 9 3" xfId="26019" xr:uid="{F8F89457-2485-4667-AFA3-6EA4047F4555}"/>
    <cellStyle name="40% - Akzent3 2 4" xfId="6584" xr:uid="{17B2EF9C-8210-43C6-86B0-5EEAC23820DC}"/>
    <cellStyle name="40% - Akzent3 2 4 2" xfId="6585" xr:uid="{2136EC30-3035-4CD0-9F45-1BBF51AFF309}"/>
    <cellStyle name="40% - Akzent3 2 4 2 2" xfId="6586" xr:uid="{D30CF936-1978-41F0-B2DC-454CB532DE98}"/>
    <cellStyle name="40% - Akzent3 2 4 2 2 2" xfId="26023" xr:uid="{5B67E14C-D6CD-414B-A79C-FA1ACC318FFC}"/>
    <cellStyle name="40% - Akzent3 2 4 2 3" xfId="6587" xr:uid="{3CD4E15F-A38D-44E5-96EA-722924973BC4}"/>
    <cellStyle name="40% - Akzent3 2 4 2 3 2" xfId="26024" xr:uid="{E50265C4-AD41-4CFD-AF51-E56276F99142}"/>
    <cellStyle name="40% - Akzent3 2 4 2 4" xfId="26022" xr:uid="{8A0A332D-F80B-43A4-9406-24308911B890}"/>
    <cellStyle name="40% - Akzent3 2 4 3" xfId="6588" xr:uid="{AE3C7CE3-0B48-4104-BC32-FF2AA432620C}"/>
    <cellStyle name="40% - Akzent3 2 4 3 2" xfId="26025" xr:uid="{7A0785F3-0E80-4070-87B3-0A4E21D759DF}"/>
    <cellStyle name="40% - Akzent3 2 4 4" xfId="6589" xr:uid="{D19A3834-B119-42F0-BC0E-488507CF40FB}"/>
    <cellStyle name="40% - Akzent3 2 4 4 2" xfId="26026" xr:uid="{71DF9BF5-F00B-45CE-8607-2F1CDBEEF697}"/>
    <cellStyle name="40% - Akzent3 2 4 5" xfId="26021" xr:uid="{C9364E6D-1504-4059-B036-067832188636}"/>
    <cellStyle name="40% - Akzent3 2 4 6" xfId="40462" xr:uid="{7AFAA64A-0608-4588-BE05-DBAC92B17D92}"/>
    <cellStyle name="40% - Akzent3 2 5" xfId="6590" xr:uid="{98457BF6-8FF9-4C18-8471-1C67CD0965F6}"/>
    <cellStyle name="40% - Akzent3 2 5 2" xfId="26027" xr:uid="{EB60B10B-A09C-4132-8517-6834C9C04800}"/>
    <cellStyle name="40% - Akzent3 2 5 3" xfId="41322" xr:uid="{4C3B3160-E3BB-4354-BFCC-98019AB94EC7}"/>
    <cellStyle name="40% - Akzent3 2 6" xfId="6591" xr:uid="{D0DE4E6F-3D1C-4350-A7B3-B6C2759062A2}"/>
    <cellStyle name="40% - Akzent3 2 6 2" xfId="6592" xr:uid="{2E551A6B-261D-4903-AE0B-5B43B39CAA1F}"/>
    <cellStyle name="40% - Akzent3 2 6 2 2" xfId="6593" xr:uid="{8340F76A-DF34-480A-ABC5-CC4E37B6C6FF}"/>
    <cellStyle name="40% - Akzent3 2 6 2 2 2" xfId="26030" xr:uid="{083DB432-7592-40AC-B8BF-A51DF9E72907}"/>
    <cellStyle name="40% - Akzent3 2 6 2 3" xfId="26029" xr:uid="{000FA787-C914-468A-BC55-3CB8F033EED1}"/>
    <cellStyle name="40% - Akzent3 2 6 3" xfId="26028" xr:uid="{66439FC4-BF9F-4232-AC94-CE805E5C6D6F}"/>
    <cellStyle name="40% - Akzent3 2 7" xfId="6594" xr:uid="{3956B5E9-60B0-4886-A9E4-3C8C5C32E18B}"/>
    <cellStyle name="40% - Akzent3 2 7 2" xfId="6595" xr:uid="{800BE092-B13C-4B62-92CF-4223EB67197C}"/>
    <cellStyle name="40% - Akzent3 2 7 2 2" xfId="26032" xr:uid="{5534D718-AFB3-4A71-99D9-D25419594EC2}"/>
    <cellStyle name="40% - Akzent3 2 7 3" xfId="26031" xr:uid="{D4729B0C-C804-44C9-8984-4295C01AFE3B}"/>
    <cellStyle name="40% - Akzent3 2 8" xfId="6596" xr:uid="{B6A19A23-95B3-478F-A708-71E9E25A6DD3}"/>
    <cellStyle name="40% - Akzent3 2 8 2" xfId="6597" xr:uid="{F7E0510E-1B09-48D1-8F1D-6D29925C945D}"/>
    <cellStyle name="40% - Akzent3 2 8 2 2" xfId="6598" xr:uid="{DBE48E04-B6F1-4246-893F-FCB2B1F7250E}"/>
    <cellStyle name="40% - Akzent3 2 8 2 2 2" xfId="26035" xr:uid="{93536208-9EDB-40E9-B352-AF311B7BDFD0}"/>
    <cellStyle name="40% - Akzent3 2 8 2 3" xfId="26034" xr:uid="{B3288A2A-5BDE-4DEB-ACCA-FCCE53D388EA}"/>
    <cellStyle name="40% - Akzent3 2 8 3" xfId="26033" xr:uid="{19081ADC-03E5-407A-9820-21BB8D0A66D7}"/>
    <cellStyle name="40% - Akzent3 2 9" xfId="6599" xr:uid="{9DBFCE15-CA75-49DB-BF35-068910F6CF05}"/>
    <cellStyle name="40% - Akzent3 2 9 2" xfId="6600" xr:uid="{EA7E80F3-1BB6-42FB-A165-57D699F6858A}"/>
    <cellStyle name="40% - Akzent3 2 9 2 2" xfId="26037" xr:uid="{1E8CEBB9-47C1-4F36-96DA-2DCD0637CAC4}"/>
    <cellStyle name="40% - Akzent3 2 9 3" xfId="26036" xr:uid="{9A1921F6-BCE2-4D56-B999-7711B8AE8B55}"/>
    <cellStyle name="40% - Akzent3 20" xfId="6601" xr:uid="{34EF1558-F355-40F2-B54D-D2A256763A90}"/>
    <cellStyle name="40% - Akzent3 20 2" xfId="6602" xr:uid="{CDBA39AC-F243-43A1-919E-3942FE5AB232}"/>
    <cellStyle name="40% - Akzent3 20 2 2" xfId="26039" xr:uid="{3F072405-3D7F-434F-8753-D23F2B8FC08D}"/>
    <cellStyle name="40% - Akzent3 20 3" xfId="6603" xr:uid="{A74A9EFE-A443-4B0C-AFD5-478DCAF3977A}"/>
    <cellStyle name="40% - Akzent3 20 3 2" xfId="26040" xr:uid="{7AB8CE26-1E4C-4877-B773-D46D0207D977}"/>
    <cellStyle name="40% - Akzent3 20 4" xfId="26038" xr:uid="{BB0F85B6-8CBD-44B4-9B85-2AE804149A9A}"/>
    <cellStyle name="40% - Akzent3 21" xfId="6604" xr:uid="{F6B3E401-EE1A-4C84-97F8-D03814001AD4}"/>
    <cellStyle name="40% - Akzent3 21 2" xfId="6605" xr:uid="{82D6D65E-534D-4938-B6A0-DB53C965C443}"/>
    <cellStyle name="40% - Akzent3 21 2 2" xfId="26042" xr:uid="{70B0B120-ADDC-4131-AED1-9480C160E9CD}"/>
    <cellStyle name="40% - Akzent3 21 3" xfId="6606" xr:uid="{53DAC3B3-D2E9-4551-9F70-AACD47E53D5E}"/>
    <cellStyle name="40% - Akzent3 21 3 2" xfId="26043" xr:uid="{0C975EBB-D151-4C5D-BAC8-21302687D50E}"/>
    <cellStyle name="40% - Akzent3 21 4" xfId="26041" xr:uid="{1B260122-2DDF-41A8-823E-6BDEBB8BC4E9}"/>
    <cellStyle name="40% - Akzent3 22" xfId="6607" xr:uid="{9A3DD379-4C31-4430-BF6B-B5A6195B035D}"/>
    <cellStyle name="40% - Akzent3 22 2" xfId="6608" xr:uid="{929DF2F1-0C88-4B1D-BFB3-2BA228D7ACE5}"/>
    <cellStyle name="40% - Akzent3 22 2 2" xfId="26045" xr:uid="{A22239DE-397A-4D81-9948-5EE1FB05E678}"/>
    <cellStyle name="40% - Akzent3 22 3" xfId="6609" xr:uid="{15F76836-A194-4B62-A634-AB8229C8FCB0}"/>
    <cellStyle name="40% - Akzent3 22 3 2" xfId="26046" xr:uid="{3DB2F2A9-74C2-4E93-B61D-7D834A5A4EBF}"/>
    <cellStyle name="40% - Akzent3 22 4" xfId="26044" xr:uid="{32AC60D6-EE45-4376-8B2C-FDCB607674F8}"/>
    <cellStyle name="40% - Akzent3 23" xfId="6610" xr:uid="{89B0EA4D-0AA3-446D-9BC4-1774FEC719FB}"/>
    <cellStyle name="40% - Akzent3 23 2" xfId="6611" xr:uid="{D31A5213-598F-4D7E-B901-0D79F3A95392}"/>
    <cellStyle name="40% - Akzent3 23 2 2" xfId="26048" xr:uid="{6098AE9A-9E63-4856-8A9F-024CED05C57C}"/>
    <cellStyle name="40% - Akzent3 23 3" xfId="6612" xr:uid="{E67B0626-D3FA-4582-9ACB-4768DC759D8F}"/>
    <cellStyle name="40% - Akzent3 23 3 2" xfId="26049" xr:uid="{D9033166-D7A9-4254-828B-83D1CF617E07}"/>
    <cellStyle name="40% - Akzent3 23 4" xfId="26047" xr:uid="{9624984B-9BD5-43B7-8108-93DB172EAA02}"/>
    <cellStyle name="40% - Akzent3 24" xfId="6613" xr:uid="{0E193E71-F2EB-43B4-8E33-F107F97E09DD}"/>
    <cellStyle name="40% - Akzent3 24 2" xfId="6614" xr:uid="{A0D23C51-6EDA-4686-BAB7-3D26E5899FB5}"/>
    <cellStyle name="40% - Akzent3 24 2 2" xfId="26051" xr:uid="{1DAB209E-AE6A-4E9E-AF5A-6D89A34AE081}"/>
    <cellStyle name="40% - Akzent3 24 3" xfId="6615" xr:uid="{3A6503A5-95CD-4D52-B3E4-9B504DBC9E06}"/>
    <cellStyle name="40% - Akzent3 24 3 2" xfId="26052" xr:uid="{98B6CE9E-93D4-46A1-9966-9BC543397136}"/>
    <cellStyle name="40% - Akzent3 24 4" xfId="26050" xr:uid="{E896373E-011E-4C16-95F5-D23EC974587D}"/>
    <cellStyle name="40% - Akzent3 25" xfId="6616" xr:uid="{16B03B83-E04A-4D39-BF41-8C0481C77FBE}"/>
    <cellStyle name="40% - Akzent3 25 2" xfId="6617" xr:uid="{B73A91FE-9EB1-4758-9F61-ECAC275DE7F4}"/>
    <cellStyle name="40% - Akzent3 25 2 2" xfId="26054" xr:uid="{A77DB265-1BDB-41ED-919A-1E6930C48466}"/>
    <cellStyle name="40% - Akzent3 25 3" xfId="6618" xr:uid="{CAD89006-E2CC-4416-8B6B-B5979972A048}"/>
    <cellStyle name="40% - Akzent3 25 3 2" xfId="26055" xr:uid="{C75F1316-9127-47EE-B328-AD3199A89FFE}"/>
    <cellStyle name="40% - Akzent3 25 4" xfId="26053" xr:uid="{74AC6AF6-D676-4FD8-9CB6-576A1882859F}"/>
    <cellStyle name="40% - Akzent3 26" xfId="6619" xr:uid="{C63AD757-7695-4A3D-8612-3BE8DB32B625}"/>
    <cellStyle name="40% - Akzent3 26 2" xfId="6620" xr:uid="{E268639E-88E3-4AF9-A5EF-F411C02791C3}"/>
    <cellStyle name="40% - Akzent3 26 2 2" xfId="26057" xr:uid="{76D1B816-AFF8-4DFC-B016-95F2CB902C2A}"/>
    <cellStyle name="40% - Akzent3 26 3" xfId="6621" xr:uid="{CCFAFEF7-F8AF-4905-A2D5-FD6DA2FCF6DF}"/>
    <cellStyle name="40% - Akzent3 26 3 2" xfId="26058" xr:uid="{4A7301FD-2503-4413-BABA-D11FF02E8C35}"/>
    <cellStyle name="40% - Akzent3 26 4" xfId="26056" xr:uid="{7403FDEA-1DBA-4E12-8AAE-22FD0F4AE302}"/>
    <cellStyle name="40% - Akzent3 27" xfId="6622" xr:uid="{33569ED9-381A-434A-BA91-40CA35F25907}"/>
    <cellStyle name="40% - Akzent3 27 2" xfId="6623" xr:uid="{8B360358-962C-4498-B66B-CB8A5A678035}"/>
    <cellStyle name="40% - Akzent3 27 2 2" xfId="26060" xr:uid="{C452F951-67FA-47EB-A3FA-44E09744D96F}"/>
    <cellStyle name="40% - Akzent3 27 3" xfId="6624" xr:uid="{F3709557-87F5-435A-92DF-077562F2652C}"/>
    <cellStyle name="40% - Akzent3 27 3 2" xfId="26061" xr:uid="{FA390C74-D08E-40AC-8109-163A2CC16F8D}"/>
    <cellStyle name="40% - Akzent3 27 4" xfId="26059" xr:uid="{539E5203-8918-4ADF-8F1B-35991B2678C4}"/>
    <cellStyle name="40% - Akzent3 28" xfId="6625" xr:uid="{D474CB68-C47F-421F-BD11-71CF3A0EE9A8}"/>
    <cellStyle name="40% - Akzent3 28 2" xfId="6626" xr:uid="{38CDC3A1-FB58-4343-AE1F-9C40A5A0AE7A}"/>
    <cellStyle name="40% - Akzent3 28 2 2" xfId="26063" xr:uid="{2D654C24-E34D-48C4-99EA-70AECFED1F71}"/>
    <cellStyle name="40% - Akzent3 28 3" xfId="6627" xr:uid="{2A8ADBE3-38CC-4C1D-8D7F-AAB94CFB8A67}"/>
    <cellStyle name="40% - Akzent3 28 3 2" xfId="26064" xr:uid="{1CCED1E8-E8B7-44A7-848C-CD0B4B9DE4EE}"/>
    <cellStyle name="40% - Akzent3 28 4" xfId="26062" xr:uid="{77B69143-86E8-467E-A506-B00C4047062F}"/>
    <cellStyle name="40% - Akzent3 29" xfId="6628" xr:uid="{0984F36D-9A26-433A-BD05-E71F89295B66}"/>
    <cellStyle name="40% - Akzent3 29 2" xfId="6629" xr:uid="{663BE8E9-2BF4-4AF4-9F90-558D087CEFC4}"/>
    <cellStyle name="40% - Akzent3 29 2 2" xfId="26066" xr:uid="{192CB36D-46E5-401E-9A01-43B943E8E490}"/>
    <cellStyle name="40% - Akzent3 29 3" xfId="6630" xr:uid="{79D3EFC6-A921-412E-B696-4DFF481EC821}"/>
    <cellStyle name="40% - Akzent3 29 3 2" xfId="26067" xr:uid="{EA27234D-6420-4477-89DC-E6B9F30D8AA1}"/>
    <cellStyle name="40% - Akzent3 29 4" xfId="26065" xr:uid="{69FF951E-6EA0-460A-B866-2C54BA71DE81}"/>
    <cellStyle name="40% - Akzent3 3" xfId="118" xr:uid="{29A2C875-6C2A-4B4F-A726-5A7443E04670}"/>
    <cellStyle name="40% - Akzent3 3 10" xfId="6632" xr:uid="{87BA5813-287E-4DAA-AC2D-3470C39DA453}"/>
    <cellStyle name="40% - Akzent3 3 10 2" xfId="6633" xr:uid="{5DC4BCB1-3C8A-43B2-8B3A-DB6139DB8A4E}"/>
    <cellStyle name="40% - Akzent3 3 10 2 2" xfId="26070" xr:uid="{4A1A0376-EC45-40F6-B363-226881A345B8}"/>
    <cellStyle name="40% - Akzent3 3 10 3" xfId="26069" xr:uid="{D1C13AA2-FCC6-419A-97D0-DC69A1F5709A}"/>
    <cellStyle name="40% - Akzent3 3 11" xfId="6634" xr:uid="{E54D2081-BB64-4C02-8910-2943AD6419DD}"/>
    <cellStyle name="40% - Akzent3 3 11 2" xfId="6635" xr:uid="{8C1DAAC1-1032-4964-ADB1-12B18F359C87}"/>
    <cellStyle name="40% - Akzent3 3 11 2 2" xfId="26072" xr:uid="{259B2D52-95FE-41B8-BCBC-17B5DFBFA58B}"/>
    <cellStyle name="40% - Akzent3 3 11 3" xfId="26071" xr:uid="{6EAA9AC3-06B7-45E7-99B2-B8A076E55E2A}"/>
    <cellStyle name="40% - Akzent3 3 12" xfId="6636" xr:uid="{505DAFBF-6E0E-4000-9708-088D9FC8BE71}"/>
    <cellStyle name="40% - Akzent3 3 12 2" xfId="6637" xr:uid="{85B1B19A-82AF-4641-967F-6B57BF1C5B4B}"/>
    <cellStyle name="40% - Akzent3 3 12 2 2" xfId="26074" xr:uid="{A15E487E-9D84-4C7C-8180-17B891F43C38}"/>
    <cellStyle name="40% - Akzent3 3 12 3" xfId="26073" xr:uid="{A1844CBE-A4E7-4FEB-B3AF-9EA7902C04C0}"/>
    <cellStyle name="40% - Akzent3 3 13" xfId="6638" xr:uid="{04818ED3-6B60-4577-A876-79DF621C4704}"/>
    <cellStyle name="40% - Akzent3 3 13 2" xfId="6639" xr:uid="{8F4512CC-318D-481A-9335-8FB8C241CC75}"/>
    <cellStyle name="40% - Akzent3 3 13 2 2" xfId="26076" xr:uid="{D4404CA5-0E42-44E1-A743-A405A9D67178}"/>
    <cellStyle name="40% - Akzent3 3 13 3" xfId="26075" xr:uid="{CD69C5A7-BD86-4D23-AEE9-DC7FA8FF7CCA}"/>
    <cellStyle name="40% - Akzent3 3 14" xfId="6640" xr:uid="{2DFFAEB8-D50B-4C23-BD65-0397FEB3A8CC}"/>
    <cellStyle name="40% - Akzent3 3 14 2" xfId="6641" xr:uid="{BD52578C-C134-4088-A37E-18EA7154EB91}"/>
    <cellStyle name="40% - Akzent3 3 14 2 2" xfId="26078" xr:uid="{4749DF45-A12F-47DF-922B-EE1C04CAB523}"/>
    <cellStyle name="40% - Akzent3 3 14 3" xfId="26077" xr:uid="{DB97214B-44DA-42CF-A3F8-CDD9CC8497B6}"/>
    <cellStyle name="40% - Akzent3 3 15" xfId="6642" xr:uid="{AFAC2B0F-3967-4857-9484-D9B21FC17631}"/>
    <cellStyle name="40% - Akzent3 3 15 2" xfId="6643" xr:uid="{6C3414B2-6517-454E-9E34-B353E406F7D6}"/>
    <cellStyle name="40% - Akzent3 3 15 2 2" xfId="26080" xr:uid="{01718D67-D680-432E-9267-103449B672B7}"/>
    <cellStyle name="40% - Akzent3 3 15 3" xfId="26079" xr:uid="{7B41BAAB-B019-4414-ADF5-6B684898599B}"/>
    <cellStyle name="40% - Akzent3 3 16" xfId="6644" xr:uid="{D031EDB8-9B71-43AE-B8CF-2E986F900F4D}"/>
    <cellStyle name="40% - Akzent3 3 16 2" xfId="6645" xr:uid="{72674B06-7455-4EFF-A9F5-D54A4C28912D}"/>
    <cellStyle name="40% - Akzent3 3 16 2 2" xfId="26082" xr:uid="{FE74E2E2-C3D0-445C-8AD3-2BD0D49BC21B}"/>
    <cellStyle name="40% - Akzent3 3 16 3" xfId="26081" xr:uid="{865A7984-1E0C-462E-A762-A6160FF9BD1E}"/>
    <cellStyle name="40% - Akzent3 3 17" xfId="6646" xr:uid="{5D0FD6C5-0C1C-47D5-BC7C-46260B6E3F5F}"/>
    <cellStyle name="40% - Akzent3 3 17 2" xfId="6647" xr:uid="{FC910CAC-D500-4774-9DB5-B5B438357CC1}"/>
    <cellStyle name="40% - Akzent3 3 17 2 2" xfId="26084" xr:uid="{01001809-38E3-47FE-949F-EF327CED0050}"/>
    <cellStyle name="40% - Akzent3 3 17 3" xfId="26083" xr:uid="{986CD79A-357F-4B53-BB04-940FFB7DB5DF}"/>
    <cellStyle name="40% - Akzent3 3 18" xfId="6648" xr:uid="{18A6A910-35ED-46DC-AA52-3D951198886D}"/>
    <cellStyle name="40% - Akzent3 3 18 2" xfId="6649" xr:uid="{06AAEBDE-D047-4E01-81ED-824F2C1D8E91}"/>
    <cellStyle name="40% - Akzent3 3 18 2 2" xfId="26086" xr:uid="{6845C28B-99B7-4762-89CE-18C4DDFB8A97}"/>
    <cellStyle name="40% - Akzent3 3 18 3" xfId="26085" xr:uid="{3F8C0EF4-2A92-445F-BCFE-DF90303EAB2F}"/>
    <cellStyle name="40% - Akzent3 3 19" xfId="6650" xr:uid="{DFCBA2DB-7779-4B27-B1FE-210A35F50136}"/>
    <cellStyle name="40% - Akzent3 3 19 2" xfId="6651" xr:uid="{E7DC00BA-EB61-4DDD-9A88-4816266D58A8}"/>
    <cellStyle name="40% - Akzent3 3 19 2 2" xfId="26088" xr:uid="{27A48E0E-9A76-4563-807F-8B69B0E68509}"/>
    <cellStyle name="40% - Akzent3 3 19 3" xfId="26087" xr:uid="{A3D35E9F-48A5-4737-A676-051A80614480}"/>
    <cellStyle name="40% - Akzent3 3 2" xfId="6652" xr:uid="{C76232CE-614E-4BCC-99AB-8A16B9DBF8B2}"/>
    <cellStyle name="40% - Akzent3 3 2 2" xfId="6653" xr:uid="{96EA386D-14CA-46F1-B708-581ADF2C20A5}"/>
    <cellStyle name="40% - Akzent3 3 2 2 2" xfId="6654" xr:uid="{58C8565D-681A-463B-9574-75E1AD1A8C01}"/>
    <cellStyle name="40% - Akzent3 3 2 2 2 2" xfId="26091" xr:uid="{C0218857-72B0-434B-8959-50E24F15456B}"/>
    <cellStyle name="40% - Akzent3 3 2 2 3" xfId="6655" xr:uid="{942629E3-003E-4DCC-B6D9-A06B895CE5A1}"/>
    <cellStyle name="40% - Akzent3 3 2 2 3 2" xfId="26092" xr:uid="{8CD70074-F4E2-4384-AD4D-F13A7B5203EC}"/>
    <cellStyle name="40% - Akzent3 3 2 2 4" xfId="26090" xr:uid="{77C10393-B4BE-4341-B1FB-DED764605A56}"/>
    <cellStyle name="40% - Akzent3 3 2 2 5" xfId="40897" xr:uid="{2E9C6D33-0CF9-4F57-84F4-6B54BDAE087D}"/>
    <cellStyle name="40% - Akzent3 3 2 3" xfId="6656" xr:uid="{20486EBF-F18E-472B-8920-A404B324DDC0}"/>
    <cellStyle name="40% - Akzent3 3 2 3 2" xfId="26093" xr:uid="{7CAA17B3-6C5F-4EE4-9C31-20CDB30F2974}"/>
    <cellStyle name="40% - Akzent3 3 2 3 3" xfId="41757" xr:uid="{8C8EBCC9-6444-490E-807E-F44A08F48BD7}"/>
    <cellStyle name="40% - Akzent3 3 2 4" xfId="6657" xr:uid="{B911229B-3388-4A12-A828-94377D0F8B62}"/>
    <cellStyle name="40% - Akzent3 3 2 4 2" xfId="26094" xr:uid="{46484E56-B65A-457D-A8A4-1A71D152F883}"/>
    <cellStyle name="40% - Akzent3 3 2 5" xfId="26089" xr:uid="{B15B2650-27E3-49B6-AB3E-6172841F2F60}"/>
    <cellStyle name="40% - Akzent3 3 2 6" xfId="39951" xr:uid="{6F5EE562-E59A-4536-94E9-47B59799F055}"/>
    <cellStyle name="40% - Akzent3 3 20" xfId="6658" xr:uid="{FCB03A1F-5CFE-4EDA-A649-C5C7058AF5ED}"/>
    <cellStyle name="40% - Akzent3 3 20 2" xfId="6659" xr:uid="{60F688B3-D74D-4124-ABEF-C446D05AA423}"/>
    <cellStyle name="40% - Akzent3 3 20 2 2" xfId="26096" xr:uid="{8E41B57E-B81E-41ED-A5EE-FA338E7C3387}"/>
    <cellStyle name="40% - Akzent3 3 20 3" xfId="26095" xr:uid="{EAB6D415-A32F-4B1A-AEC5-998775CCB66E}"/>
    <cellStyle name="40% - Akzent3 3 21" xfId="6660" xr:uid="{20919436-72E1-4B88-A65A-EE243A1B4866}"/>
    <cellStyle name="40% - Akzent3 3 21 2" xfId="6661" xr:uid="{995234D4-1749-4044-AC61-F70FBD1F858B}"/>
    <cellStyle name="40% - Akzent3 3 21 2 2" xfId="26098" xr:uid="{075FF4D1-2482-448A-9DC9-D78EB7B49C7A}"/>
    <cellStyle name="40% - Akzent3 3 21 3" xfId="26097" xr:uid="{B22E2CEF-FFEC-4EB4-BECC-144CC9D93915}"/>
    <cellStyle name="40% - Akzent3 3 22" xfId="6662" xr:uid="{B60BB1E8-8EAA-4FD4-BDBE-C5061625028F}"/>
    <cellStyle name="40% - Akzent3 3 22 2" xfId="26099" xr:uid="{44352FC2-6FBC-4B3F-B6A9-EFAE7D6EA979}"/>
    <cellStyle name="40% - Akzent3 3 23" xfId="6663" xr:uid="{BAE9580A-E1FF-4D5F-8057-790C5C3D7733}"/>
    <cellStyle name="40% - Akzent3 3 23 2" xfId="26100" xr:uid="{5C48B036-2C06-493D-A45E-91E41CF79B63}"/>
    <cellStyle name="40% - Akzent3 3 24" xfId="26068" xr:uid="{48546A02-0EBC-402B-B435-73406CF766A9}"/>
    <cellStyle name="40% - Akzent3 3 25" xfId="39317" xr:uid="{402C3869-88FE-46D3-80BD-BEE2D0B6B1A1}"/>
    <cellStyle name="40% - Akzent3 3 26" xfId="6631" xr:uid="{ED6725CF-355B-4B70-9079-D84588711D0D}"/>
    <cellStyle name="40% - Akzent3 3 3" xfId="6664" xr:uid="{95F06A15-9C31-4ACE-8731-453F34E22FF1}"/>
    <cellStyle name="40% - Akzent3 3 3 2" xfId="26101" xr:uid="{673FD38E-667B-4D5B-8441-E22A3091B449}"/>
    <cellStyle name="40% - Akzent3 3 3 2 2" xfId="40896" xr:uid="{91AEBEBC-9BBE-4BEA-8959-D3B1F8D7FACE}"/>
    <cellStyle name="40% - Akzent3 3 3 3" xfId="41756" xr:uid="{B2EBC6B7-00EF-465F-B209-536C57181247}"/>
    <cellStyle name="40% - Akzent3 3 3 4" xfId="39950" xr:uid="{D05E3A6C-1C7D-4BCA-92CD-6ABF18694BAD}"/>
    <cellStyle name="40% - Akzent3 3 4" xfId="6665" xr:uid="{EE481384-587E-4F81-A180-8FE8E1F2F166}"/>
    <cellStyle name="40% - Akzent3 3 4 2" xfId="26102" xr:uid="{1CB184C7-9CA2-4CED-84E6-47677FF8A040}"/>
    <cellStyle name="40% - Akzent3 3 4 3" xfId="40464" xr:uid="{E2F013B8-A0FB-4053-A723-EDF9858BEC86}"/>
    <cellStyle name="40% - Akzent3 3 5" xfId="6666" xr:uid="{38EE349C-F9BB-4AE1-A389-D70B57C80247}"/>
    <cellStyle name="40% - Akzent3 3 5 2" xfId="6667" xr:uid="{02895A0D-BD62-4A61-9852-66CD5020B0F0}"/>
    <cellStyle name="40% - Akzent3 3 5 2 2" xfId="6668" xr:uid="{D57DA401-D928-415F-9D17-C6FFE67C6E37}"/>
    <cellStyle name="40% - Akzent3 3 5 2 2 2" xfId="26105" xr:uid="{C22749B9-D24C-4B02-B027-770AE1B450DD}"/>
    <cellStyle name="40% - Akzent3 3 5 2 3" xfId="26104" xr:uid="{1610E497-BF9B-464B-91F6-2B298BB507CF}"/>
    <cellStyle name="40% - Akzent3 3 5 3" xfId="26103" xr:uid="{73283DEC-CA88-473D-BD87-D7447DD1C832}"/>
    <cellStyle name="40% - Akzent3 3 5 4" xfId="41324" xr:uid="{599A2087-271C-4884-8565-AD4D376E0688}"/>
    <cellStyle name="40% - Akzent3 3 6" xfId="6669" xr:uid="{38E932A4-C81B-419B-B726-5FA050B43640}"/>
    <cellStyle name="40% - Akzent3 3 6 2" xfId="6670" xr:uid="{D65638AC-BEFE-406A-AE43-7221929541CC}"/>
    <cellStyle name="40% - Akzent3 3 6 2 2" xfId="26107" xr:uid="{37ED6F6F-1C9F-4B66-80C5-5AE8DA9C817D}"/>
    <cellStyle name="40% - Akzent3 3 6 3" xfId="26106" xr:uid="{159775E0-7144-4086-9A66-4AA9A1656E60}"/>
    <cellStyle name="40% - Akzent3 3 7" xfId="6671" xr:uid="{4878C97A-8BC8-40B8-BD47-3ED1FC596C56}"/>
    <cellStyle name="40% - Akzent3 3 7 2" xfId="6672" xr:uid="{80D2E495-E00C-4D65-A073-7F86CCDCCDA1}"/>
    <cellStyle name="40% - Akzent3 3 7 2 2" xfId="26109" xr:uid="{1DCDD4D3-1DF9-4F44-9413-492EA6DB5BC5}"/>
    <cellStyle name="40% - Akzent3 3 7 3" xfId="26108" xr:uid="{A2D8B937-4744-41B4-982D-375B8BDCA22E}"/>
    <cellStyle name="40% - Akzent3 3 8" xfId="6673" xr:uid="{1A9E11AE-32BD-41FE-9EE6-E7B3764AB86B}"/>
    <cellStyle name="40% - Akzent3 3 8 2" xfId="6674" xr:uid="{48A85473-DEB7-4751-ACFB-35114AE6A9C5}"/>
    <cellStyle name="40% - Akzent3 3 8 2 2" xfId="26111" xr:uid="{9AB4DAD8-E2DC-4301-90F1-CA3EA5308D43}"/>
    <cellStyle name="40% - Akzent3 3 8 3" xfId="26110" xr:uid="{C40F2B93-D960-4DE0-AD8A-85EC911ADE9D}"/>
    <cellStyle name="40% - Akzent3 3 9" xfId="6675" xr:uid="{CF5B227F-8F21-4E4F-BBF7-C53980CE4166}"/>
    <cellStyle name="40% - Akzent3 3 9 2" xfId="6676" xr:uid="{8DE964C8-398C-4B0D-A63A-D0F5BCFEACB3}"/>
    <cellStyle name="40% - Akzent3 3 9 2 2" xfId="26113" xr:uid="{2358C045-277F-4F43-87F9-32CD192FC1C1}"/>
    <cellStyle name="40% - Akzent3 3 9 3" xfId="26112" xr:uid="{D2E0DD6E-2F68-4D86-A91B-171811D2B0B7}"/>
    <cellStyle name="40% - Akzent3 30" xfId="6677" xr:uid="{F384355B-8C1A-4B77-AD78-9C55D2C2F74C}"/>
    <cellStyle name="40% - Akzent3 30 2" xfId="6678" xr:uid="{52FBD32E-FF9D-4DCA-A8C5-F98AED84EBD5}"/>
    <cellStyle name="40% - Akzent3 30 2 2" xfId="26115" xr:uid="{99EEE460-931D-406A-ABC9-E47045D5FFF3}"/>
    <cellStyle name="40% - Akzent3 30 3" xfId="6679" xr:uid="{60F65A36-F9C4-4A8C-9B0B-AA7E07839EE7}"/>
    <cellStyle name="40% - Akzent3 30 3 2" xfId="26116" xr:uid="{98F2BF59-B646-43D0-851F-2E2E4BD4D82A}"/>
    <cellStyle name="40% - Akzent3 30 4" xfId="26114" xr:uid="{371EA425-A044-4E94-8D18-4303FC6D05EB}"/>
    <cellStyle name="40% - Akzent3 31" xfId="6680" xr:uid="{301970D5-18CC-4682-8C15-E5BA46A379BA}"/>
    <cellStyle name="40% - Akzent3 31 2" xfId="6681" xr:uid="{686CF384-5969-4C21-8DF1-5F6BEB2A7D05}"/>
    <cellStyle name="40% - Akzent3 31 2 2" xfId="26118" xr:uid="{2C5BE453-2E6E-4EBB-9934-4C916B17695C}"/>
    <cellStyle name="40% - Akzent3 31 3" xfId="6682" xr:uid="{D509E531-1F51-401B-B828-1BB611BF1CE0}"/>
    <cellStyle name="40% - Akzent3 31 3 2" xfId="26119" xr:uid="{CC9DDCDB-716D-40C5-9B75-E2139DA98B5E}"/>
    <cellStyle name="40% - Akzent3 31 4" xfId="26117" xr:uid="{C3F51762-D4CE-45BD-81D1-0C9792BFC1EC}"/>
    <cellStyle name="40% - Akzent3 32" xfId="6683" xr:uid="{0770EBEA-2A11-4303-A779-E7B35EDC8B57}"/>
    <cellStyle name="40% - Akzent3 32 2" xfId="6684" xr:uid="{DAD4F43A-DED6-40AE-A3C8-69A4A585D59C}"/>
    <cellStyle name="40% - Akzent3 32 2 2" xfId="26121" xr:uid="{924E501C-C4B7-44B0-9D8D-34E0D668F1A7}"/>
    <cellStyle name="40% - Akzent3 32 3" xfId="6685" xr:uid="{94FD83FB-9E3B-42F0-B778-DF219C90A7B7}"/>
    <cellStyle name="40% - Akzent3 32 3 2" xfId="26122" xr:uid="{812DCD6A-05BF-48DA-962C-500ACED950F0}"/>
    <cellStyle name="40% - Akzent3 32 4" xfId="26120" xr:uid="{A5A11C38-4B09-46F1-93D6-07DDD8B14DF1}"/>
    <cellStyle name="40% - Akzent3 33" xfId="6686" xr:uid="{C238EAE4-0652-4DFA-A219-BE7429A41239}"/>
    <cellStyle name="40% - Akzent3 33 2" xfId="6687" xr:uid="{6D8763F3-2EDF-4744-9155-C21A1D819459}"/>
    <cellStyle name="40% - Akzent3 33 2 2" xfId="26124" xr:uid="{5F3D837A-907E-46B6-A85A-04933465B83F}"/>
    <cellStyle name="40% - Akzent3 33 3" xfId="6688" xr:uid="{BB0F4C68-57D9-4A42-B86E-B010A36BC9B3}"/>
    <cellStyle name="40% - Akzent3 33 3 2" xfId="26125" xr:uid="{98292BB6-056E-4DEF-8E60-0E2051E8AE3E}"/>
    <cellStyle name="40% - Akzent3 33 4" xfId="26123" xr:uid="{1F624572-06AB-437D-8156-F82BB79EB7AB}"/>
    <cellStyle name="40% - Akzent3 34" xfId="6689" xr:uid="{11372B39-4D86-4230-B4F9-9D07A3D715E5}"/>
    <cellStyle name="40% - Akzent3 34 2" xfId="6690" xr:uid="{AC96852F-D157-499A-A955-555D69E52E0E}"/>
    <cellStyle name="40% - Akzent3 34 2 2" xfId="26127" xr:uid="{79088E74-9077-47B2-AEF6-EA211D6F7CDF}"/>
    <cellStyle name="40% - Akzent3 34 3" xfId="6691" xr:uid="{760DC71D-B5AC-46E3-851D-603B3569CC31}"/>
    <cellStyle name="40% - Akzent3 34 3 2" xfId="26128" xr:uid="{DAAD773C-9318-490B-BF4D-D58BE6681B26}"/>
    <cellStyle name="40% - Akzent3 34 4" xfId="26126" xr:uid="{C2C4F63B-E9A4-4199-ABD0-5A173F6941F9}"/>
    <cellStyle name="40% - Akzent3 35" xfId="6692" xr:uid="{B5EDD518-8DFA-4D71-818F-7D6BC59CB5EE}"/>
    <cellStyle name="40% - Akzent3 35 2" xfId="6693" xr:uid="{13C787DC-42CB-4E55-B81B-160842DA0F7B}"/>
    <cellStyle name="40% - Akzent3 35 2 2" xfId="26130" xr:uid="{4DC2B226-73DF-47D9-AEE5-3F6C960BE1C8}"/>
    <cellStyle name="40% - Akzent3 35 3" xfId="6694" xr:uid="{0D3D246E-E721-4C15-81A1-B73BBBB6F9FC}"/>
    <cellStyle name="40% - Akzent3 35 3 2" xfId="26131" xr:uid="{26FFF8FF-312E-4B58-BD0F-640F4ACFCCEB}"/>
    <cellStyle name="40% - Akzent3 35 4" xfId="26129" xr:uid="{72E8184B-9EED-419B-9F9A-C2FD29ECEAB0}"/>
    <cellStyle name="40% - Akzent3 36" xfId="6695" xr:uid="{E1E4BB57-0C7D-4824-9C1C-AB74F0C0F60F}"/>
    <cellStyle name="40% - Akzent3 36 2" xfId="6696" xr:uid="{7080932A-CF48-4EBB-ABA1-B62CC712EAC6}"/>
    <cellStyle name="40% - Akzent3 36 2 2" xfId="26133" xr:uid="{C6108A40-A318-419D-80DE-970F44DA5121}"/>
    <cellStyle name="40% - Akzent3 36 3" xfId="6697" xr:uid="{FE4EF91B-A68C-49F1-BB50-714AEC229689}"/>
    <cellStyle name="40% - Akzent3 36 3 2" xfId="26134" xr:uid="{95BC10DB-8D62-49B9-B1E5-D41D6CDD2415}"/>
    <cellStyle name="40% - Akzent3 36 4" xfId="26132" xr:uid="{635E1630-F508-46CB-823D-2D16B1061618}"/>
    <cellStyle name="40% - Akzent3 37" xfId="6698" xr:uid="{45CD2BA0-A7E3-4151-BF48-32654053B6DB}"/>
    <cellStyle name="40% - Akzent3 37 2" xfId="6699" xr:uid="{3320D47A-219A-4C6C-BB81-011FC82FEAE6}"/>
    <cellStyle name="40% - Akzent3 37 2 2" xfId="26136" xr:uid="{6B820E31-0F4D-48DC-B2C7-A2DFE88DCA6C}"/>
    <cellStyle name="40% - Akzent3 37 3" xfId="26135" xr:uid="{53FAF125-8285-4F45-B19C-522D99C278CE}"/>
    <cellStyle name="40% - Akzent3 38" xfId="6700" xr:uid="{96F64672-CC6F-481D-9190-94BAEEA580D0}"/>
    <cellStyle name="40% - Akzent3 38 2" xfId="6701" xr:uid="{EE684D8E-8373-46FA-936D-53AB1CE5F9CB}"/>
    <cellStyle name="40% - Akzent3 38 2 2" xfId="26138" xr:uid="{506C4D30-1718-422F-A6BB-D35A9ABBE3AD}"/>
    <cellStyle name="40% - Akzent3 38 3" xfId="26137" xr:uid="{80B1DC9A-EC44-43D2-B7F1-77E026E67BBD}"/>
    <cellStyle name="40% - Akzent3 39" xfId="6702" xr:uid="{0A347665-8642-4910-968F-DD5D2A1B652F}"/>
    <cellStyle name="40% - Akzent3 39 2" xfId="6703" xr:uid="{8EB8D2BD-E8EA-4CA4-9B19-3617C91B72C4}"/>
    <cellStyle name="40% - Akzent3 39 2 2" xfId="26140" xr:uid="{51348E7B-0008-4F9F-8FD5-5D98DB0DEA26}"/>
    <cellStyle name="40% - Akzent3 39 3" xfId="26139" xr:uid="{5CA7D744-E6E8-48EF-A210-0C3942AB5947}"/>
    <cellStyle name="40% - Akzent3 4" xfId="132" xr:uid="{B8CD3CF5-BC6B-4B07-B0EB-325C88A38D2E}"/>
    <cellStyle name="40% - Akzent3 4 10" xfId="6705" xr:uid="{0A0D695D-81FB-4A3B-993E-EF1434650779}"/>
    <cellStyle name="40% - Akzent3 4 10 2" xfId="6706" xr:uid="{A300836A-A352-4ABE-9A59-90BAE2EB15A3}"/>
    <cellStyle name="40% - Akzent3 4 10 2 2" xfId="26143" xr:uid="{78FFB94A-35A8-420D-A8FF-922B219B3F00}"/>
    <cellStyle name="40% - Akzent3 4 10 3" xfId="26142" xr:uid="{DA84F1FA-7F6E-4691-B3AC-234D82BB764C}"/>
    <cellStyle name="40% - Akzent3 4 11" xfId="6707" xr:uid="{6D6427B4-91B8-4216-834E-B48710093823}"/>
    <cellStyle name="40% - Akzent3 4 11 2" xfId="6708" xr:uid="{537883BF-B3D0-40BA-8D62-6F6068F45992}"/>
    <cellStyle name="40% - Akzent3 4 11 2 2" xfId="26145" xr:uid="{E349F0B2-C430-474C-91EB-2BC2016C21EC}"/>
    <cellStyle name="40% - Akzent3 4 11 3" xfId="26144" xr:uid="{F83A9B66-0A3F-4773-82DB-6DC87FEE0083}"/>
    <cellStyle name="40% - Akzent3 4 12" xfId="6709" xr:uid="{0D5667EA-CFF3-45B6-813D-143DD1C512D6}"/>
    <cellStyle name="40% - Akzent3 4 12 2" xfId="6710" xr:uid="{325A6CB6-1328-4732-B650-0E95ADBE6CBD}"/>
    <cellStyle name="40% - Akzent3 4 12 2 2" xfId="26147" xr:uid="{5A40922B-2914-4170-A1C2-8604EB063709}"/>
    <cellStyle name="40% - Akzent3 4 12 3" xfId="26146" xr:uid="{867365D6-A35D-4D76-AC2B-B64DA8522FF1}"/>
    <cellStyle name="40% - Akzent3 4 13" xfId="6711" xr:uid="{4F708800-4229-4802-985F-DFCB7AC61C33}"/>
    <cellStyle name="40% - Akzent3 4 13 2" xfId="6712" xr:uid="{8FD9F0C6-C08C-464D-8243-8A916A009CF2}"/>
    <cellStyle name="40% - Akzent3 4 13 2 2" xfId="26149" xr:uid="{D434AD52-0E97-49AE-8BB8-421D5D1064D4}"/>
    <cellStyle name="40% - Akzent3 4 13 3" xfId="26148" xr:uid="{DD489CAC-EFEB-4846-8F69-D075B164A43B}"/>
    <cellStyle name="40% - Akzent3 4 14" xfId="6713" xr:uid="{EF872234-FFEF-464A-8C2F-31BA6CF083FF}"/>
    <cellStyle name="40% - Akzent3 4 14 2" xfId="6714" xr:uid="{1571F373-E0D5-4484-9E0E-1BFFA1A5F3DE}"/>
    <cellStyle name="40% - Akzent3 4 14 2 2" xfId="26151" xr:uid="{66A6A142-3295-4303-BEA4-DF53E9CD5116}"/>
    <cellStyle name="40% - Akzent3 4 14 3" xfId="26150" xr:uid="{1BBBFE4A-AA4B-4630-8C37-B47C9E6AA57E}"/>
    <cellStyle name="40% - Akzent3 4 15" xfId="6715" xr:uid="{FF69B474-0503-4230-8EF5-ACE342E53B87}"/>
    <cellStyle name="40% - Akzent3 4 15 2" xfId="6716" xr:uid="{91AD1023-E1CF-47AB-9DC5-CFCD6D4D2C08}"/>
    <cellStyle name="40% - Akzent3 4 15 2 2" xfId="26153" xr:uid="{E236D81E-5550-431B-B42E-C2A520F841D1}"/>
    <cellStyle name="40% - Akzent3 4 15 3" xfId="26152" xr:uid="{92FADF7A-4F85-4BEE-B5AB-27DDC8930DA4}"/>
    <cellStyle name="40% - Akzent3 4 16" xfId="6717" xr:uid="{445F04B6-E488-4330-891B-0568D3E65A90}"/>
    <cellStyle name="40% - Akzent3 4 16 2" xfId="6718" xr:uid="{00B33DA0-95B2-41F5-8947-BCDDD22D8430}"/>
    <cellStyle name="40% - Akzent3 4 16 2 2" xfId="26155" xr:uid="{F24FC033-99D7-44E4-844F-623F1084C492}"/>
    <cellStyle name="40% - Akzent3 4 16 3" xfId="26154" xr:uid="{FEA36777-E772-4DC4-AA4A-E238ABB4B79E}"/>
    <cellStyle name="40% - Akzent3 4 17" xfId="6719" xr:uid="{5FF48CAC-4B9B-4B99-888A-47764137E116}"/>
    <cellStyle name="40% - Akzent3 4 17 2" xfId="6720" xr:uid="{B2513E91-7A95-45DD-AA77-DF31A292225C}"/>
    <cellStyle name="40% - Akzent3 4 17 2 2" xfId="26157" xr:uid="{D4B9F724-6D30-4C42-A224-D0C6346E2B87}"/>
    <cellStyle name="40% - Akzent3 4 17 3" xfId="26156" xr:uid="{3D32934B-1D28-47C7-A558-947BE07337F9}"/>
    <cellStyle name="40% - Akzent3 4 18" xfId="6721" xr:uid="{79BFE833-B80A-4DD8-A221-50284B519016}"/>
    <cellStyle name="40% - Akzent3 4 18 2" xfId="6722" xr:uid="{96FC3550-E4A6-445A-9B60-97D54CEFC0CA}"/>
    <cellStyle name="40% - Akzent3 4 18 2 2" xfId="26159" xr:uid="{5C1C7B12-B17F-4BBD-9D9A-F7BDC243BDB1}"/>
    <cellStyle name="40% - Akzent3 4 18 3" xfId="26158" xr:uid="{AC2A3700-D62D-4730-AE99-511CA11B37D6}"/>
    <cellStyle name="40% - Akzent3 4 19" xfId="6723" xr:uid="{9DF3B728-7EA8-4A6B-A727-366677AAF206}"/>
    <cellStyle name="40% - Akzent3 4 19 2" xfId="6724" xr:uid="{43E89DA9-5727-47A4-B99E-EB254F1CA756}"/>
    <cellStyle name="40% - Akzent3 4 19 2 2" xfId="26161" xr:uid="{27116F47-CB5A-4038-8008-D99ED779DFFE}"/>
    <cellStyle name="40% - Akzent3 4 19 3" xfId="26160" xr:uid="{8B23332E-F014-4C4C-90EA-E3AE6CD9C4EB}"/>
    <cellStyle name="40% - Akzent3 4 2" xfId="6725" xr:uid="{C4E14783-8BA2-4480-ABFB-1D933B4AE3EA}"/>
    <cellStyle name="40% - Akzent3 4 2 2" xfId="6726" xr:uid="{8BDB1C10-1372-474B-8496-25C2E9D8AF92}"/>
    <cellStyle name="40% - Akzent3 4 2 2 2" xfId="6727" xr:uid="{1359AA7E-D604-4184-9B04-DDCC259046C9}"/>
    <cellStyle name="40% - Akzent3 4 2 2 2 2" xfId="26164" xr:uid="{8C718722-8160-4BDE-A381-1CEA3C517AED}"/>
    <cellStyle name="40% - Akzent3 4 2 2 3" xfId="26163" xr:uid="{337BFD58-E34D-4D65-ACCF-101207C6835E}"/>
    <cellStyle name="40% - Akzent3 4 2 2 4" xfId="40899" xr:uid="{172F8D42-F026-40F6-991F-66AB3D902566}"/>
    <cellStyle name="40% - Akzent3 4 2 3" xfId="26162" xr:uid="{A8A2BD50-A011-4154-B3A4-0E4AE5843E7A}"/>
    <cellStyle name="40% - Akzent3 4 2 3 2" xfId="41759" xr:uid="{6C99CC2D-55EB-4F9E-AE8A-0E914DC31A74}"/>
    <cellStyle name="40% - Akzent3 4 2 4" xfId="39953" xr:uid="{D535B957-34CD-4C98-9F45-E7D5251C97A3}"/>
    <cellStyle name="40% - Akzent3 4 20" xfId="6728" xr:uid="{FC3EAD3F-CA50-4E64-ABF2-F0E2237BCB29}"/>
    <cellStyle name="40% - Akzent3 4 20 2" xfId="6729" xr:uid="{1F01F33C-F03E-4654-9E4A-C89E756A8B54}"/>
    <cellStyle name="40% - Akzent3 4 20 2 2" xfId="26166" xr:uid="{8106BBD3-4274-4424-8A8D-96EE7EB9AB50}"/>
    <cellStyle name="40% - Akzent3 4 20 3" xfId="26165" xr:uid="{8A759F34-FA4C-4BFA-BD2A-B436FAC2DBE3}"/>
    <cellStyle name="40% - Akzent3 4 21" xfId="6730" xr:uid="{F575BF5D-666D-484C-ABBA-5923953920CF}"/>
    <cellStyle name="40% - Akzent3 4 21 2" xfId="6731" xr:uid="{3F999628-1587-47EE-838C-4F5EAD09B615}"/>
    <cellStyle name="40% - Akzent3 4 21 2 2" xfId="26168" xr:uid="{42B91516-2FEB-4ED1-B75F-410AA6CB45E0}"/>
    <cellStyle name="40% - Akzent3 4 21 3" xfId="26167" xr:uid="{1B7B4622-125C-4744-872F-C7397F22D515}"/>
    <cellStyle name="40% - Akzent3 4 22" xfId="6732" xr:uid="{746238EB-A250-41CA-8FA3-7DA11B437F99}"/>
    <cellStyle name="40% - Akzent3 4 22 2" xfId="26169" xr:uid="{ADEF7C77-74D6-414E-A5C7-60093C022E1E}"/>
    <cellStyle name="40% - Akzent3 4 23" xfId="6733" xr:uid="{0A96607D-7309-4F57-9CC3-2A038C3005F6}"/>
    <cellStyle name="40% - Akzent3 4 23 2" xfId="26170" xr:uid="{68501642-FC77-4102-A41B-FCC1B788FAA0}"/>
    <cellStyle name="40% - Akzent3 4 24" xfId="26141" xr:uid="{230596DC-B296-417A-983A-AC16C3A797C0}"/>
    <cellStyle name="40% - Akzent3 4 25" xfId="39318" xr:uid="{EF2B7326-7FA5-41A8-BCD2-678BCE6F4F42}"/>
    <cellStyle name="40% - Akzent3 4 26" xfId="6704" xr:uid="{7D37F63B-C7FD-42B9-A55A-87AA927C2DDA}"/>
    <cellStyle name="40% - Akzent3 4 3" xfId="6734" xr:uid="{2E73695E-2EA6-4D7D-98AD-487D517FA01F}"/>
    <cellStyle name="40% - Akzent3 4 3 2" xfId="6735" xr:uid="{51BE5B99-233B-48B7-AA28-8DDD3756E698}"/>
    <cellStyle name="40% - Akzent3 4 3 2 2" xfId="26172" xr:uid="{3E85AF3F-3A9C-440D-9E2A-4ED093393D07}"/>
    <cellStyle name="40% - Akzent3 4 3 2 3" xfId="40898" xr:uid="{A3D75D1B-DA47-424F-B498-D2D9CC683165}"/>
    <cellStyle name="40% - Akzent3 4 3 3" xfId="26171" xr:uid="{0AB5F4A4-EF7C-4AEE-8CF3-656D2A8D976E}"/>
    <cellStyle name="40% - Akzent3 4 3 3 2" xfId="41758" xr:uid="{5A1E8935-79FD-426F-A7EC-53C787864A68}"/>
    <cellStyle name="40% - Akzent3 4 3 4" xfId="39952" xr:uid="{0B64043F-F4FD-4D29-BC30-AD4CFEA3FE3E}"/>
    <cellStyle name="40% - Akzent3 4 4" xfId="6736" xr:uid="{34D74E54-7BA5-4D33-B442-9A9E27221BFB}"/>
    <cellStyle name="40% - Akzent3 4 4 2" xfId="6737" xr:uid="{AF722806-2AED-4969-8E62-F2E65DF74646}"/>
    <cellStyle name="40% - Akzent3 4 4 2 2" xfId="26174" xr:uid="{6691E3A7-7CEB-4450-B8DC-B06C68621BFB}"/>
    <cellStyle name="40% - Akzent3 4 4 3" xfId="26173" xr:uid="{34B745F4-B4FF-4E96-A849-678765FB78A2}"/>
    <cellStyle name="40% - Akzent3 4 4 4" xfId="40465" xr:uid="{AF0EAB58-B356-4F14-B2AB-1F02F4A299B6}"/>
    <cellStyle name="40% - Akzent3 4 5" xfId="6738" xr:uid="{2FCFC4BB-3EE3-455D-8A7E-42CD27066A3A}"/>
    <cellStyle name="40% - Akzent3 4 5 2" xfId="6739" xr:uid="{B852EF42-9287-4C94-BBFC-16472F868661}"/>
    <cellStyle name="40% - Akzent3 4 5 2 2" xfId="26176" xr:uid="{D77E8658-C962-4B29-8C85-DD808F2FE458}"/>
    <cellStyle name="40% - Akzent3 4 5 3" xfId="26175" xr:uid="{07F42AA4-43C9-499E-85C9-AC60FA5E9DB7}"/>
    <cellStyle name="40% - Akzent3 4 5 4" xfId="41325" xr:uid="{5D7CF52D-2304-4B6F-A074-98DA50993B65}"/>
    <cellStyle name="40% - Akzent3 4 6" xfId="6740" xr:uid="{1F8DDC26-51DC-4C6F-8C5D-A1AFED4F3248}"/>
    <cellStyle name="40% - Akzent3 4 6 2" xfId="6741" xr:uid="{A035081C-8AB7-472F-BD62-F3C5F0105F11}"/>
    <cellStyle name="40% - Akzent3 4 6 2 2" xfId="26178" xr:uid="{9310497B-14AA-4D5B-B6B5-41ABA7C68AD0}"/>
    <cellStyle name="40% - Akzent3 4 6 3" xfId="26177" xr:uid="{EFE93721-C915-46A5-B258-005985C3ABF0}"/>
    <cellStyle name="40% - Akzent3 4 7" xfId="6742" xr:uid="{9202C7AA-7586-4C7B-A08D-9F5C05E4C349}"/>
    <cellStyle name="40% - Akzent3 4 7 2" xfId="6743" xr:uid="{DA29B806-E36D-4DDE-A499-7AABC3698D4A}"/>
    <cellStyle name="40% - Akzent3 4 7 2 2" xfId="26180" xr:uid="{C123A803-7074-49FF-81DD-DCE940F918B6}"/>
    <cellStyle name="40% - Akzent3 4 7 3" xfId="26179" xr:uid="{CFB2067E-CC44-41FE-9701-A0C2213B92CD}"/>
    <cellStyle name="40% - Akzent3 4 8" xfId="6744" xr:uid="{93FEE059-2A25-4AB8-89ED-684800402978}"/>
    <cellStyle name="40% - Akzent3 4 8 2" xfId="6745" xr:uid="{A2A7692B-AE90-4834-8E94-95601EB37F7C}"/>
    <cellStyle name="40% - Akzent3 4 8 2 2" xfId="26182" xr:uid="{C1EE2D0E-1892-418A-AB0A-B4A8343357D5}"/>
    <cellStyle name="40% - Akzent3 4 8 3" xfId="26181" xr:uid="{B68D0445-33C7-4DC7-92DE-CDA3C4D68553}"/>
    <cellStyle name="40% - Akzent3 4 9" xfId="6746" xr:uid="{1FF39332-CB78-42FB-8740-D8B3C9C9BE51}"/>
    <cellStyle name="40% - Akzent3 4 9 2" xfId="6747" xr:uid="{8139FAC0-9460-4CDB-BF67-C09CA3F39B94}"/>
    <cellStyle name="40% - Akzent3 4 9 2 2" xfId="26184" xr:uid="{E6532BC1-8315-4364-A36D-494FD95D448F}"/>
    <cellStyle name="40% - Akzent3 4 9 3" xfId="26183" xr:uid="{916C255E-C41C-4AEA-9F6D-96D58EF4C7D5}"/>
    <cellStyle name="40% - Akzent3 40" xfId="6748" xr:uid="{A72D2518-86EF-4C51-8482-385B6493A5A6}"/>
    <cellStyle name="40% - Akzent3 40 2" xfId="6749" xr:uid="{6158BD73-2CFA-46C0-9175-48BB87C72BFA}"/>
    <cellStyle name="40% - Akzent3 40 2 2" xfId="26186" xr:uid="{3DF22C14-E185-4719-8EC0-3EA1FBE627B4}"/>
    <cellStyle name="40% - Akzent3 40 3" xfId="26185" xr:uid="{57589F3A-38A2-4767-82C2-88601A29AB55}"/>
    <cellStyle name="40% - Akzent3 41" xfId="6750" xr:uid="{EFFD8EB9-A782-4518-8735-5F357955B9CC}"/>
    <cellStyle name="40% - Akzent3 41 2" xfId="6751" xr:uid="{9F8522D3-5E37-4D0F-9B38-D5AFED2F0AD1}"/>
    <cellStyle name="40% - Akzent3 41 2 2" xfId="26188" xr:uid="{51AEE441-177D-4B8F-8799-2437294C870D}"/>
    <cellStyle name="40% - Akzent3 41 3" xfId="26187" xr:uid="{797E7986-A41B-4B18-A8A6-4053CD94D35B}"/>
    <cellStyle name="40% - Akzent3 42" xfId="6752" xr:uid="{8BC1BBB5-6B99-4ABE-BE52-9B34BF2C98E0}"/>
    <cellStyle name="40% - Akzent3 42 2" xfId="6753" xr:uid="{7F22EF63-13CA-43D9-8B06-E18BC3DBB12F}"/>
    <cellStyle name="40% - Akzent3 42 2 2" xfId="26190" xr:uid="{44B085F1-681C-4D75-BA05-C02EE072C6EC}"/>
    <cellStyle name="40% - Akzent3 42 3" xfId="26189" xr:uid="{516BF449-0541-44F6-B199-AFB9D1E36D5B}"/>
    <cellStyle name="40% - Akzent3 43" xfId="6754" xr:uid="{E6B159A4-D6EB-47EB-A108-AE4C494B4A8D}"/>
    <cellStyle name="40% - Akzent3 43 2" xfId="6755" xr:uid="{3A70D79E-B1F8-4FCF-B6F2-4FD7049733C2}"/>
    <cellStyle name="40% - Akzent3 43 2 2" xfId="26192" xr:uid="{D1401A6C-7575-4F6F-A18B-A24118927AE3}"/>
    <cellStyle name="40% - Akzent3 43 3" xfId="26191" xr:uid="{843052D9-6F67-4069-B7BC-CFD09E249ECF}"/>
    <cellStyle name="40% - Akzent3 44" xfId="6756" xr:uid="{62284DE1-D913-4342-B085-C467765B1F3A}"/>
    <cellStyle name="40% - Akzent3 44 2" xfId="6757" xr:uid="{F365C5F4-1CED-4B82-A7FA-61D14F7F0F93}"/>
    <cellStyle name="40% - Akzent3 44 2 2" xfId="26194" xr:uid="{9D010AC3-79FA-40F8-B842-3B5AF34BD21F}"/>
    <cellStyle name="40% - Akzent3 44 3" xfId="26193" xr:uid="{5511771E-4E72-498C-A60A-BCE78AA485B5}"/>
    <cellStyle name="40% - Akzent3 45" xfId="6758" xr:uid="{6845FE51-B3DC-4A17-898D-F196933EB055}"/>
    <cellStyle name="40% - Akzent3 45 2" xfId="6759" xr:uid="{AF28B6B9-2422-4F84-8225-2F3CFF74FEEB}"/>
    <cellStyle name="40% - Akzent3 45 2 2" xfId="26196" xr:uid="{557A56A8-8C05-4167-8A15-D92AAA8807F8}"/>
    <cellStyle name="40% - Akzent3 45 3" xfId="26195" xr:uid="{A03FDB2F-EC6D-4714-9177-AADD09C561C4}"/>
    <cellStyle name="40% - Akzent3 46" xfId="6760" xr:uid="{24298217-530A-4C50-A42A-E5DECD143ED4}"/>
    <cellStyle name="40% - Akzent3 46 2" xfId="6761" xr:uid="{715CF941-BEF3-4552-BB2E-B811CDA75931}"/>
    <cellStyle name="40% - Akzent3 46 2 2" xfId="26198" xr:uid="{FE53CAE0-603F-4C9F-868E-233876474ED8}"/>
    <cellStyle name="40% - Akzent3 46 3" xfId="26197" xr:uid="{1AB42F93-1DBE-42F0-85A1-DB5D2BE3D481}"/>
    <cellStyle name="40% - Akzent3 47" xfId="6762" xr:uid="{E47F192C-3768-4A95-B8B1-7D0DB80BDC25}"/>
    <cellStyle name="40% - Akzent3 47 2" xfId="6763" xr:uid="{6CAD2E9B-656A-486B-8CBF-5A1A71589CD1}"/>
    <cellStyle name="40% - Akzent3 47 2 2" xfId="26200" xr:uid="{E020F964-3E8D-415C-87AF-35D29DC96285}"/>
    <cellStyle name="40% - Akzent3 47 3" xfId="26199" xr:uid="{81AD9952-E89A-4034-A881-CC26504AAAE6}"/>
    <cellStyle name="40% - Akzent3 48" xfId="6764" xr:uid="{53382879-B7C5-4E96-8E05-C32584588F20}"/>
    <cellStyle name="40% - Akzent3 48 2" xfId="6765" xr:uid="{F4660B53-244F-4F8F-9D2E-08FC3B91382C}"/>
    <cellStyle name="40% - Akzent3 48 2 2" xfId="26202" xr:uid="{E5F062E8-FDCC-4702-BB37-EB1B387725F6}"/>
    <cellStyle name="40% - Akzent3 48 3" xfId="26201" xr:uid="{09B4E9B3-64F7-46D8-9F63-85BCFF0D5CB6}"/>
    <cellStyle name="40% - Akzent3 49" xfId="6766" xr:uid="{D2226708-61BC-4A90-A00C-A55AF6070AFF}"/>
    <cellStyle name="40% - Akzent3 49 2" xfId="6767" xr:uid="{2E00B2BA-D886-46DF-8570-D5CBB09AD75E}"/>
    <cellStyle name="40% - Akzent3 49 2 2" xfId="26204" xr:uid="{474A068B-0F9E-41C3-A0C3-8EDCAB307FDA}"/>
    <cellStyle name="40% - Akzent3 49 3" xfId="26203" xr:uid="{9E75A023-BD48-4BCE-A4EA-DBD2921E69EC}"/>
    <cellStyle name="40% - Akzent3 5" xfId="6768" xr:uid="{F1DFC00B-149D-49A4-BF84-7AE4F8002D8E}"/>
    <cellStyle name="40% - Akzent3 5 10" xfId="6769" xr:uid="{59B2FDAC-E0B0-4E9D-A51C-A04A275A568F}"/>
    <cellStyle name="40% - Akzent3 5 10 2" xfId="6770" xr:uid="{69C5829C-0A4F-4EA8-B0A8-D69A47E81619}"/>
    <cellStyle name="40% - Akzent3 5 10 2 2" xfId="26207" xr:uid="{CB234E5D-FE48-4B6B-9E44-9BBFCC880511}"/>
    <cellStyle name="40% - Akzent3 5 10 3" xfId="26206" xr:uid="{1A3B4395-1043-4E0E-B707-CA6BDDAD6CD0}"/>
    <cellStyle name="40% - Akzent3 5 11" xfId="6771" xr:uid="{EBE50D43-B6C7-44C1-A450-252E8056A6EB}"/>
    <cellStyle name="40% - Akzent3 5 11 2" xfId="6772" xr:uid="{A9C2ACFB-DC48-4008-AE26-00591DE5EE3C}"/>
    <cellStyle name="40% - Akzent3 5 11 2 2" xfId="26209" xr:uid="{3D7EAFB8-8C37-4101-B426-29BADCB04B62}"/>
    <cellStyle name="40% - Akzent3 5 11 3" xfId="26208" xr:uid="{884FEF78-894C-43ED-8A54-EA72DE20F02E}"/>
    <cellStyle name="40% - Akzent3 5 12" xfId="6773" xr:uid="{88523C01-AE3E-4B56-8DCF-C386EE5426BB}"/>
    <cellStyle name="40% - Akzent3 5 12 2" xfId="6774" xr:uid="{86E6E340-00C8-4F15-BC64-767AFDA456AB}"/>
    <cellStyle name="40% - Akzent3 5 12 2 2" xfId="26211" xr:uid="{5301230E-49DE-46EE-9B16-376D07E472E5}"/>
    <cellStyle name="40% - Akzent3 5 12 3" xfId="26210" xr:uid="{2E0F9C20-786D-4634-87BA-3EA41435FFEE}"/>
    <cellStyle name="40% - Akzent3 5 13" xfId="6775" xr:uid="{DF68DD4C-1235-42D1-BF6A-9814823B3942}"/>
    <cellStyle name="40% - Akzent3 5 13 2" xfId="6776" xr:uid="{5998FB01-6B10-4E71-9CEE-FE951B1993FD}"/>
    <cellStyle name="40% - Akzent3 5 13 2 2" xfId="26213" xr:uid="{D33766E9-46C0-4D73-8626-F32AEB718D8E}"/>
    <cellStyle name="40% - Akzent3 5 13 3" xfId="26212" xr:uid="{FF79BC79-F46A-4B4C-B289-F539157827A7}"/>
    <cellStyle name="40% - Akzent3 5 14" xfId="6777" xr:uid="{215B1E82-2656-4F97-9660-6087C45C1E0F}"/>
    <cellStyle name="40% - Akzent3 5 14 2" xfId="6778" xr:uid="{7C1186E3-9212-4308-95ED-CD270348673E}"/>
    <cellStyle name="40% - Akzent3 5 14 2 2" xfId="26215" xr:uid="{FD897105-66EF-4CA0-867D-F899B81925ED}"/>
    <cellStyle name="40% - Akzent3 5 14 3" xfId="26214" xr:uid="{CCE9AAE8-06B5-4D15-9404-A4999C6B7D4F}"/>
    <cellStyle name="40% - Akzent3 5 15" xfId="6779" xr:uid="{E0C81D82-EEC2-4541-A279-79DF88E36940}"/>
    <cellStyle name="40% - Akzent3 5 15 2" xfId="6780" xr:uid="{B0F8BDAD-B774-48EE-A217-A6805D34B8E9}"/>
    <cellStyle name="40% - Akzent3 5 15 2 2" xfId="26217" xr:uid="{C99F5BAF-C53D-488B-9B33-C9098F2F1F12}"/>
    <cellStyle name="40% - Akzent3 5 15 3" xfId="26216" xr:uid="{8CAB00CD-A828-4438-AFCE-DCA61F17E987}"/>
    <cellStyle name="40% - Akzent3 5 16" xfId="6781" xr:uid="{12A22C3F-98D1-4361-BF96-797E4BA1065B}"/>
    <cellStyle name="40% - Akzent3 5 16 2" xfId="6782" xr:uid="{FEC94186-26E1-4707-AAF9-CE81D9E46DF2}"/>
    <cellStyle name="40% - Akzent3 5 16 2 2" xfId="26219" xr:uid="{17E6C522-F298-4EF8-8FE8-70742BE73A17}"/>
    <cellStyle name="40% - Akzent3 5 16 3" xfId="26218" xr:uid="{4F28458C-8BF5-4400-A05A-84A3F1C6270D}"/>
    <cellStyle name="40% - Akzent3 5 17" xfId="6783" xr:uid="{0F69FE3A-9916-4DAD-9A5C-405E11650C36}"/>
    <cellStyle name="40% - Akzent3 5 17 2" xfId="6784" xr:uid="{5A76D60B-23DB-4ABB-BA21-1081277827FB}"/>
    <cellStyle name="40% - Akzent3 5 17 2 2" xfId="26221" xr:uid="{DA0135A8-701C-4890-AD81-2EE2DF92ED6B}"/>
    <cellStyle name="40% - Akzent3 5 17 3" xfId="26220" xr:uid="{2345CDB7-EF74-44DD-946A-49A3E06B594D}"/>
    <cellStyle name="40% - Akzent3 5 18" xfId="6785" xr:uid="{FDB915CA-36AA-4D32-95AC-86F32535218D}"/>
    <cellStyle name="40% - Akzent3 5 18 2" xfId="6786" xr:uid="{CA937E40-9FB2-486D-97F8-817A12B7C7EE}"/>
    <cellStyle name="40% - Akzent3 5 18 2 2" xfId="26223" xr:uid="{463A6150-0877-4CF2-A4A0-9190BCD81D26}"/>
    <cellStyle name="40% - Akzent3 5 18 3" xfId="26222" xr:uid="{1B00CF3E-AD14-4E4D-AC03-048B22810A20}"/>
    <cellStyle name="40% - Akzent3 5 19" xfId="6787" xr:uid="{AB78B9AE-1F61-45FA-B98F-5450915C197E}"/>
    <cellStyle name="40% - Akzent3 5 19 2" xfId="6788" xr:uid="{E3E653A7-64E2-4038-B9C7-F3B2F0AC55B0}"/>
    <cellStyle name="40% - Akzent3 5 19 2 2" xfId="26225" xr:uid="{1943341E-7F33-49ED-9565-DCF86FBE8D4A}"/>
    <cellStyle name="40% - Akzent3 5 19 3" xfId="26224" xr:uid="{3A023C6C-E1B6-4725-B60A-72911BA4AC3F}"/>
    <cellStyle name="40% - Akzent3 5 2" xfId="6789" xr:uid="{AA80BA27-438D-42C9-A576-DB16501A8E6E}"/>
    <cellStyle name="40% - Akzent3 5 2 2" xfId="6790" xr:uid="{ED67514D-ED77-497A-A186-7740C61A24BC}"/>
    <cellStyle name="40% - Akzent3 5 2 2 2" xfId="26227" xr:uid="{1296538F-E64C-44B5-B4DF-D7504AF20ED6}"/>
    <cellStyle name="40% - Akzent3 5 2 3" xfId="26226" xr:uid="{9E733314-0EF3-4054-9D74-414E17BC75C5}"/>
    <cellStyle name="40% - Akzent3 5 20" xfId="6791" xr:uid="{FFA91E0A-5AB4-4198-A86F-D55998124632}"/>
    <cellStyle name="40% - Akzent3 5 20 2" xfId="6792" xr:uid="{E6D80737-9DE8-4DA1-85E4-F2BEE61FADC7}"/>
    <cellStyle name="40% - Akzent3 5 20 2 2" xfId="26229" xr:uid="{443859F7-226D-46AC-A4FC-CC2F5484C77D}"/>
    <cellStyle name="40% - Akzent3 5 20 3" xfId="26228" xr:uid="{9EB2ECD7-0CF7-45EA-82C5-82AE5C06041A}"/>
    <cellStyle name="40% - Akzent3 5 21" xfId="6793" xr:uid="{DD699290-1DFD-42B6-B305-ACD8EA0F18FC}"/>
    <cellStyle name="40% - Akzent3 5 21 2" xfId="6794" xr:uid="{7051A368-9C0F-4DC2-AAF9-C68DB96A681E}"/>
    <cellStyle name="40% - Akzent3 5 21 2 2" xfId="26231" xr:uid="{1019274A-1312-4BD2-8FA6-86F4D80817AC}"/>
    <cellStyle name="40% - Akzent3 5 21 3" xfId="26230" xr:uid="{6195617D-0577-46BE-9701-5A287C9A10AD}"/>
    <cellStyle name="40% - Akzent3 5 22" xfId="6795" xr:uid="{3DE362D2-979F-4CA5-9FC7-F2BF6C1B9B13}"/>
    <cellStyle name="40% - Akzent3 5 22 2" xfId="26232" xr:uid="{0EE98966-0F36-4BE2-B9AD-0B844463C547}"/>
    <cellStyle name="40% - Akzent3 5 23" xfId="6796" xr:uid="{EB78ED02-E959-4961-B68A-93965FEE4557}"/>
    <cellStyle name="40% - Akzent3 5 23 2" xfId="26233" xr:uid="{FF27A328-0C9F-464B-A2E6-480A18BC19C4}"/>
    <cellStyle name="40% - Akzent3 5 24" xfId="26205" xr:uid="{CA6072B3-4C94-4944-A701-748D9616538D}"/>
    <cellStyle name="40% - Akzent3 5 25" xfId="39319" xr:uid="{BABECA7A-1FCE-45CA-B4DF-F33755E2B0A5}"/>
    <cellStyle name="40% - Akzent3 5 3" xfId="6797" xr:uid="{F3C5CAB4-6A81-40B0-8916-D27992048164}"/>
    <cellStyle name="40% - Akzent3 5 3 2" xfId="6798" xr:uid="{085CFA44-7B0A-4C93-86FD-8730D2E80BFD}"/>
    <cellStyle name="40% - Akzent3 5 3 2 2" xfId="26235" xr:uid="{125B5DC1-20DC-465C-B1F2-F38500818E48}"/>
    <cellStyle name="40% - Akzent3 5 3 3" xfId="26234" xr:uid="{C7E4E4D7-9ABF-4702-B8BE-B7917D166F32}"/>
    <cellStyle name="40% - Akzent3 5 4" xfId="6799" xr:uid="{76821822-6785-4CCE-BBBB-AB9F9665856F}"/>
    <cellStyle name="40% - Akzent3 5 4 2" xfId="6800" xr:uid="{88902BF3-68D8-4CA8-B8A6-E0F2D8E17308}"/>
    <cellStyle name="40% - Akzent3 5 4 2 2" xfId="26237" xr:uid="{A5FCBDBB-D58C-49F7-8452-77F8DD7F3D12}"/>
    <cellStyle name="40% - Akzent3 5 4 3" xfId="26236" xr:uid="{F542E98D-8394-4BC7-BB97-75FF3FC7CFE6}"/>
    <cellStyle name="40% - Akzent3 5 5" xfId="6801" xr:uid="{0E7F4BE6-4E94-4DFF-80CE-495F101F733E}"/>
    <cellStyle name="40% - Akzent3 5 5 2" xfId="6802" xr:uid="{61336C77-13A3-430B-9C8C-D90C64A9A4F2}"/>
    <cellStyle name="40% - Akzent3 5 5 2 2" xfId="26239" xr:uid="{B25059F8-2D37-4E44-98EA-728F373B6398}"/>
    <cellStyle name="40% - Akzent3 5 5 3" xfId="26238" xr:uid="{FB95EFD5-4724-406A-99C9-AB951B0FA004}"/>
    <cellStyle name="40% - Akzent3 5 6" xfId="6803" xr:uid="{E32BC501-5C61-4336-B0AA-FFEB41F2A064}"/>
    <cellStyle name="40% - Akzent3 5 6 2" xfId="6804" xr:uid="{C7E7D677-FD86-46A1-B88F-81BD86DE2D7C}"/>
    <cellStyle name="40% - Akzent3 5 6 2 2" xfId="26241" xr:uid="{047881A1-5D5D-43EC-91F5-1E18B09D7D7B}"/>
    <cellStyle name="40% - Akzent3 5 6 3" xfId="26240" xr:uid="{33DA6E18-8734-407E-94BF-E721B0B309B0}"/>
    <cellStyle name="40% - Akzent3 5 7" xfId="6805" xr:uid="{A59D0D72-920E-4F20-B2CE-11608D30FC83}"/>
    <cellStyle name="40% - Akzent3 5 7 2" xfId="6806" xr:uid="{2DFB4883-C16E-4DCA-8451-21FA792A8E11}"/>
    <cellStyle name="40% - Akzent3 5 7 2 2" xfId="26243" xr:uid="{D5CC7128-514A-4A0E-995F-085A3FB31954}"/>
    <cellStyle name="40% - Akzent3 5 7 3" xfId="26242" xr:uid="{35652C12-9CFA-4EB9-B125-D9B456A1F5AD}"/>
    <cellStyle name="40% - Akzent3 5 8" xfId="6807" xr:uid="{6DBCEF4D-4422-437A-9B44-DB5B746A1663}"/>
    <cellStyle name="40% - Akzent3 5 8 2" xfId="6808" xr:uid="{32CAB084-335A-47A2-B8C8-6E511C689700}"/>
    <cellStyle name="40% - Akzent3 5 8 2 2" xfId="26245" xr:uid="{C3A21B8F-47F1-4F73-9D85-82806B708BB0}"/>
    <cellStyle name="40% - Akzent3 5 8 3" xfId="26244" xr:uid="{B9F43F00-63DA-4FAD-A346-F21D4CF8F454}"/>
    <cellStyle name="40% - Akzent3 5 9" xfId="6809" xr:uid="{FF2BD23B-8DC0-49CA-8D62-ED3D7CBB2E59}"/>
    <cellStyle name="40% - Akzent3 5 9 2" xfId="6810" xr:uid="{1F791003-C873-4E64-8488-FCBE680ABECC}"/>
    <cellStyle name="40% - Akzent3 5 9 2 2" xfId="26247" xr:uid="{0EE851E4-CC14-4056-91B2-FA7C71CB9996}"/>
    <cellStyle name="40% - Akzent3 5 9 3" xfId="26246" xr:uid="{06B203B8-697B-480E-A5D6-7ADB0DC0516E}"/>
    <cellStyle name="40% - Akzent3 50" xfId="6811" xr:uid="{55DBD952-EBA0-4712-B0FA-65729436EE1D}"/>
    <cellStyle name="40% - Akzent3 50 2" xfId="6812" xr:uid="{48E295EB-CE40-4125-8886-92E51E02B999}"/>
    <cellStyle name="40% - Akzent3 50 2 2" xfId="26249" xr:uid="{C447CF5A-D233-4D58-9546-50B4DD07A90B}"/>
    <cellStyle name="40% - Akzent3 50 3" xfId="26248" xr:uid="{71B9FB49-F4C0-45AB-807E-3A8252072152}"/>
    <cellStyle name="40% - Akzent3 51" xfId="6813" xr:uid="{0B8A6BA4-1ED4-4BC8-A066-66BA29D66CAC}"/>
    <cellStyle name="40% - Akzent3 51 2" xfId="6814" xr:uid="{EB69F3AF-BD10-4655-8EB4-A137E78E3045}"/>
    <cellStyle name="40% - Akzent3 51 2 2" xfId="26251" xr:uid="{08F88C10-49F3-4EEC-BC02-D13912CC2780}"/>
    <cellStyle name="40% - Akzent3 51 3" xfId="26250" xr:uid="{F6F4576A-753E-4731-A49E-8DE23120BEB8}"/>
    <cellStyle name="40% - Akzent3 52" xfId="6815" xr:uid="{B21A0A55-5DE9-4087-811C-DEF2A8D23394}"/>
    <cellStyle name="40% - Akzent3 52 2" xfId="6816" xr:uid="{FF8E9CE3-74FF-4103-B603-5F5606CA5405}"/>
    <cellStyle name="40% - Akzent3 52 2 2" xfId="26253" xr:uid="{0F10545F-7839-498B-8AB3-2282E74F8EBC}"/>
    <cellStyle name="40% - Akzent3 52 3" xfId="26252" xr:uid="{BC3A15A5-F902-4EDA-AFC3-75C9EDACBDEE}"/>
    <cellStyle name="40% - Akzent3 53" xfId="6817" xr:uid="{CE197A41-4BF8-47D8-9CF9-1F0608F32032}"/>
    <cellStyle name="40% - Akzent3 53 2" xfId="6818" xr:uid="{EF3F3E8C-7C5F-4223-8A56-1E36FBC273B9}"/>
    <cellStyle name="40% - Akzent3 53 2 2" xfId="26255" xr:uid="{A024C5A6-0A60-404A-B990-EB23293BA17A}"/>
    <cellStyle name="40% - Akzent3 53 3" xfId="26254" xr:uid="{DBFA6470-A2F3-49F6-A1A1-DCB1E2EC8B22}"/>
    <cellStyle name="40% - Akzent3 54" xfId="6819" xr:uid="{8A00597D-BF54-4B32-A35C-0B020AD46BBC}"/>
    <cellStyle name="40% - Akzent3 54 2" xfId="6820" xr:uid="{4CC5C1B0-8D05-4390-90F3-39EB9007E21B}"/>
    <cellStyle name="40% - Akzent3 54 2 2" xfId="26257" xr:uid="{389B2A83-3B1E-4EFA-B0F4-BA330B6297FB}"/>
    <cellStyle name="40% - Akzent3 54 3" xfId="26256" xr:uid="{CAB7BEA7-2185-4AF7-9DEE-89E803D728F9}"/>
    <cellStyle name="40% - Akzent3 55" xfId="6821" xr:uid="{177D22EA-A19A-4F7D-B108-399F9CA643DD}"/>
    <cellStyle name="40% - Akzent3 55 2" xfId="6822" xr:uid="{BFA2D7DF-1917-4841-B655-FFAC89905C9D}"/>
    <cellStyle name="40% - Akzent3 55 2 2" xfId="26259" xr:uid="{AC40AC30-032D-4072-AEEE-FF5A11ED4797}"/>
    <cellStyle name="40% - Akzent3 55 3" xfId="26258" xr:uid="{9C1917DE-B99C-4ADB-A474-55C2FBA7BE51}"/>
    <cellStyle name="40% - Akzent3 56" xfId="6823" xr:uid="{29A9197E-0A1E-4904-BC8F-208B94B225EF}"/>
    <cellStyle name="40% - Akzent3 56 2" xfId="6824" xr:uid="{4A5EA457-D746-4E34-9940-85D0D1428CB6}"/>
    <cellStyle name="40% - Akzent3 56 2 2" xfId="26261" xr:uid="{2782ACCF-4FCC-4EC7-98BF-1BF8445FDD22}"/>
    <cellStyle name="40% - Akzent3 56 3" xfId="26260" xr:uid="{E27D4D37-2FEC-4122-8E95-ED3D37F7101A}"/>
    <cellStyle name="40% - Akzent3 57" xfId="6825" xr:uid="{5FA6DBA9-8C72-466A-AF40-59643330CA58}"/>
    <cellStyle name="40% - Akzent3 57 2" xfId="6826" xr:uid="{893BF639-9A69-4505-8B8B-AE8E3F32BF7D}"/>
    <cellStyle name="40% - Akzent3 57 2 2" xfId="26263" xr:uid="{2EAFA450-1C45-43A0-95AB-AF8BF2A7CDB0}"/>
    <cellStyle name="40% - Akzent3 57 3" xfId="26262" xr:uid="{56313FF0-A073-4877-BDD7-A6D4569C0B9E}"/>
    <cellStyle name="40% - Akzent3 58" xfId="6827" xr:uid="{ED5A912F-1340-4017-A5F8-E2A35685829C}"/>
    <cellStyle name="40% - Akzent3 58 2" xfId="6828" xr:uid="{FE8E4223-F982-44D2-8872-A16794845478}"/>
    <cellStyle name="40% - Akzent3 58 2 2" xfId="26265" xr:uid="{34972B22-75CC-4A95-A3BF-250F7E368809}"/>
    <cellStyle name="40% - Akzent3 58 3" xfId="26264" xr:uid="{CA3FF4F0-2EB9-4D46-A246-819E0A6A2883}"/>
    <cellStyle name="40% - Akzent3 59" xfId="6829" xr:uid="{DEDB91E6-B431-46C4-9B06-4CB648FFBCEA}"/>
    <cellStyle name="40% - Akzent3 59 2" xfId="6830" xr:uid="{99F3C21D-217B-4EBF-B860-0EE5ECCBB92C}"/>
    <cellStyle name="40% - Akzent3 59 2 2" xfId="26267" xr:uid="{0E3939CB-1155-47CA-B47D-9948CD0BDB65}"/>
    <cellStyle name="40% - Akzent3 59 3" xfId="26266" xr:uid="{8C9AAC42-3969-4D70-8BB9-0E534923FE21}"/>
    <cellStyle name="40% - Akzent3 6" xfId="6831" xr:uid="{E2CF7798-EA25-42A7-9534-D818A89B9A5A}"/>
    <cellStyle name="40% - Akzent3 6 10" xfId="6832" xr:uid="{B75C887E-5526-4DE1-8D82-90EF4B4AC13D}"/>
    <cellStyle name="40% - Akzent3 6 10 2" xfId="6833" xr:uid="{D45A7BF4-60B4-4948-9EAB-B5CF8567EB31}"/>
    <cellStyle name="40% - Akzent3 6 10 2 2" xfId="26270" xr:uid="{35C04478-22C3-40EA-9409-87B0935305D6}"/>
    <cellStyle name="40% - Akzent3 6 10 3" xfId="26269" xr:uid="{D53D600D-8DED-4EAA-A3AC-1087048BC343}"/>
    <cellStyle name="40% - Akzent3 6 11" xfId="6834" xr:uid="{DB6F6BE9-EEB1-44D4-9EF5-5610E7DF1BA6}"/>
    <cellStyle name="40% - Akzent3 6 11 2" xfId="6835" xr:uid="{8209250E-F1F5-4516-903C-D6C99F6D6136}"/>
    <cellStyle name="40% - Akzent3 6 11 2 2" xfId="26272" xr:uid="{CC662B0A-A7A3-4988-A7BC-41BD0E51490B}"/>
    <cellStyle name="40% - Akzent3 6 11 3" xfId="26271" xr:uid="{B321BF3F-35DF-411E-A999-9BBF07C0678F}"/>
    <cellStyle name="40% - Akzent3 6 12" xfId="6836" xr:uid="{9391973C-A289-4D4F-A598-B6C42BB196E6}"/>
    <cellStyle name="40% - Akzent3 6 12 2" xfId="6837" xr:uid="{F5D0D92C-5307-4177-9E34-35CD655C9B62}"/>
    <cellStyle name="40% - Akzent3 6 12 2 2" xfId="26274" xr:uid="{9FA00532-5D14-478B-BC5A-922441ECDDFD}"/>
    <cellStyle name="40% - Akzent3 6 12 3" xfId="26273" xr:uid="{6AEB9F48-5B33-46B5-BB10-6288286D20E1}"/>
    <cellStyle name="40% - Akzent3 6 13" xfId="6838" xr:uid="{061AB02D-D7D1-4005-AD58-85D764F47A07}"/>
    <cellStyle name="40% - Akzent3 6 13 2" xfId="6839" xr:uid="{64BA0A39-4756-4525-8A52-B09A4B3D47B5}"/>
    <cellStyle name="40% - Akzent3 6 13 2 2" xfId="26276" xr:uid="{A8A3A5A4-7C04-47C7-ADD5-AA3B972C9908}"/>
    <cellStyle name="40% - Akzent3 6 13 3" xfId="26275" xr:uid="{4F8ACEB2-2D86-4CB4-A99D-8C353852A30A}"/>
    <cellStyle name="40% - Akzent3 6 14" xfId="6840" xr:uid="{9621A4E0-5A2E-4456-9275-6725A7893BA6}"/>
    <cellStyle name="40% - Akzent3 6 14 2" xfId="6841" xr:uid="{DD004049-B433-496B-BFF9-A5741C745955}"/>
    <cellStyle name="40% - Akzent3 6 14 2 2" xfId="26278" xr:uid="{873C4ACB-954D-4DD9-BA6C-15CAFE663597}"/>
    <cellStyle name="40% - Akzent3 6 14 3" xfId="26277" xr:uid="{55F96757-AEEC-46DF-9878-C1775CDC20C4}"/>
    <cellStyle name="40% - Akzent3 6 15" xfId="6842" xr:uid="{1D4CFC35-D924-4B9C-B069-76E5DE137AE5}"/>
    <cellStyle name="40% - Akzent3 6 15 2" xfId="6843" xr:uid="{6F1FDD90-72CA-4220-8328-60ABE69DEDFD}"/>
    <cellStyle name="40% - Akzent3 6 15 2 2" xfId="26280" xr:uid="{A794F3A7-0632-40AC-9D21-B3071EF7A0A4}"/>
    <cellStyle name="40% - Akzent3 6 15 3" xfId="26279" xr:uid="{F75B8089-80F9-4628-A74B-E7404503F5FD}"/>
    <cellStyle name="40% - Akzent3 6 16" xfId="6844" xr:uid="{026CD8D7-A3E7-40F9-9A0D-9CF6D0CAAED1}"/>
    <cellStyle name="40% - Akzent3 6 16 2" xfId="6845" xr:uid="{7A32FFE3-F1E2-44BE-A5DC-33CC87F7E281}"/>
    <cellStyle name="40% - Akzent3 6 16 2 2" xfId="26282" xr:uid="{0211C72B-624A-4EC5-AF4E-7B360F7E2912}"/>
    <cellStyle name="40% - Akzent3 6 16 3" xfId="26281" xr:uid="{3B4B0F0C-257F-41EF-BD28-C7708B5C6AE6}"/>
    <cellStyle name="40% - Akzent3 6 17" xfId="6846" xr:uid="{3F740C94-FE07-464B-9022-CAD87F104956}"/>
    <cellStyle name="40% - Akzent3 6 17 2" xfId="6847" xr:uid="{1F933FF1-4F63-4521-9F74-DD8AC21B584A}"/>
    <cellStyle name="40% - Akzent3 6 17 2 2" xfId="26284" xr:uid="{A5FDCB66-39FC-4CA2-9CE3-A791D9A67A42}"/>
    <cellStyle name="40% - Akzent3 6 17 3" xfId="26283" xr:uid="{E8EEC78A-51F2-4E4C-8623-A13D1717396E}"/>
    <cellStyle name="40% - Akzent3 6 18" xfId="6848" xr:uid="{85ADBB16-7A7A-46C6-B841-072AF2920A4C}"/>
    <cellStyle name="40% - Akzent3 6 18 2" xfId="6849" xr:uid="{0040CFDF-ED85-44F0-8CDD-4D8AB2946FB8}"/>
    <cellStyle name="40% - Akzent3 6 18 2 2" xfId="26286" xr:uid="{A1944C0A-DA2A-4126-901A-B95EB0F4C75A}"/>
    <cellStyle name="40% - Akzent3 6 18 3" xfId="26285" xr:uid="{A3D2F59A-0025-4A1D-9994-402EE7DEA805}"/>
    <cellStyle name="40% - Akzent3 6 19" xfId="6850" xr:uid="{56002C47-B1CF-41DF-BE2D-915F8D40E2B4}"/>
    <cellStyle name="40% - Akzent3 6 19 2" xfId="6851" xr:uid="{A0A50FC8-99E4-4A0C-BC92-E2A63036120A}"/>
    <cellStyle name="40% - Akzent3 6 19 2 2" xfId="26288" xr:uid="{445A1394-CA9A-4AD9-84A3-2CE7B71FF51D}"/>
    <cellStyle name="40% - Akzent3 6 19 3" xfId="26287" xr:uid="{B296DD6D-6F45-4F0B-ABF3-C9CAE56643DB}"/>
    <cellStyle name="40% - Akzent3 6 2" xfId="6852" xr:uid="{451635A7-D81E-434C-BF39-56E447E0D5A6}"/>
    <cellStyle name="40% - Akzent3 6 2 2" xfId="26289" xr:uid="{EAF4C61F-F8DA-4379-8BC3-E1F9182A6CD3}"/>
    <cellStyle name="40% - Akzent3 6 20" xfId="6853" xr:uid="{C161DACF-1164-4EB0-8AAD-84E14DABDA77}"/>
    <cellStyle name="40% - Akzent3 6 20 2" xfId="6854" xr:uid="{42E276E4-39BE-422C-AACA-01C456D64F01}"/>
    <cellStyle name="40% - Akzent3 6 20 2 2" xfId="26291" xr:uid="{D069CB2B-8767-411E-9C45-7015B6BDE206}"/>
    <cellStyle name="40% - Akzent3 6 20 3" xfId="26290" xr:uid="{23E1BCBF-AB77-4E19-9D99-978908EE5220}"/>
    <cellStyle name="40% - Akzent3 6 21" xfId="6855" xr:uid="{B8EA6137-7906-4139-A69A-D15A34867987}"/>
    <cellStyle name="40% - Akzent3 6 21 2" xfId="6856" xr:uid="{AEEE6F92-7EDC-40F2-A605-7A59AA0D96CF}"/>
    <cellStyle name="40% - Akzent3 6 21 2 2" xfId="26293" xr:uid="{4DFF9E5E-5D8C-493E-B294-740BC05F17C0}"/>
    <cellStyle name="40% - Akzent3 6 21 3" xfId="26292" xr:uid="{80341D22-F542-4B6A-9A8B-DFEF08F1812E}"/>
    <cellStyle name="40% - Akzent3 6 22" xfId="6857" xr:uid="{3D903DC0-72E9-4BF8-BAE6-10D070FADBBF}"/>
    <cellStyle name="40% - Akzent3 6 22 2" xfId="26294" xr:uid="{7204ED8F-9C56-4BC4-A5E8-865FD7C00A79}"/>
    <cellStyle name="40% - Akzent3 6 23" xfId="6858" xr:uid="{431C52BA-06C1-4564-A9B4-6E9DADBA8517}"/>
    <cellStyle name="40% - Akzent3 6 23 2" xfId="26295" xr:uid="{C217F54B-55F6-41EA-9184-DF8EC43DA68E}"/>
    <cellStyle name="40% - Akzent3 6 24" xfId="26268" xr:uid="{2A5D7B65-A490-462E-9105-7E4E855249E4}"/>
    <cellStyle name="40% - Akzent3 6 25" xfId="39314" xr:uid="{E1620648-59E6-45F0-9C8D-77676281284C}"/>
    <cellStyle name="40% - Akzent3 6 3" xfId="6859" xr:uid="{47B613D9-0EA9-4B76-94B7-4044BCA4C4B0}"/>
    <cellStyle name="40% - Akzent3 6 3 2" xfId="6860" xr:uid="{1E62C499-1B74-4097-9440-92105B67B82F}"/>
    <cellStyle name="40% - Akzent3 6 3 2 2" xfId="26297" xr:uid="{CF501462-8073-4D18-89C7-E5EBF932A57F}"/>
    <cellStyle name="40% - Akzent3 6 3 3" xfId="26296" xr:uid="{258AA4CE-A2DD-4AE0-9B41-C295D21BED0B}"/>
    <cellStyle name="40% - Akzent3 6 4" xfId="6861" xr:uid="{2D838EDB-F47F-42CF-A428-34C05BF6DDD2}"/>
    <cellStyle name="40% - Akzent3 6 4 2" xfId="6862" xr:uid="{860E2599-EFA6-4AD1-A218-3D33A4E337EB}"/>
    <cellStyle name="40% - Akzent3 6 4 2 2" xfId="26299" xr:uid="{D759FD89-6056-4D1D-9908-041E8420D13D}"/>
    <cellStyle name="40% - Akzent3 6 4 3" xfId="26298" xr:uid="{05E09CF1-4783-45C9-8DFE-A6C4795782B8}"/>
    <cellStyle name="40% - Akzent3 6 5" xfId="6863" xr:uid="{C674A413-586C-4A8A-A26E-5D361017AD5A}"/>
    <cellStyle name="40% - Akzent3 6 5 2" xfId="6864" xr:uid="{A2A1B18C-1F02-4E57-9AAC-1962256650AC}"/>
    <cellStyle name="40% - Akzent3 6 5 2 2" xfId="26301" xr:uid="{FD3D0633-1319-4835-A98A-1D7EEC1C0AB4}"/>
    <cellStyle name="40% - Akzent3 6 5 3" xfId="26300" xr:uid="{97D68250-0983-459F-AA39-7A0BBB8952B4}"/>
    <cellStyle name="40% - Akzent3 6 6" xfId="6865" xr:uid="{5066E7CD-FF33-4B8C-A4FB-39D7D4B6B261}"/>
    <cellStyle name="40% - Akzent3 6 6 2" xfId="6866" xr:uid="{CC833AAF-59CE-499E-915C-DDA5C7A468FB}"/>
    <cellStyle name="40% - Akzent3 6 6 2 2" xfId="26303" xr:uid="{C98C40F1-4489-4F6F-AAB1-625A9EFBB9DB}"/>
    <cellStyle name="40% - Akzent3 6 6 3" xfId="26302" xr:uid="{B6FFDD30-B529-49BE-9584-E9FBE48B1F70}"/>
    <cellStyle name="40% - Akzent3 6 7" xfId="6867" xr:uid="{8F97C7AF-7482-4DFB-8428-4A99D7F4705C}"/>
    <cellStyle name="40% - Akzent3 6 7 2" xfId="6868" xr:uid="{32B64DC6-9ADF-4560-BB6D-7DEDD3014D0C}"/>
    <cellStyle name="40% - Akzent3 6 7 2 2" xfId="26305" xr:uid="{C13C5737-FA41-4806-B9DD-BEFB5906800D}"/>
    <cellStyle name="40% - Akzent3 6 7 3" xfId="26304" xr:uid="{9BF58898-57C9-4621-93C6-0308A18693CC}"/>
    <cellStyle name="40% - Akzent3 6 8" xfId="6869" xr:uid="{2229B48E-7653-4389-9900-95707F58450D}"/>
    <cellStyle name="40% - Akzent3 6 8 2" xfId="6870" xr:uid="{DA68DCEF-0191-4AF8-AE35-DCFC9A466EC3}"/>
    <cellStyle name="40% - Akzent3 6 8 2 2" xfId="26307" xr:uid="{63ABDD93-04F7-443A-B684-9F01FDD94520}"/>
    <cellStyle name="40% - Akzent3 6 8 3" xfId="26306" xr:uid="{0E4AC7EB-976A-4001-B5AB-66BC1010D6B0}"/>
    <cellStyle name="40% - Akzent3 6 9" xfId="6871" xr:uid="{A88AB33E-3AAA-4762-B156-61F9EC315AEF}"/>
    <cellStyle name="40% - Akzent3 6 9 2" xfId="6872" xr:uid="{F8AEBEAF-3601-4871-A0E5-DADAE4826900}"/>
    <cellStyle name="40% - Akzent3 6 9 2 2" xfId="26309" xr:uid="{A8D8A68A-A658-45FA-8D37-ACE037E40A7F}"/>
    <cellStyle name="40% - Akzent3 6 9 3" xfId="26308" xr:uid="{B490466D-B742-488B-B054-9043F3291B96}"/>
    <cellStyle name="40% - Akzent3 60" xfId="6873" xr:uid="{28CCAFE9-BA78-4AE4-BBDB-6AAB6E96AF53}"/>
    <cellStyle name="40% - Akzent3 60 2" xfId="6874" xr:uid="{46FF6490-1996-4344-A52D-09DED32DDC94}"/>
    <cellStyle name="40% - Akzent3 60 2 2" xfId="26311" xr:uid="{6385671F-AFEB-45C4-8FC0-B7600CD8DC68}"/>
    <cellStyle name="40% - Akzent3 60 3" xfId="26310" xr:uid="{2017D72A-4526-4A1F-9D71-8C56DA6DC2C0}"/>
    <cellStyle name="40% - Akzent3 61" xfId="6875" xr:uid="{BD9AC6AE-8E73-4057-A027-09106C9710F1}"/>
    <cellStyle name="40% - Akzent3 61 2" xfId="6876" xr:uid="{DE8665A9-3D10-4612-B216-364FC23913E8}"/>
    <cellStyle name="40% - Akzent3 61 2 2" xfId="26313" xr:uid="{D9EED6CD-80EA-4013-9C19-71809E2D5E32}"/>
    <cellStyle name="40% - Akzent3 61 3" xfId="26312" xr:uid="{EA49FBA8-4882-4F05-9241-817CABEA8141}"/>
    <cellStyle name="40% - Akzent3 62" xfId="6877" xr:uid="{E70A0F11-CC00-4AA0-AE61-11FE6871D9C1}"/>
    <cellStyle name="40% - Akzent3 62 2" xfId="6878" xr:uid="{9A97BE13-69A1-4243-8E12-523D6F5AFE93}"/>
    <cellStyle name="40% - Akzent3 62 2 2" xfId="26315" xr:uid="{0A9BAAC7-B9E0-49D7-8600-1145A7AE1812}"/>
    <cellStyle name="40% - Akzent3 62 3" xfId="26314" xr:uid="{2F483C1A-52F3-4681-BF42-96BC86E6FA15}"/>
    <cellStyle name="40% - Akzent3 63" xfId="6879" xr:uid="{E125225F-7534-4CEC-928F-3E0B6D65D19E}"/>
    <cellStyle name="40% - Akzent3 63 2" xfId="6880" xr:uid="{BA77955E-FA37-4B1C-BC7F-0B45E23191E9}"/>
    <cellStyle name="40% - Akzent3 63 2 2" xfId="26317" xr:uid="{EA86CDAD-8EA9-431A-A19B-98BA32E4E41C}"/>
    <cellStyle name="40% - Akzent3 63 3" xfId="26316" xr:uid="{F26FF36B-C4D4-400F-9717-2A472996439C}"/>
    <cellStyle name="40% - Akzent3 64" xfId="6881" xr:uid="{584DD57A-9F37-4BE6-A73D-9132841ED8A6}"/>
    <cellStyle name="40% - Akzent3 64 2" xfId="6882" xr:uid="{DC6F0A70-3F5A-4ACC-BAD5-52A0FC1B1843}"/>
    <cellStyle name="40% - Akzent3 64 2 2" xfId="26319" xr:uid="{DA5B4AA9-94F1-488F-9A7C-463C52014CA5}"/>
    <cellStyle name="40% - Akzent3 64 3" xfId="26318" xr:uid="{8379AD64-2139-4752-A827-5C546133212B}"/>
    <cellStyle name="40% - Akzent3 65" xfId="6883" xr:uid="{DBEE0B41-92A9-441F-AE63-D0AB04A21FB0}"/>
    <cellStyle name="40% - Akzent3 65 2" xfId="6884" xr:uid="{DA25AD37-3C83-4008-9AE7-3FF736514096}"/>
    <cellStyle name="40% - Akzent3 65 2 2" xfId="26321" xr:uid="{B1F4B874-46DA-4654-944E-DE2BA0152197}"/>
    <cellStyle name="40% - Akzent3 65 3" xfId="26320" xr:uid="{F870BD2F-A2C7-4658-9476-D264013FE7D1}"/>
    <cellStyle name="40% - Akzent3 66" xfId="6885" xr:uid="{E38FF68C-E683-49AA-A8D0-6268B71ABFF1}"/>
    <cellStyle name="40% - Akzent3 66 2" xfId="6886" xr:uid="{EA42A99A-4D86-4EA5-AAD5-7673C8843B0D}"/>
    <cellStyle name="40% - Akzent3 66 2 2" xfId="26323" xr:uid="{2365A3A6-E0EF-4903-A155-5B7A9CE5B990}"/>
    <cellStyle name="40% - Akzent3 66 3" xfId="26322" xr:uid="{D0B8BCD1-F3D0-4309-8941-7A558B537129}"/>
    <cellStyle name="40% - Akzent3 67" xfId="6887" xr:uid="{D7D30D68-725B-4DCC-8486-F7309B9DF96F}"/>
    <cellStyle name="40% - Akzent3 67 2" xfId="6888" xr:uid="{AA7128CA-F21F-47FB-96B9-4DE451CD647C}"/>
    <cellStyle name="40% - Akzent3 67 2 2" xfId="26325" xr:uid="{96BBEA8B-FDC1-4AA1-B6A2-3677EF0D8AEE}"/>
    <cellStyle name="40% - Akzent3 67 3" xfId="26324" xr:uid="{8161EF6F-DF23-44EF-BF9E-1C4373A315FF}"/>
    <cellStyle name="40% - Akzent3 68" xfId="6889" xr:uid="{339B533E-0921-49D5-BEDB-A6FE95FF2F46}"/>
    <cellStyle name="40% - Akzent3 68 2" xfId="6890" xr:uid="{98ADD1A8-631E-478E-BAF9-A8F1883AF7A0}"/>
    <cellStyle name="40% - Akzent3 68 2 2" xfId="26327" xr:uid="{F58A60D5-6BC1-4C82-B98C-2707E2F561CE}"/>
    <cellStyle name="40% - Akzent3 68 3" xfId="26326" xr:uid="{3B8DD1F3-9CD1-4047-A733-6E17F33A9897}"/>
    <cellStyle name="40% - Akzent3 69" xfId="6891" xr:uid="{B95E88B5-9CCA-4B68-8E1E-5A49C2BD40B7}"/>
    <cellStyle name="40% - Akzent3 69 2" xfId="6892" xr:uid="{3538C855-410A-4A77-98B6-68AC13138F7F}"/>
    <cellStyle name="40% - Akzent3 69 2 2" xfId="26329" xr:uid="{D2E70BBE-9694-4B7D-87AC-603E5A1E5EAD}"/>
    <cellStyle name="40% - Akzent3 69 3" xfId="26328" xr:uid="{EBC3EEBD-5802-479C-AE8A-A54F356D4B2E}"/>
    <cellStyle name="40% - Akzent3 7" xfId="6893" xr:uid="{31470E10-CA6F-42A3-B31C-FD2070717307}"/>
    <cellStyle name="40% - Akzent3 7 10" xfId="6894" xr:uid="{8E347EDF-3CB4-40CA-B24F-88CB69B87C49}"/>
    <cellStyle name="40% - Akzent3 7 10 2" xfId="6895" xr:uid="{48C769B2-32F9-474F-AF55-86FCA52256A9}"/>
    <cellStyle name="40% - Akzent3 7 10 2 2" xfId="26332" xr:uid="{84B53B3C-D529-4370-9A68-3ADE362B7325}"/>
    <cellStyle name="40% - Akzent3 7 10 3" xfId="26331" xr:uid="{B64FF28B-FC54-40A2-B796-0DD8D20B46AE}"/>
    <cellStyle name="40% - Akzent3 7 11" xfId="6896" xr:uid="{59E61694-E5D7-4C68-BD7B-254FD5D9E4BB}"/>
    <cellStyle name="40% - Akzent3 7 11 2" xfId="6897" xr:uid="{11EC8E46-1A27-4DA0-8751-68868420414E}"/>
    <cellStyle name="40% - Akzent3 7 11 2 2" xfId="26334" xr:uid="{C651DCB2-BED8-458E-9789-CE8D210526A8}"/>
    <cellStyle name="40% - Akzent3 7 11 3" xfId="26333" xr:uid="{0F2E581F-CDD3-4067-8507-0E15CE6B6D89}"/>
    <cellStyle name="40% - Akzent3 7 12" xfId="6898" xr:uid="{D77D8C10-2D6B-440C-841B-8D83D680115F}"/>
    <cellStyle name="40% - Akzent3 7 12 2" xfId="6899" xr:uid="{22C07857-A36C-4C2E-A755-439AF9C762E5}"/>
    <cellStyle name="40% - Akzent3 7 12 2 2" xfId="26336" xr:uid="{EAE75390-BCE4-42B7-8085-430D415C6552}"/>
    <cellStyle name="40% - Akzent3 7 12 3" xfId="26335" xr:uid="{9A555915-CA02-4929-9BAF-7B1330DEDA4E}"/>
    <cellStyle name="40% - Akzent3 7 13" xfId="6900" xr:uid="{71E6E0FD-FEBE-455A-9BD3-FC5888BF439A}"/>
    <cellStyle name="40% - Akzent3 7 13 2" xfId="6901" xr:uid="{D5615AB2-8ED0-44F0-9E79-75D41CF55CE2}"/>
    <cellStyle name="40% - Akzent3 7 13 2 2" xfId="26338" xr:uid="{3E275450-0D2C-44BF-B143-53E4A1FDA46B}"/>
    <cellStyle name="40% - Akzent3 7 13 3" xfId="26337" xr:uid="{D8A75704-801E-4E4A-B7B5-B9E46217779B}"/>
    <cellStyle name="40% - Akzent3 7 14" xfId="6902" xr:uid="{4F59DC2C-2CF1-4178-8098-D9E2C48BBBD9}"/>
    <cellStyle name="40% - Akzent3 7 14 2" xfId="6903" xr:uid="{F33F2421-A870-45CD-A1E8-8204A95E393D}"/>
    <cellStyle name="40% - Akzent3 7 14 2 2" xfId="26340" xr:uid="{57241F44-9AAD-4A78-B1E5-DEF5428B7BCC}"/>
    <cellStyle name="40% - Akzent3 7 14 3" xfId="26339" xr:uid="{CB0E7A2A-E80C-4D05-81CA-6D5B11AD41A8}"/>
    <cellStyle name="40% - Akzent3 7 15" xfId="6904" xr:uid="{F4636339-D92E-466C-B382-192C9B99A33F}"/>
    <cellStyle name="40% - Akzent3 7 15 2" xfId="6905" xr:uid="{B8CFB565-AC49-456E-AF7F-84382734A330}"/>
    <cellStyle name="40% - Akzent3 7 15 2 2" xfId="26342" xr:uid="{A9CE7A95-0F9B-42AD-B804-0DDD27B0747E}"/>
    <cellStyle name="40% - Akzent3 7 15 3" xfId="26341" xr:uid="{A87419AB-B192-4B87-9336-31BEAF74440C}"/>
    <cellStyle name="40% - Akzent3 7 16" xfId="6906" xr:uid="{1C1724D5-DE1F-43D5-B42A-59DC95F705C6}"/>
    <cellStyle name="40% - Akzent3 7 16 2" xfId="6907" xr:uid="{FB80FBFF-E84C-428D-A337-30A3B7013432}"/>
    <cellStyle name="40% - Akzent3 7 16 2 2" xfId="26344" xr:uid="{42D86B6D-BF2A-4D65-A8CA-097AB00CBA27}"/>
    <cellStyle name="40% - Akzent3 7 16 3" xfId="26343" xr:uid="{1438D9A6-0C6D-4DDD-8C7A-C3AB80B7833C}"/>
    <cellStyle name="40% - Akzent3 7 17" xfId="6908" xr:uid="{2B223433-E865-475B-A9EB-685FB1E5C77A}"/>
    <cellStyle name="40% - Akzent3 7 17 2" xfId="6909" xr:uid="{E7C67B77-9135-49D0-9A2E-B684E14C0585}"/>
    <cellStyle name="40% - Akzent3 7 17 2 2" xfId="26346" xr:uid="{8B7CABBB-C2C7-496E-8301-73F35483CF16}"/>
    <cellStyle name="40% - Akzent3 7 17 3" xfId="26345" xr:uid="{1F519E6F-FF1D-46E4-9754-767D98304DE3}"/>
    <cellStyle name="40% - Akzent3 7 18" xfId="6910" xr:uid="{926F9207-3FAC-49DC-BB12-B17226A7C891}"/>
    <cellStyle name="40% - Akzent3 7 18 2" xfId="6911" xr:uid="{25EDF684-02FB-4D41-9AD3-281E46B11A0A}"/>
    <cellStyle name="40% - Akzent3 7 18 2 2" xfId="26348" xr:uid="{2F681434-6B24-4B4D-9EBA-EE0A062F9C3B}"/>
    <cellStyle name="40% - Akzent3 7 18 3" xfId="26347" xr:uid="{87B2F7E2-8C92-4DDA-99FB-6DD3397468C6}"/>
    <cellStyle name="40% - Akzent3 7 19" xfId="6912" xr:uid="{94685708-D912-4607-AE40-6A086E7BE44B}"/>
    <cellStyle name="40% - Akzent3 7 19 2" xfId="6913" xr:uid="{8B2305CD-BFE3-491E-8EEE-CB31F7F9CD4B}"/>
    <cellStyle name="40% - Akzent3 7 19 2 2" xfId="26350" xr:uid="{E94F2B45-F55C-48B0-ABA6-D4546740AF34}"/>
    <cellStyle name="40% - Akzent3 7 19 3" xfId="26349" xr:uid="{E98A2B70-E2C5-4341-A48A-BD03C2C03134}"/>
    <cellStyle name="40% - Akzent3 7 2" xfId="6914" xr:uid="{42A31E96-1824-4F88-99FD-3E97A56788B9}"/>
    <cellStyle name="40% - Akzent3 7 2 2" xfId="6915" xr:uid="{02224921-2646-4F46-9BD5-28D9945013EA}"/>
    <cellStyle name="40% - Akzent3 7 2 2 2" xfId="26352" xr:uid="{05B12677-7CC1-4DA1-BA6D-9D457AFA5DAF}"/>
    <cellStyle name="40% - Akzent3 7 2 3" xfId="26351" xr:uid="{61A3ADC7-6D84-42EF-A21F-1CE9D5BFDE78}"/>
    <cellStyle name="40% - Akzent3 7 20" xfId="6916" xr:uid="{95985CA3-A4C1-4DF9-8A10-FE09EFB0998A}"/>
    <cellStyle name="40% - Akzent3 7 20 2" xfId="6917" xr:uid="{D86E2D8D-81A6-4B39-9BC4-8EA28DF9AF4D}"/>
    <cellStyle name="40% - Akzent3 7 20 2 2" xfId="26354" xr:uid="{283955BE-5181-436A-AA13-B5C50942DD99}"/>
    <cellStyle name="40% - Akzent3 7 20 3" xfId="26353" xr:uid="{6BADDC20-7861-4683-BF55-4EFB443AD219}"/>
    <cellStyle name="40% - Akzent3 7 21" xfId="6918" xr:uid="{1D68B956-BDC2-4DE2-9769-E51AF3929600}"/>
    <cellStyle name="40% - Akzent3 7 21 2" xfId="6919" xr:uid="{B9A68041-9CED-471B-A7BB-30F7757DC1B0}"/>
    <cellStyle name="40% - Akzent3 7 21 2 2" xfId="26356" xr:uid="{568B9F3D-B358-4C24-ADA0-FCC532416600}"/>
    <cellStyle name="40% - Akzent3 7 21 3" xfId="26355" xr:uid="{0512DBB5-CE76-473D-87A8-6413FA2427AB}"/>
    <cellStyle name="40% - Akzent3 7 22" xfId="6920" xr:uid="{C5CEAD17-C154-4225-9499-33497187F102}"/>
    <cellStyle name="40% - Akzent3 7 22 2" xfId="26357" xr:uid="{D8F2271D-6CF4-47ED-A9BB-F686AC4C22EA}"/>
    <cellStyle name="40% - Akzent3 7 23" xfId="26330" xr:uid="{1E07DEF4-9255-43B2-956B-42ED1BC702C8}"/>
    <cellStyle name="40% - Akzent3 7 3" xfId="6921" xr:uid="{D620BDF0-5DF4-47A9-A224-EADF2275160A}"/>
    <cellStyle name="40% - Akzent3 7 3 2" xfId="6922" xr:uid="{E37328E6-99BF-4003-B350-125D0B049292}"/>
    <cellStyle name="40% - Akzent3 7 3 2 2" xfId="26359" xr:uid="{D0C0C683-5095-4B9A-BADC-10296E3FB921}"/>
    <cellStyle name="40% - Akzent3 7 3 3" xfId="26358" xr:uid="{D71613FD-27D0-45BB-A2F1-92A753061DBA}"/>
    <cellStyle name="40% - Akzent3 7 4" xfId="6923" xr:uid="{3572A454-0522-40AA-836A-35B84967B8E9}"/>
    <cellStyle name="40% - Akzent3 7 4 2" xfId="6924" xr:uid="{EAFD244D-AB5D-4F69-8597-F1EEE45F58A7}"/>
    <cellStyle name="40% - Akzent3 7 4 2 2" xfId="26361" xr:uid="{89EF4948-FBEF-4320-9F00-ABA339FA7A18}"/>
    <cellStyle name="40% - Akzent3 7 4 3" xfId="26360" xr:uid="{AD67CC68-454C-4586-9804-9E61D70DF80D}"/>
    <cellStyle name="40% - Akzent3 7 5" xfId="6925" xr:uid="{50568B0E-EAF9-45F0-B6AA-F62CDD685254}"/>
    <cellStyle name="40% - Akzent3 7 5 2" xfId="6926" xr:uid="{3858C21F-0C7F-4AF3-9416-948BD6F16588}"/>
    <cellStyle name="40% - Akzent3 7 5 2 2" xfId="26363" xr:uid="{2883938E-93E0-4265-B4A5-F536CC68B7F0}"/>
    <cellStyle name="40% - Akzent3 7 5 3" xfId="26362" xr:uid="{076A1C15-8945-41AC-AADB-D24F97357CCE}"/>
    <cellStyle name="40% - Akzent3 7 6" xfId="6927" xr:uid="{1B0519A0-0ECE-4C8A-9BE8-76C2F091ED3E}"/>
    <cellStyle name="40% - Akzent3 7 6 2" xfId="6928" xr:uid="{B488C6DC-F8FA-4CB3-AE91-44195ED800A9}"/>
    <cellStyle name="40% - Akzent3 7 6 2 2" xfId="26365" xr:uid="{6AC7769A-1C8A-4152-B9CB-72F3F6025005}"/>
    <cellStyle name="40% - Akzent3 7 6 3" xfId="26364" xr:uid="{718A019E-E022-46F4-A1FC-17DC1A73D699}"/>
    <cellStyle name="40% - Akzent3 7 7" xfId="6929" xr:uid="{434725BE-0C9A-4C09-9E06-260A4A97559B}"/>
    <cellStyle name="40% - Akzent3 7 7 2" xfId="6930" xr:uid="{26DF8897-2D76-4976-B5FC-59CEB7EABA8B}"/>
    <cellStyle name="40% - Akzent3 7 7 2 2" xfId="26367" xr:uid="{D307FF2C-B916-4364-B985-68D0784E65EE}"/>
    <cellStyle name="40% - Akzent3 7 7 3" xfId="26366" xr:uid="{2986AEA3-963B-46D3-8AA1-955BAAE672BA}"/>
    <cellStyle name="40% - Akzent3 7 8" xfId="6931" xr:uid="{0C75A21D-3710-415E-B977-7684C41F6586}"/>
    <cellStyle name="40% - Akzent3 7 8 2" xfId="6932" xr:uid="{1382477B-D166-4796-9945-534FE5C4345E}"/>
    <cellStyle name="40% - Akzent3 7 8 2 2" xfId="26369" xr:uid="{82A9D792-588E-45A9-9EFC-CBB3691A9FC5}"/>
    <cellStyle name="40% - Akzent3 7 8 3" xfId="26368" xr:uid="{E6BF7E0D-4EA1-4FA6-872B-236C0453B4FE}"/>
    <cellStyle name="40% - Akzent3 7 9" xfId="6933" xr:uid="{C50DADF2-A882-4D06-8770-15E9E1AAA3D4}"/>
    <cellStyle name="40% - Akzent3 7 9 2" xfId="6934" xr:uid="{FD648C36-877B-4F99-AF80-558FE6EEDA6B}"/>
    <cellStyle name="40% - Akzent3 7 9 2 2" xfId="26371" xr:uid="{1DB3ABE8-8DB2-4D00-8A5C-54B9A8BA092D}"/>
    <cellStyle name="40% - Akzent3 7 9 3" xfId="26370" xr:uid="{1BF3FD9C-3786-4F2A-A4F2-85A95CB9B739}"/>
    <cellStyle name="40% - Akzent3 70" xfId="6935" xr:uid="{099FDC0C-070A-4A16-8FB9-E72C367965F7}"/>
    <cellStyle name="40% - Akzent3 70 2" xfId="26372" xr:uid="{10F6A409-C2B3-4382-A271-B7E452949482}"/>
    <cellStyle name="40% - Akzent3 71" xfId="25697" xr:uid="{F891FCFF-D980-4257-B455-1D25C7E05386}"/>
    <cellStyle name="40% - Akzent3 72" xfId="6260" xr:uid="{E39552E6-6FA4-4ADC-A0A6-DCA187B9D87D}"/>
    <cellStyle name="40% - Akzent3 8" xfId="6936" xr:uid="{289C865B-D9D1-447F-9221-D88EC51F4232}"/>
    <cellStyle name="40% - Akzent3 8 10" xfId="6937" xr:uid="{68365B4A-3B91-42AF-B6B5-96C93C2E1D26}"/>
    <cellStyle name="40% - Akzent3 8 10 2" xfId="6938" xr:uid="{283BE9BD-D0EC-4948-AA2C-5F5521492F20}"/>
    <cellStyle name="40% - Akzent3 8 10 2 2" xfId="26375" xr:uid="{9DCD6740-D6F0-4207-B447-B7DE0DF9C63E}"/>
    <cellStyle name="40% - Akzent3 8 10 3" xfId="26374" xr:uid="{E4F70353-AD70-4D06-BF0F-20FBFB0B3A46}"/>
    <cellStyle name="40% - Akzent3 8 11" xfId="6939" xr:uid="{26FD5732-83D0-4519-B9DC-BF56588FD45C}"/>
    <cellStyle name="40% - Akzent3 8 11 2" xfId="6940" xr:uid="{0178C3CF-11DE-4BAC-9CA8-D6E051DFCA84}"/>
    <cellStyle name="40% - Akzent3 8 11 2 2" xfId="26377" xr:uid="{52490666-DE0D-4253-BBB9-C64522A3EB27}"/>
    <cellStyle name="40% - Akzent3 8 11 3" xfId="26376" xr:uid="{55C83FB3-F4D7-4084-9089-0D145823380F}"/>
    <cellStyle name="40% - Akzent3 8 12" xfId="6941" xr:uid="{6C601BA8-CACB-43A7-AE8A-68E2412A80FE}"/>
    <cellStyle name="40% - Akzent3 8 12 2" xfId="6942" xr:uid="{ECDF4C36-F1DA-4301-8A37-4252DD1EFBE8}"/>
    <cellStyle name="40% - Akzent3 8 12 2 2" xfId="26379" xr:uid="{0FA7D83E-A520-48CB-A81C-0713458E8E9C}"/>
    <cellStyle name="40% - Akzent3 8 12 3" xfId="26378" xr:uid="{EB1C0540-C224-4199-A293-0348694EA49A}"/>
    <cellStyle name="40% - Akzent3 8 13" xfId="6943" xr:uid="{D2BB3B3F-594D-415E-BE8A-396D74897BAC}"/>
    <cellStyle name="40% - Akzent3 8 13 2" xfId="6944" xr:uid="{FAA6C5D3-56FE-44CE-80D4-EAEF92204612}"/>
    <cellStyle name="40% - Akzent3 8 13 2 2" xfId="26381" xr:uid="{70535E60-F7C7-495F-AC36-20F7813A82E2}"/>
    <cellStyle name="40% - Akzent3 8 13 3" xfId="26380" xr:uid="{DC662E01-56C2-4D17-81F2-EDD433E93323}"/>
    <cellStyle name="40% - Akzent3 8 14" xfId="6945" xr:uid="{F23ED820-A0BE-4852-8FBA-C83F96DFB8DC}"/>
    <cellStyle name="40% - Akzent3 8 14 2" xfId="6946" xr:uid="{B594721B-0CF2-4F07-8FFB-21861ECA988D}"/>
    <cellStyle name="40% - Akzent3 8 14 2 2" xfId="26383" xr:uid="{7E82D09A-DBB6-4A29-8097-315540831A17}"/>
    <cellStyle name="40% - Akzent3 8 14 3" xfId="26382" xr:uid="{F9D6A6D1-0328-47FB-9A01-489D9DFFCD8E}"/>
    <cellStyle name="40% - Akzent3 8 15" xfId="6947" xr:uid="{A0BD4983-4C91-4CA9-B71A-893F3ED9E138}"/>
    <cellStyle name="40% - Akzent3 8 15 2" xfId="6948" xr:uid="{9CD40468-924B-45B0-AD5F-6B432EAD78FC}"/>
    <cellStyle name="40% - Akzent3 8 15 2 2" xfId="26385" xr:uid="{A7BACA05-C215-43F3-AD99-05FEA249BF54}"/>
    <cellStyle name="40% - Akzent3 8 15 3" xfId="26384" xr:uid="{C9AC12EC-5209-4B78-B11D-DE0712E7BB49}"/>
    <cellStyle name="40% - Akzent3 8 16" xfId="6949" xr:uid="{451EEE7B-7155-4FE7-938A-C76AE83EBEB2}"/>
    <cellStyle name="40% - Akzent3 8 16 2" xfId="6950" xr:uid="{E6F5F7C6-BE37-43E0-9F71-A7BB8581D95F}"/>
    <cellStyle name="40% - Akzent3 8 16 2 2" xfId="26387" xr:uid="{44FFDF71-F51E-4683-BA3B-B09FAF6DA1F3}"/>
    <cellStyle name="40% - Akzent3 8 16 3" xfId="26386" xr:uid="{CA58BA84-EC40-447F-9969-B0E73BCDC2DD}"/>
    <cellStyle name="40% - Akzent3 8 17" xfId="6951" xr:uid="{F964313C-1DF3-40B6-8CC3-64DBB349D203}"/>
    <cellStyle name="40% - Akzent3 8 17 2" xfId="6952" xr:uid="{4C471F71-BE07-41FE-9916-31AEBD299164}"/>
    <cellStyle name="40% - Akzent3 8 17 2 2" xfId="26389" xr:uid="{6527B00F-FDA2-48BB-81BF-B373EE2AA2E8}"/>
    <cellStyle name="40% - Akzent3 8 17 3" xfId="26388" xr:uid="{E2ACF62D-D2B4-420E-828A-A5FA62CDD612}"/>
    <cellStyle name="40% - Akzent3 8 18" xfId="6953" xr:uid="{8EDD5DF7-1CB9-4BC2-A49A-E93B26923C0A}"/>
    <cellStyle name="40% - Akzent3 8 18 2" xfId="6954" xr:uid="{C31D0960-F19B-45D7-81A2-24458C55D621}"/>
    <cellStyle name="40% - Akzent3 8 18 2 2" xfId="26391" xr:uid="{FF38C21E-A9B6-4103-BFDA-5AF1FD26E052}"/>
    <cellStyle name="40% - Akzent3 8 18 3" xfId="26390" xr:uid="{D2C5EEC8-2FC1-4751-8BD0-75CAC92981CC}"/>
    <cellStyle name="40% - Akzent3 8 19" xfId="6955" xr:uid="{372EC70D-A304-4AE1-B524-3D2CD8910D23}"/>
    <cellStyle name="40% - Akzent3 8 19 2" xfId="6956" xr:uid="{2280A0DE-E899-4230-8676-CFE558EE6969}"/>
    <cellStyle name="40% - Akzent3 8 19 2 2" xfId="26393" xr:uid="{2B2DFE1B-88A7-487C-AB30-25F9364BD9C3}"/>
    <cellStyle name="40% - Akzent3 8 19 3" xfId="26392" xr:uid="{404C70AC-FA13-4CF1-A9F7-58B68E3C15A7}"/>
    <cellStyle name="40% - Akzent3 8 2" xfId="6957" xr:uid="{7F0F983D-73F3-49A3-8001-4BD102442350}"/>
    <cellStyle name="40% - Akzent3 8 2 2" xfId="6958" xr:uid="{4E24D595-BEF2-4037-8590-4B0EFF283CBD}"/>
    <cellStyle name="40% - Akzent3 8 2 2 2" xfId="26395" xr:uid="{6F939C54-8033-4CF3-91AD-A32FC2F82E8E}"/>
    <cellStyle name="40% - Akzent3 8 2 3" xfId="26394" xr:uid="{F21057F1-79AC-41B1-8C17-ECD440C747F1}"/>
    <cellStyle name="40% - Akzent3 8 20" xfId="6959" xr:uid="{6A7270A8-264D-4EAF-84FF-F61975AFB5DC}"/>
    <cellStyle name="40% - Akzent3 8 20 2" xfId="6960" xr:uid="{08A2235B-A61F-4C20-B8FF-CDA7484A7D96}"/>
    <cellStyle name="40% - Akzent3 8 20 2 2" xfId="26397" xr:uid="{22AFF277-53A6-42A1-B66A-70198E9FF94F}"/>
    <cellStyle name="40% - Akzent3 8 20 3" xfId="26396" xr:uid="{38BE7853-11F4-4535-8BA8-6603DF7AC18D}"/>
    <cellStyle name="40% - Akzent3 8 21" xfId="6961" xr:uid="{BBD844E8-4F15-409B-A758-22F1F323D16B}"/>
    <cellStyle name="40% - Akzent3 8 21 2" xfId="6962" xr:uid="{9CA4188C-79D5-4643-A6EC-F7D1E05DF354}"/>
    <cellStyle name="40% - Akzent3 8 21 2 2" xfId="26399" xr:uid="{A226A41B-E03E-4FFF-B7D7-2C7FDA357A96}"/>
    <cellStyle name="40% - Akzent3 8 21 3" xfId="26398" xr:uid="{A84D3765-6F8F-4DCC-A149-88C8F6A95EBD}"/>
    <cellStyle name="40% - Akzent3 8 22" xfId="6963" xr:uid="{6ADCFB35-942A-4CF9-93A9-696B8FD1D1EE}"/>
    <cellStyle name="40% - Akzent3 8 22 2" xfId="26400" xr:uid="{CB12A207-6CC4-4923-AC50-BDF7E83EBA24}"/>
    <cellStyle name="40% - Akzent3 8 23" xfId="26373" xr:uid="{301E3679-8CB4-45B3-AD0B-53C8554A0BBA}"/>
    <cellStyle name="40% - Akzent3 8 3" xfId="6964" xr:uid="{A1B93EA9-8E43-4157-9F7E-26DD5B43665B}"/>
    <cellStyle name="40% - Akzent3 8 3 2" xfId="6965" xr:uid="{35CD4AD7-76D3-49B3-8D8B-B845AEC94911}"/>
    <cellStyle name="40% - Akzent3 8 3 2 2" xfId="26402" xr:uid="{FA41EDCB-C185-4A2F-BDA3-E0C9D54A1640}"/>
    <cellStyle name="40% - Akzent3 8 3 3" xfId="26401" xr:uid="{4CEB76D0-8C42-4E44-81B0-8870909BA9C5}"/>
    <cellStyle name="40% - Akzent3 8 4" xfId="6966" xr:uid="{A6B9A4FF-C193-489D-917A-AE24F278A7C2}"/>
    <cellStyle name="40% - Akzent3 8 4 2" xfId="6967" xr:uid="{D6E450A8-A95A-4F24-9B04-19E342CD9CB0}"/>
    <cellStyle name="40% - Akzent3 8 4 2 2" xfId="26404" xr:uid="{E05C3F86-2783-4A91-9A87-813FCF15120B}"/>
    <cellStyle name="40% - Akzent3 8 4 3" xfId="26403" xr:uid="{1DCC7F99-27EE-4CF3-8801-3422AF6467D2}"/>
    <cellStyle name="40% - Akzent3 8 5" xfId="6968" xr:uid="{81209CAC-87A0-4D6F-8A8C-AE0663DE7D48}"/>
    <cellStyle name="40% - Akzent3 8 5 2" xfId="6969" xr:uid="{E943A0F4-21FF-4BC9-9595-49C2D8670B44}"/>
    <cellStyle name="40% - Akzent3 8 5 2 2" xfId="26406" xr:uid="{BACC996B-DB47-4EBF-B8CA-B008468DCBC6}"/>
    <cellStyle name="40% - Akzent3 8 5 3" xfId="26405" xr:uid="{7C07D4C1-F8E5-44E3-A882-0CBAB7076E43}"/>
    <cellStyle name="40% - Akzent3 8 6" xfId="6970" xr:uid="{0C68BE77-258F-4E15-9C8B-AA54D0F34CCD}"/>
    <cellStyle name="40% - Akzent3 8 6 2" xfId="6971" xr:uid="{CFE4243C-1769-4D5A-8009-1F2CC1D8F505}"/>
    <cellStyle name="40% - Akzent3 8 6 2 2" xfId="26408" xr:uid="{20599C97-C211-4E61-A2D0-71B76F08995C}"/>
    <cellStyle name="40% - Akzent3 8 6 3" xfId="26407" xr:uid="{11D08809-2764-4665-929E-ADECC9B7F2F4}"/>
    <cellStyle name="40% - Akzent3 8 7" xfId="6972" xr:uid="{AE1CF5AC-730C-4558-B40C-738F61E0A607}"/>
    <cellStyle name="40% - Akzent3 8 7 2" xfId="6973" xr:uid="{AF8E1F2E-D989-4F20-93C5-D6D20796DAF3}"/>
    <cellStyle name="40% - Akzent3 8 7 2 2" xfId="26410" xr:uid="{16A64F03-799A-4090-910C-EC4DC6DDD56C}"/>
    <cellStyle name="40% - Akzent3 8 7 3" xfId="26409" xr:uid="{816D151A-3AFC-44C7-B932-5B9DDCF3A014}"/>
    <cellStyle name="40% - Akzent3 8 8" xfId="6974" xr:uid="{051535B6-EA18-4DD4-9594-5EB1460EDA00}"/>
    <cellStyle name="40% - Akzent3 8 8 2" xfId="6975" xr:uid="{716CCC28-5C16-40EC-A1EA-13D6E87A6C3A}"/>
    <cellStyle name="40% - Akzent3 8 8 2 2" xfId="26412" xr:uid="{2B1FF991-B51C-471D-844F-0C50BA04950A}"/>
    <cellStyle name="40% - Akzent3 8 8 3" xfId="26411" xr:uid="{5554DD61-C4BB-441C-A582-65AAF083B20F}"/>
    <cellStyle name="40% - Akzent3 8 9" xfId="6976" xr:uid="{9E9AC8CB-7096-4212-A043-5C04B9BA9C85}"/>
    <cellStyle name="40% - Akzent3 8 9 2" xfId="6977" xr:uid="{3A8433D8-6365-4DFA-AFE4-529C42696D4E}"/>
    <cellStyle name="40% - Akzent3 8 9 2 2" xfId="26414" xr:uid="{F08D18C1-7790-41F2-9DB3-C07C5401CCE6}"/>
    <cellStyle name="40% - Akzent3 8 9 3" xfId="26413" xr:uid="{24F672D9-DD20-45CF-A7ED-D6A561B2A370}"/>
    <cellStyle name="40% - Akzent3 9" xfId="6978" xr:uid="{12043293-93E3-46BD-8931-5143CFCDEFBE}"/>
    <cellStyle name="40% - Akzent3 9 10" xfId="6979" xr:uid="{E8BAB22D-17D1-4D8B-B9DC-C4E92C85D5A3}"/>
    <cellStyle name="40% - Akzent3 9 10 2" xfId="6980" xr:uid="{EB1A23A0-F885-43B6-B2E0-DBD4F05C77CE}"/>
    <cellStyle name="40% - Akzent3 9 10 2 2" xfId="26417" xr:uid="{3DCA3E98-CDC2-458A-8248-0701E7FA4169}"/>
    <cellStyle name="40% - Akzent3 9 10 3" xfId="26416" xr:uid="{26E07956-5CD6-4968-8067-836735D85A7F}"/>
    <cellStyle name="40% - Akzent3 9 11" xfId="6981" xr:uid="{A8C4CDDA-8DB5-4EA2-8038-E1934706925A}"/>
    <cellStyle name="40% - Akzent3 9 11 2" xfId="6982" xr:uid="{3615726B-2373-4008-A444-D9BD616AF593}"/>
    <cellStyle name="40% - Akzent3 9 11 2 2" xfId="26419" xr:uid="{FBF30836-9B12-4C03-9249-1D76B51FCD3F}"/>
    <cellStyle name="40% - Akzent3 9 11 3" xfId="26418" xr:uid="{FB636AB3-BFD4-4C89-8905-2763DE8ABD20}"/>
    <cellStyle name="40% - Akzent3 9 12" xfId="6983" xr:uid="{7685B4C5-7E67-4051-A354-84AED069EB94}"/>
    <cellStyle name="40% - Akzent3 9 12 2" xfId="6984" xr:uid="{E3BC1B24-6EC2-4694-8498-A1A611AAF8C1}"/>
    <cellStyle name="40% - Akzent3 9 12 2 2" xfId="26421" xr:uid="{61BBCDD7-BB10-4D97-8C7B-5202E3E6A56E}"/>
    <cellStyle name="40% - Akzent3 9 12 3" xfId="26420" xr:uid="{93A2DD83-D133-4F5F-89F8-4C8763893C9B}"/>
    <cellStyle name="40% - Akzent3 9 13" xfId="6985" xr:uid="{81FEDEF3-A014-4832-AB5B-F190E37F52B1}"/>
    <cellStyle name="40% - Akzent3 9 13 2" xfId="6986" xr:uid="{06FE1BC1-DC47-4F7D-8C3D-338642A5CEAF}"/>
    <cellStyle name="40% - Akzent3 9 13 2 2" xfId="26423" xr:uid="{A4A25557-B553-449D-8539-BC9E870BB019}"/>
    <cellStyle name="40% - Akzent3 9 13 3" xfId="26422" xr:uid="{3E41C349-F9AB-41BE-BA2C-3DDA09AD5E32}"/>
    <cellStyle name="40% - Akzent3 9 14" xfId="6987" xr:uid="{A3F1135C-D786-409C-AA0F-6B69F4782DB6}"/>
    <cellStyle name="40% - Akzent3 9 14 2" xfId="6988" xr:uid="{31054E5F-514D-4E72-A46C-9DAEBAEFA3A9}"/>
    <cellStyle name="40% - Akzent3 9 14 2 2" xfId="26425" xr:uid="{80433135-4197-4048-9994-D408CA352AF7}"/>
    <cellStyle name="40% - Akzent3 9 14 3" xfId="26424" xr:uid="{E8D099B8-7F38-4F2C-ADE9-4C361B58890F}"/>
    <cellStyle name="40% - Akzent3 9 15" xfId="6989" xr:uid="{8E440BC7-6B34-4B98-A3E0-A22AFDA9D9E5}"/>
    <cellStyle name="40% - Akzent3 9 15 2" xfId="6990" xr:uid="{F83462F9-9FFC-4064-8C14-FBCD7543C718}"/>
    <cellStyle name="40% - Akzent3 9 15 2 2" xfId="26427" xr:uid="{59B62C3F-87E6-43CF-ABA8-25DA13228617}"/>
    <cellStyle name="40% - Akzent3 9 15 3" xfId="26426" xr:uid="{FC086795-11A9-44AE-90C1-84840CE8B962}"/>
    <cellStyle name="40% - Akzent3 9 16" xfId="6991" xr:uid="{A0918FD0-B6B1-44F0-89F5-960B1E5C556C}"/>
    <cellStyle name="40% - Akzent3 9 16 2" xfId="6992" xr:uid="{926A1A33-370E-40AB-85A9-E0AB735F641D}"/>
    <cellStyle name="40% - Akzent3 9 16 2 2" xfId="26429" xr:uid="{140C53BE-48BC-4C55-8B88-E1ACCE747C99}"/>
    <cellStyle name="40% - Akzent3 9 16 3" xfId="26428" xr:uid="{C3B7A965-436E-4034-9313-9DC3213D61F5}"/>
    <cellStyle name="40% - Akzent3 9 17" xfId="6993" xr:uid="{9861A3C3-8B8C-45E8-BFE6-52E764A9DC4F}"/>
    <cellStyle name="40% - Akzent3 9 17 2" xfId="6994" xr:uid="{580A945A-32A5-430C-844E-44AC3746B0B4}"/>
    <cellStyle name="40% - Akzent3 9 17 2 2" xfId="26431" xr:uid="{E231F4A4-5DD7-4BD1-9256-99FFFC0732DE}"/>
    <cellStyle name="40% - Akzent3 9 17 3" xfId="26430" xr:uid="{9BDF6D8B-881A-40F3-B7FC-B024147F205B}"/>
    <cellStyle name="40% - Akzent3 9 18" xfId="6995" xr:uid="{C7EF00C6-8EED-456C-A59B-9357D066051C}"/>
    <cellStyle name="40% - Akzent3 9 18 2" xfId="6996" xr:uid="{74B0FCAA-65FE-4A85-8629-FD77BB5984C8}"/>
    <cellStyle name="40% - Akzent3 9 18 2 2" xfId="26433" xr:uid="{42E806AE-E356-4BB5-888F-1B2129A19EE1}"/>
    <cellStyle name="40% - Akzent3 9 18 3" xfId="26432" xr:uid="{3DDD6928-AA0F-44F5-B4B9-5AF1A2FBAC5C}"/>
    <cellStyle name="40% - Akzent3 9 19" xfId="6997" xr:uid="{5B4F964D-32E4-4E9A-91EA-6BDB8D6E2002}"/>
    <cellStyle name="40% - Akzent3 9 19 2" xfId="6998" xr:uid="{9124919F-CE76-49C0-8641-47D46B6F4396}"/>
    <cellStyle name="40% - Akzent3 9 19 2 2" xfId="26435" xr:uid="{6B2E2D19-6370-4A79-9F38-DDE458091363}"/>
    <cellStyle name="40% - Akzent3 9 19 3" xfId="26434" xr:uid="{A5646792-229B-46AB-ABB9-1D5A1CA8149E}"/>
    <cellStyle name="40% - Akzent3 9 2" xfId="6999" xr:uid="{267D580B-7FA5-4981-8ECB-7C222C2BA997}"/>
    <cellStyle name="40% - Akzent3 9 2 2" xfId="7000" xr:uid="{9B25FD84-8F5F-4CD4-BBA1-C8C7BCFEBBC5}"/>
    <cellStyle name="40% - Akzent3 9 2 2 2" xfId="26437" xr:uid="{0C7B98FE-15DD-48FE-870E-15689E811E59}"/>
    <cellStyle name="40% - Akzent3 9 2 3" xfId="26436" xr:uid="{92373235-2B41-492C-B8B7-C603A6215FBA}"/>
    <cellStyle name="40% - Akzent3 9 20" xfId="7001" xr:uid="{5428E7CD-EF23-4EE8-BA26-6ACEB23696AE}"/>
    <cellStyle name="40% - Akzent3 9 20 2" xfId="7002" xr:uid="{234E7E19-25AA-456F-B094-2F5C88108797}"/>
    <cellStyle name="40% - Akzent3 9 20 2 2" xfId="26439" xr:uid="{B92BBD7B-2FB7-4793-A521-D42A24852354}"/>
    <cellStyle name="40% - Akzent3 9 20 3" xfId="26438" xr:uid="{D2F57053-706E-4EBC-8A59-36E1DA0CD916}"/>
    <cellStyle name="40% - Akzent3 9 21" xfId="7003" xr:uid="{32EF2D5F-DED4-4F6F-A473-70F8DF63CCB6}"/>
    <cellStyle name="40% - Akzent3 9 21 2" xfId="7004" xr:uid="{C6AF5A74-0A96-4B30-8F10-5E5699258A81}"/>
    <cellStyle name="40% - Akzent3 9 21 2 2" xfId="26441" xr:uid="{F96FBDF2-3119-46F9-85EB-3B025D44C68B}"/>
    <cellStyle name="40% - Akzent3 9 21 3" xfId="26440" xr:uid="{5432395B-3993-4280-90B7-1D7F4B52328C}"/>
    <cellStyle name="40% - Akzent3 9 22" xfId="7005" xr:uid="{EBECE1E5-34C3-40F3-A9F8-E0C868C3D743}"/>
    <cellStyle name="40% - Akzent3 9 22 2" xfId="26442" xr:uid="{30736768-0108-42B9-85F3-8163CEAEA84B}"/>
    <cellStyle name="40% - Akzent3 9 23" xfId="26415" xr:uid="{1F4619E8-60D6-470F-9F79-90F23C832D92}"/>
    <cellStyle name="40% - Akzent3 9 3" xfId="7006" xr:uid="{1E8950F4-7239-4C77-AEAD-55B24932E3D2}"/>
    <cellStyle name="40% - Akzent3 9 3 2" xfId="7007" xr:uid="{7156F2C6-A113-4FFA-AD83-6AE82F5D30AC}"/>
    <cellStyle name="40% - Akzent3 9 3 2 2" xfId="26444" xr:uid="{AEA22533-5C1E-4A7B-871F-EB75EC816C16}"/>
    <cellStyle name="40% - Akzent3 9 3 3" xfId="26443" xr:uid="{DA9641C5-CDA5-42D2-9112-2E705E1AB3EC}"/>
    <cellStyle name="40% - Akzent3 9 4" xfId="7008" xr:uid="{8D66BF54-3E8D-44B8-BDDE-CFD5069BE1EA}"/>
    <cellStyle name="40% - Akzent3 9 4 2" xfId="7009" xr:uid="{25BC236A-7A76-4F5F-AF95-7EBCC9E0A17F}"/>
    <cellStyle name="40% - Akzent3 9 4 2 2" xfId="26446" xr:uid="{8463F25C-600E-459F-906C-9FB0DEAAD6B9}"/>
    <cellStyle name="40% - Akzent3 9 4 3" xfId="26445" xr:uid="{E542AFF3-37DC-442C-A957-A6E2649100D4}"/>
    <cellStyle name="40% - Akzent3 9 5" xfId="7010" xr:uid="{49A63E77-555B-493A-83C0-7EC5E4D8252E}"/>
    <cellStyle name="40% - Akzent3 9 5 2" xfId="7011" xr:uid="{6A9EA367-694E-46BE-B5DC-2FF04A7F6502}"/>
    <cellStyle name="40% - Akzent3 9 5 2 2" xfId="26448" xr:uid="{61994A64-3E48-412A-972F-D6C715000430}"/>
    <cellStyle name="40% - Akzent3 9 5 3" xfId="26447" xr:uid="{6480E1ED-8A63-45B6-95E1-65FD8899EFC2}"/>
    <cellStyle name="40% - Akzent3 9 6" xfId="7012" xr:uid="{B0ADD3E9-99E7-4479-8428-A322D4FD4D32}"/>
    <cellStyle name="40% - Akzent3 9 6 2" xfId="7013" xr:uid="{C4752B20-13CD-4A56-9184-8CED031278AB}"/>
    <cellStyle name="40% - Akzent3 9 6 2 2" xfId="26450" xr:uid="{C452DC16-21C3-4D27-B31B-28D4DF96D723}"/>
    <cellStyle name="40% - Akzent3 9 6 3" xfId="26449" xr:uid="{C56B5E27-AF3C-4D96-8C9B-0059B8CE2CF3}"/>
    <cellStyle name="40% - Akzent3 9 7" xfId="7014" xr:uid="{FF1B96BC-55BD-404D-80DC-FE75F9236D2A}"/>
    <cellStyle name="40% - Akzent3 9 7 2" xfId="7015" xr:uid="{C7AA940F-3C5F-4FAB-B13B-9D674AAF09FA}"/>
    <cellStyle name="40% - Akzent3 9 7 2 2" xfId="26452" xr:uid="{925BBD75-ED4F-4209-A222-5F7EA3625EE6}"/>
    <cellStyle name="40% - Akzent3 9 7 3" xfId="26451" xr:uid="{89DF8E3F-590D-4724-B950-065B7201A245}"/>
    <cellStyle name="40% - Akzent3 9 8" xfId="7016" xr:uid="{C3B9FFDB-F10E-4092-A561-28DCC2EAA496}"/>
    <cellStyle name="40% - Akzent3 9 8 2" xfId="7017" xr:uid="{C2BA700B-1C7B-4C12-944E-E584D4F9BD1A}"/>
    <cellStyle name="40% - Akzent3 9 8 2 2" xfId="26454" xr:uid="{30298959-F943-48A3-B2BB-5AE9AC350D2D}"/>
    <cellStyle name="40% - Akzent3 9 8 3" xfId="26453" xr:uid="{2BF8FE2A-5F79-46C7-810A-DE16A67011FE}"/>
    <cellStyle name="40% - Akzent3 9 9" xfId="7018" xr:uid="{EA8B6832-D5CC-40B4-BE8D-9260B58013C0}"/>
    <cellStyle name="40% - Akzent3 9 9 2" xfId="7019" xr:uid="{F2BBEEB2-5C63-433D-825F-D5BDF33E2FAD}"/>
    <cellStyle name="40% - Akzent3 9 9 2 2" xfId="26456" xr:uid="{903A0D56-F70D-4F39-8315-DC7E20612137}"/>
    <cellStyle name="40% - Akzent3 9 9 3" xfId="26455" xr:uid="{6C1390FD-75A7-4E19-891D-6443AC6F250F}"/>
    <cellStyle name="40% - Akzent4 10" xfId="7021" xr:uid="{D3114C40-02CF-4926-94E3-F7F0727789F7}"/>
    <cellStyle name="40% - Akzent4 10 10" xfId="7022" xr:uid="{8141B941-F264-4D95-9524-249CCB0BF0BE}"/>
    <cellStyle name="40% - Akzent4 10 10 2" xfId="7023" xr:uid="{1AA260B3-961E-435B-B211-B9235DB7B661}"/>
    <cellStyle name="40% - Akzent4 10 10 2 2" xfId="26460" xr:uid="{93FC0D9C-E3E3-4D09-95A4-BEC03BE0FBD7}"/>
    <cellStyle name="40% - Akzent4 10 10 3" xfId="26459" xr:uid="{4426D64A-A11C-4CFB-B5F1-D99523A88E24}"/>
    <cellStyle name="40% - Akzent4 10 11" xfId="7024" xr:uid="{136E68E3-F60D-40D8-B8E7-0311D47DCA5E}"/>
    <cellStyle name="40% - Akzent4 10 11 2" xfId="7025" xr:uid="{FD17FE54-4851-4CCF-8D3C-769DF02B4057}"/>
    <cellStyle name="40% - Akzent4 10 11 2 2" xfId="26462" xr:uid="{E6C74930-0500-46B4-85CD-396702C1D782}"/>
    <cellStyle name="40% - Akzent4 10 11 3" xfId="26461" xr:uid="{DC2A7061-3674-4995-99BC-21060BA03234}"/>
    <cellStyle name="40% - Akzent4 10 12" xfId="7026" xr:uid="{403D1FED-89AA-4671-9F46-12814CDE9AD0}"/>
    <cellStyle name="40% - Akzent4 10 12 2" xfId="7027" xr:uid="{0708CB5A-D6FC-4D8E-A8CB-BF7A58F5511B}"/>
    <cellStyle name="40% - Akzent4 10 12 2 2" xfId="26464" xr:uid="{A30F15A0-14BE-4BC7-864A-B78BF772F8C5}"/>
    <cellStyle name="40% - Akzent4 10 12 3" xfId="26463" xr:uid="{86FC05B1-C5B4-48FF-82E1-BB7E22EB0341}"/>
    <cellStyle name="40% - Akzent4 10 13" xfId="7028" xr:uid="{9F767197-B9C0-4F37-BE01-7911F9B19035}"/>
    <cellStyle name="40% - Akzent4 10 13 2" xfId="7029" xr:uid="{196227DF-F03B-456B-AE99-1A4EFD5077FF}"/>
    <cellStyle name="40% - Akzent4 10 13 2 2" xfId="26466" xr:uid="{36E829B6-7BEB-403F-B8AF-D138476EC6C3}"/>
    <cellStyle name="40% - Akzent4 10 13 3" xfId="26465" xr:uid="{F1D80D97-430C-4E86-8B56-DFB2799E345A}"/>
    <cellStyle name="40% - Akzent4 10 14" xfId="7030" xr:uid="{1A319F9D-78D9-4908-95E3-3545B7751574}"/>
    <cellStyle name="40% - Akzent4 10 14 2" xfId="7031" xr:uid="{676C7D33-5157-4F86-BA90-A8A647335A0D}"/>
    <cellStyle name="40% - Akzent4 10 14 2 2" xfId="26468" xr:uid="{439E16B0-4DCE-4593-B8B4-750DE701F2C3}"/>
    <cellStyle name="40% - Akzent4 10 14 3" xfId="26467" xr:uid="{0D15421E-A93C-492A-8136-B5778F909E22}"/>
    <cellStyle name="40% - Akzent4 10 15" xfId="7032" xr:uid="{C67D417D-45C9-43CA-9245-FFEDB55FAF80}"/>
    <cellStyle name="40% - Akzent4 10 15 2" xfId="7033" xr:uid="{15016638-D4FF-42D4-931F-F99EFD76B452}"/>
    <cellStyle name="40% - Akzent4 10 15 2 2" xfId="26470" xr:uid="{BA573D41-3C99-41D7-9773-FD82B5734795}"/>
    <cellStyle name="40% - Akzent4 10 15 3" xfId="26469" xr:uid="{D048D6C5-D8F8-4910-BC24-C28677B6ADAA}"/>
    <cellStyle name="40% - Akzent4 10 16" xfId="7034" xr:uid="{14DCBB3D-952F-4FFE-A1D3-FDD58CDD16B0}"/>
    <cellStyle name="40% - Akzent4 10 16 2" xfId="7035" xr:uid="{F4C84E57-9097-4B76-B584-257629C44951}"/>
    <cellStyle name="40% - Akzent4 10 16 2 2" xfId="26472" xr:uid="{7AB5D404-2D21-4CB6-9A0A-FC881DD41214}"/>
    <cellStyle name="40% - Akzent4 10 16 3" xfId="26471" xr:uid="{ED03A1BD-19FE-483C-8559-E6E81EE5C4C3}"/>
    <cellStyle name="40% - Akzent4 10 17" xfId="7036" xr:uid="{0DB4A813-1A8F-4181-8A65-5F0E8645E1C2}"/>
    <cellStyle name="40% - Akzent4 10 17 2" xfId="7037" xr:uid="{764853C1-D78D-429B-A950-4CA503596490}"/>
    <cellStyle name="40% - Akzent4 10 17 2 2" xfId="26474" xr:uid="{3043D499-6382-4810-B940-BA8CA9725B57}"/>
    <cellStyle name="40% - Akzent4 10 17 3" xfId="26473" xr:uid="{6A324E38-D152-485F-88F3-103C35ECF76E}"/>
    <cellStyle name="40% - Akzent4 10 18" xfId="7038" xr:uid="{181C50C2-E868-47CB-A52E-2CFDAA22E762}"/>
    <cellStyle name="40% - Akzent4 10 18 2" xfId="7039" xr:uid="{CEB47C69-57CB-447D-88B8-370FD1002C2A}"/>
    <cellStyle name="40% - Akzent4 10 18 2 2" xfId="26476" xr:uid="{73F91FA3-4641-4820-8B8C-3DD710409BF9}"/>
    <cellStyle name="40% - Akzent4 10 18 3" xfId="26475" xr:uid="{A61CF5A1-16A0-4BAC-9489-43F48012D940}"/>
    <cellStyle name="40% - Akzent4 10 19" xfId="7040" xr:uid="{D2D640F8-8188-4755-8C20-0B151949CC53}"/>
    <cellStyle name="40% - Akzent4 10 19 2" xfId="7041" xr:uid="{6F56682B-1B7B-435A-BE6C-642693BFD8DD}"/>
    <cellStyle name="40% - Akzent4 10 19 2 2" xfId="26478" xr:uid="{E7D07A83-00E3-4F14-B9FA-79A85244A00F}"/>
    <cellStyle name="40% - Akzent4 10 19 3" xfId="26477" xr:uid="{883FB891-4C6C-4486-A85E-17F19A69B2B8}"/>
    <cellStyle name="40% - Akzent4 10 2" xfId="7042" xr:uid="{924A4416-B16D-4571-843A-3BB5813DD8B6}"/>
    <cellStyle name="40% - Akzent4 10 2 2" xfId="7043" xr:uid="{ADE98F1F-ECF1-4A7A-A16A-658A55AFAB64}"/>
    <cellStyle name="40% - Akzent4 10 2 2 2" xfId="26480" xr:uid="{7BEE665C-6ECE-4CCA-9CB4-79ED98AEC0BA}"/>
    <cellStyle name="40% - Akzent4 10 2 3" xfId="26479" xr:uid="{242166E7-9224-4232-BD14-DE330EF9AD82}"/>
    <cellStyle name="40% - Akzent4 10 20" xfId="7044" xr:uid="{B62753F6-6E3F-4B77-9AE1-8DA3C2750CC4}"/>
    <cellStyle name="40% - Akzent4 10 20 2" xfId="7045" xr:uid="{3F3BAAF9-A991-4BA4-A871-F29C1512008F}"/>
    <cellStyle name="40% - Akzent4 10 20 2 2" xfId="26482" xr:uid="{5289D45A-8948-430A-964E-05E7D4298217}"/>
    <cellStyle name="40% - Akzent4 10 20 3" xfId="26481" xr:uid="{13F9A805-5F4C-4252-9A04-FEA0E33C56C2}"/>
    <cellStyle name="40% - Akzent4 10 21" xfId="7046" xr:uid="{87F5FD59-CF40-4888-8B57-901453A490C0}"/>
    <cellStyle name="40% - Akzent4 10 21 2" xfId="7047" xr:uid="{6D7F0068-42A2-43B3-87C7-0C8160DDCC28}"/>
    <cellStyle name="40% - Akzent4 10 21 2 2" xfId="26484" xr:uid="{BB2CDDFA-AFBE-4E2E-84C1-19B54C8126E0}"/>
    <cellStyle name="40% - Akzent4 10 21 3" xfId="26483" xr:uid="{E41309AE-D8F2-48B7-AB5F-9E54938691AA}"/>
    <cellStyle name="40% - Akzent4 10 22" xfId="7048" xr:uid="{EDD1378B-986B-470E-AE35-AA125746BE95}"/>
    <cellStyle name="40% - Akzent4 10 22 2" xfId="26485" xr:uid="{3C8EE472-A954-48B4-B3DE-C3EC37566F4C}"/>
    <cellStyle name="40% - Akzent4 10 23" xfId="26458" xr:uid="{47BEA02E-101C-4B07-B0CB-61636EE837FB}"/>
    <cellStyle name="40% - Akzent4 10 3" xfId="7049" xr:uid="{A07803B6-6BEA-4F20-B68E-8FBF9BD191F1}"/>
    <cellStyle name="40% - Akzent4 10 3 2" xfId="7050" xr:uid="{1F9693AB-D697-4AFF-ADE6-592908D72454}"/>
    <cellStyle name="40% - Akzent4 10 3 2 2" xfId="26487" xr:uid="{434BAB90-4CF9-40BD-9DC7-0B6485A7D43B}"/>
    <cellStyle name="40% - Akzent4 10 3 3" xfId="26486" xr:uid="{142B35DB-CC78-41EE-882D-2969877380D3}"/>
    <cellStyle name="40% - Akzent4 10 4" xfId="7051" xr:uid="{21EA52A2-F10C-4C6D-B2FB-A3652C258541}"/>
    <cellStyle name="40% - Akzent4 10 4 2" xfId="7052" xr:uid="{F5AD53F4-25C7-44D4-999B-685079462AD1}"/>
    <cellStyle name="40% - Akzent4 10 4 2 2" xfId="26489" xr:uid="{95758B87-508D-48AE-A60B-E909D650AF95}"/>
    <cellStyle name="40% - Akzent4 10 4 3" xfId="26488" xr:uid="{B4D4082E-CEA3-40FB-972E-FDB1D0EE43EE}"/>
    <cellStyle name="40% - Akzent4 10 5" xfId="7053" xr:uid="{9274B6F2-2289-403D-A6D0-6BB23A111D32}"/>
    <cellStyle name="40% - Akzent4 10 5 2" xfId="7054" xr:uid="{5C1D1920-2CFA-4838-9271-DCBC0DDD5AA4}"/>
    <cellStyle name="40% - Akzent4 10 5 2 2" xfId="26491" xr:uid="{712F4E98-9234-4541-A490-A1AF1E597E11}"/>
    <cellStyle name="40% - Akzent4 10 5 3" xfId="26490" xr:uid="{CF5F472C-921A-4986-B13F-CCD57D56F3D5}"/>
    <cellStyle name="40% - Akzent4 10 6" xfId="7055" xr:uid="{1DF70F11-C7CB-45AC-ACB3-E4959CC690D7}"/>
    <cellStyle name="40% - Akzent4 10 6 2" xfId="7056" xr:uid="{2BB60F8E-676C-42A5-B97B-95389A26E699}"/>
    <cellStyle name="40% - Akzent4 10 6 2 2" xfId="26493" xr:uid="{7EC52C95-B380-44C5-BB9B-DB12FD58DA42}"/>
    <cellStyle name="40% - Akzent4 10 6 3" xfId="26492" xr:uid="{D90E5459-09E9-4697-B985-848BF011985E}"/>
    <cellStyle name="40% - Akzent4 10 7" xfId="7057" xr:uid="{6F83A951-6221-4366-AA2D-E898CE54F962}"/>
    <cellStyle name="40% - Akzent4 10 7 2" xfId="7058" xr:uid="{D68E3C1B-FEDF-4EFB-9C6C-2C84C855C448}"/>
    <cellStyle name="40% - Akzent4 10 7 2 2" xfId="26495" xr:uid="{F88166B5-79D6-4E76-A7B8-1970169AD2F8}"/>
    <cellStyle name="40% - Akzent4 10 7 3" xfId="26494" xr:uid="{4E35DC12-D1B3-4C5D-B56F-29A01AB4F2ED}"/>
    <cellStyle name="40% - Akzent4 10 8" xfId="7059" xr:uid="{81975A33-4AFC-4F87-981D-8FA3F67A38E1}"/>
    <cellStyle name="40% - Akzent4 10 8 2" xfId="7060" xr:uid="{8DB052AD-6908-4578-9D40-917303445C34}"/>
    <cellStyle name="40% - Akzent4 10 8 2 2" xfId="26497" xr:uid="{9AD7C77F-0BFD-4957-BBD7-9FB0C0A20CBF}"/>
    <cellStyle name="40% - Akzent4 10 8 3" xfId="26496" xr:uid="{A3A64193-1D3E-4985-8BF7-A5939829CE55}"/>
    <cellStyle name="40% - Akzent4 10 9" xfId="7061" xr:uid="{AD3AEAB8-0FE1-404D-89CB-9C836AB0F8CB}"/>
    <cellStyle name="40% - Akzent4 10 9 2" xfId="7062" xr:uid="{F04DB950-3C53-490D-9A18-DA7432B38931}"/>
    <cellStyle name="40% - Akzent4 10 9 2 2" xfId="26499" xr:uid="{F39A901E-51C6-4D71-9AE4-8F65ACF9A2DD}"/>
    <cellStyle name="40% - Akzent4 10 9 3" xfId="26498" xr:uid="{4234814D-5E7A-4C07-A3F0-58A2FB4E9E76}"/>
    <cellStyle name="40% - Akzent4 11" xfId="7063" xr:uid="{58CFE4BF-99FE-4A89-B1CD-1F4DE463A117}"/>
    <cellStyle name="40% - Akzent4 11 10" xfId="7064" xr:uid="{8D72A0A1-647B-4C84-8DFE-13B9E78147C0}"/>
    <cellStyle name="40% - Akzent4 11 10 2" xfId="7065" xr:uid="{611005A3-016E-4215-8B0C-BEDA2A405C40}"/>
    <cellStyle name="40% - Akzent4 11 10 2 2" xfId="26502" xr:uid="{DC93A6E1-2304-4179-94DA-B48C02903574}"/>
    <cellStyle name="40% - Akzent4 11 10 3" xfId="26501" xr:uid="{6BC5019E-C0BE-4748-9D65-1ED4233054D6}"/>
    <cellStyle name="40% - Akzent4 11 11" xfId="7066" xr:uid="{135CA013-E4B6-4B88-87CA-B420B6DD4CD6}"/>
    <cellStyle name="40% - Akzent4 11 11 2" xfId="7067" xr:uid="{4E714A9D-BE96-4FE8-894C-81A48736C73F}"/>
    <cellStyle name="40% - Akzent4 11 11 2 2" xfId="26504" xr:uid="{9C3649DA-8912-485C-8175-A996D0A7CCFB}"/>
    <cellStyle name="40% - Akzent4 11 11 3" xfId="26503" xr:uid="{F5B7063C-0130-426B-B2F5-7D1D9C9C5901}"/>
    <cellStyle name="40% - Akzent4 11 12" xfId="7068" xr:uid="{30BEE6C5-59D2-431C-A9CB-F7943DF19B6A}"/>
    <cellStyle name="40% - Akzent4 11 12 2" xfId="7069" xr:uid="{8774CEC7-7303-43E5-9E9E-C40D9828FD31}"/>
    <cellStyle name="40% - Akzent4 11 12 2 2" xfId="26506" xr:uid="{CA47B49F-1BCC-4098-9E06-DEF5FD9508BA}"/>
    <cellStyle name="40% - Akzent4 11 12 3" xfId="26505" xr:uid="{691FCEE9-0204-4FC6-BC77-41C427775F88}"/>
    <cellStyle name="40% - Akzent4 11 13" xfId="7070" xr:uid="{AF828DA3-DD5E-4978-BCFB-ABD60AB0AFF1}"/>
    <cellStyle name="40% - Akzent4 11 13 2" xfId="7071" xr:uid="{E6E5AEEF-4A5B-411A-9E7D-B418698F5B2E}"/>
    <cellStyle name="40% - Akzent4 11 13 2 2" xfId="26508" xr:uid="{DA78BFEF-DEDC-49CD-A813-5610F7E7DC55}"/>
    <cellStyle name="40% - Akzent4 11 13 3" xfId="26507" xr:uid="{54B8EB8D-05CC-41BB-8863-9A979F1C40CC}"/>
    <cellStyle name="40% - Akzent4 11 14" xfId="7072" xr:uid="{D37AD572-4704-4F70-8946-2438A7BF909C}"/>
    <cellStyle name="40% - Akzent4 11 14 2" xfId="7073" xr:uid="{DD39E246-9925-4B55-80E8-E75D47148B9E}"/>
    <cellStyle name="40% - Akzent4 11 14 2 2" xfId="26510" xr:uid="{3CC407D8-86E5-4D3B-BF39-A61D8DE69682}"/>
    <cellStyle name="40% - Akzent4 11 14 3" xfId="26509" xr:uid="{F3C72F82-245D-455D-8438-A3133FDCC083}"/>
    <cellStyle name="40% - Akzent4 11 15" xfId="7074" xr:uid="{6BA8FBA1-8B07-4DA8-903B-797D84F193F1}"/>
    <cellStyle name="40% - Akzent4 11 15 2" xfId="7075" xr:uid="{B969F175-D406-4B3F-87ED-4D79D860A0D9}"/>
    <cellStyle name="40% - Akzent4 11 15 2 2" xfId="26512" xr:uid="{F270FB57-6A44-4089-8F13-5722BA9F97EC}"/>
    <cellStyle name="40% - Akzent4 11 15 3" xfId="26511" xr:uid="{7FE08C52-3253-47D3-9485-D9D44C558AF7}"/>
    <cellStyle name="40% - Akzent4 11 16" xfId="7076" xr:uid="{7DFC2AB2-526C-4385-9D89-9F8A33690104}"/>
    <cellStyle name="40% - Akzent4 11 16 2" xfId="7077" xr:uid="{A8170BF1-BCAD-420A-8A62-9546E1F98784}"/>
    <cellStyle name="40% - Akzent4 11 16 2 2" xfId="26514" xr:uid="{D4FF6048-3A1C-4F25-BEE2-BE13FE97C912}"/>
    <cellStyle name="40% - Akzent4 11 16 3" xfId="26513" xr:uid="{F1DED2A8-379A-40F4-9D93-BE6FA5812FB3}"/>
    <cellStyle name="40% - Akzent4 11 17" xfId="7078" xr:uid="{C7E1E5AA-D49D-4C56-B101-69E16ED8254B}"/>
    <cellStyle name="40% - Akzent4 11 17 2" xfId="7079" xr:uid="{85DD5CC7-F4DC-4037-92E0-0A6FD03C3D5A}"/>
    <cellStyle name="40% - Akzent4 11 17 2 2" xfId="26516" xr:uid="{26BB74C7-1DB1-4B69-A8C5-674EE294B74B}"/>
    <cellStyle name="40% - Akzent4 11 17 3" xfId="26515" xr:uid="{8E1FB9C8-D43E-413F-B32B-D7AFBBC120A3}"/>
    <cellStyle name="40% - Akzent4 11 18" xfId="7080" xr:uid="{00455A4B-F44B-4FAD-9357-E24C0BA06A1F}"/>
    <cellStyle name="40% - Akzent4 11 18 2" xfId="7081" xr:uid="{76263C5D-095D-4808-BA72-B3CA9D1B7728}"/>
    <cellStyle name="40% - Akzent4 11 18 2 2" xfId="26518" xr:uid="{F53DE40C-A3E7-4981-8F60-1BCA80C04C7C}"/>
    <cellStyle name="40% - Akzent4 11 18 3" xfId="26517" xr:uid="{2C2C2218-593A-4334-BF6E-52943E9F5EF1}"/>
    <cellStyle name="40% - Akzent4 11 19" xfId="7082" xr:uid="{89EFF970-F51B-4BCC-BE3D-BEF831E39FF7}"/>
    <cellStyle name="40% - Akzent4 11 19 2" xfId="7083" xr:uid="{BEBD759E-5A2F-4D36-8F62-1930465A914F}"/>
    <cellStyle name="40% - Akzent4 11 19 2 2" xfId="26520" xr:uid="{D2ADF773-DFEF-4FBB-BBFD-C5FF5D51D383}"/>
    <cellStyle name="40% - Akzent4 11 19 3" xfId="26519" xr:uid="{9FEDDA76-FF95-4D7D-8DEF-9DC6B7FEE66C}"/>
    <cellStyle name="40% - Akzent4 11 2" xfId="7084" xr:uid="{03F7F66F-07AD-4120-B3F0-BC3D15155279}"/>
    <cellStyle name="40% - Akzent4 11 2 2" xfId="7085" xr:uid="{2B5B6582-FD8E-49EE-800B-2E8C473EEE3B}"/>
    <cellStyle name="40% - Akzent4 11 2 2 2" xfId="26522" xr:uid="{7308BBFA-36E0-48DD-96B1-032DA8D793E0}"/>
    <cellStyle name="40% - Akzent4 11 2 3" xfId="26521" xr:uid="{500FD2D0-1BCF-4313-90BC-E511625A0311}"/>
    <cellStyle name="40% - Akzent4 11 20" xfId="7086" xr:uid="{211C2E36-EC8C-4F4C-B9D7-AB878FD9B384}"/>
    <cellStyle name="40% - Akzent4 11 20 2" xfId="7087" xr:uid="{330A26B0-10C7-4D9D-9013-F65E65CAC38E}"/>
    <cellStyle name="40% - Akzent4 11 20 2 2" xfId="26524" xr:uid="{18945098-9D34-480A-82E0-6C88356EB9C0}"/>
    <cellStyle name="40% - Akzent4 11 20 3" xfId="26523" xr:uid="{D6AAC684-75E7-4A11-A1E1-8128DC99E9A2}"/>
    <cellStyle name="40% - Akzent4 11 21" xfId="7088" xr:uid="{10208923-D90A-49B5-8D54-1213B4407838}"/>
    <cellStyle name="40% - Akzent4 11 21 2" xfId="7089" xr:uid="{B62C9349-1EF6-41FF-A261-1D79171BC0EE}"/>
    <cellStyle name="40% - Akzent4 11 21 2 2" xfId="26526" xr:uid="{3E9F72D7-8979-4FDB-B3B9-4B41CB7061F8}"/>
    <cellStyle name="40% - Akzent4 11 21 3" xfId="26525" xr:uid="{432D6110-5F1E-4A78-A391-89F0D380A491}"/>
    <cellStyle name="40% - Akzent4 11 22" xfId="7090" xr:uid="{4B817A67-B918-44D6-9020-BCDEF01AD276}"/>
    <cellStyle name="40% - Akzent4 11 22 2" xfId="26527" xr:uid="{C8F5C1B7-1585-40A1-A846-26582E1F83C2}"/>
    <cellStyle name="40% - Akzent4 11 23" xfId="26500" xr:uid="{552DA4E7-0061-483F-A88F-EB21664E6071}"/>
    <cellStyle name="40% - Akzent4 11 3" xfId="7091" xr:uid="{FBF31B9E-7071-4314-8529-57F5A6B47E15}"/>
    <cellStyle name="40% - Akzent4 11 3 2" xfId="7092" xr:uid="{D86145F3-D5C4-490E-A3F8-B66FAED2842D}"/>
    <cellStyle name="40% - Akzent4 11 3 2 2" xfId="26529" xr:uid="{AF8E935A-DD72-4202-A03D-57DE9A59786C}"/>
    <cellStyle name="40% - Akzent4 11 3 3" xfId="26528" xr:uid="{01D89D7B-DBF3-499E-9706-B2AA4F7E6763}"/>
    <cellStyle name="40% - Akzent4 11 4" xfId="7093" xr:uid="{6C54DD9B-B947-4013-A6F2-2B2E7B7DC75D}"/>
    <cellStyle name="40% - Akzent4 11 4 2" xfId="7094" xr:uid="{30B5B850-BCF2-4A69-8B81-D5DA5D6BB7EC}"/>
    <cellStyle name="40% - Akzent4 11 4 2 2" xfId="26531" xr:uid="{C1E78422-50C4-4C64-8F06-C153DF7E6C6A}"/>
    <cellStyle name="40% - Akzent4 11 4 3" xfId="26530" xr:uid="{B9FFA9D7-BE97-4207-A85F-F6BC7EE4FFA1}"/>
    <cellStyle name="40% - Akzent4 11 5" xfId="7095" xr:uid="{0E60281A-1A16-4440-B961-7A49B654B7A4}"/>
    <cellStyle name="40% - Akzent4 11 5 2" xfId="7096" xr:uid="{98F8ABCD-A549-46D3-B85B-E51C39F8A61C}"/>
    <cellStyle name="40% - Akzent4 11 5 2 2" xfId="26533" xr:uid="{F4BC9B15-E840-4605-A3A7-A57478DBDC17}"/>
    <cellStyle name="40% - Akzent4 11 5 3" xfId="26532" xr:uid="{1399B1E6-140F-4705-B399-D1A8F353DA69}"/>
    <cellStyle name="40% - Akzent4 11 6" xfId="7097" xr:uid="{58B37CB9-18AD-4E97-A904-4625A33C4710}"/>
    <cellStyle name="40% - Akzent4 11 6 2" xfId="7098" xr:uid="{6C6348CC-8D9F-42DE-89EA-C720A87E52FF}"/>
    <cellStyle name="40% - Akzent4 11 6 2 2" xfId="26535" xr:uid="{33243412-5F35-4954-9C8C-8FC4E3E6D2B0}"/>
    <cellStyle name="40% - Akzent4 11 6 3" xfId="26534" xr:uid="{C65586F7-538D-476E-A475-5CA002CE7F43}"/>
    <cellStyle name="40% - Akzent4 11 7" xfId="7099" xr:uid="{FB6D77D6-07EF-40A4-AACD-968C7D75AE63}"/>
    <cellStyle name="40% - Akzent4 11 7 2" xfId="7100" xr:uid="{9643C8B3-E666-4ACF-A1ED-29A1D65C7335}"/>
    <cellStyle name="40% - Akzent4 11 7 2 2" xfId="26537" xr:uid="{7B64E0AA-98D8-47C6-BDA3-D422B80F3FC9}"/>
    <cellStyle name="40% - Akzent4 11 7 3" xfId="26536" xr:uid="{420B5D6B-9596-4810-B20A-E347E79B890C}"/>
    <cellStyle name="40% - Akzent4 11 8" xfId="7101" xr:uid="{D9E8AA53-75DC-47B9-9905-B435975CB4E0}"/>
    <cellStyle name="40% - Akzent4 11 8 2" xfId="7102" xr:uid="{732CF5DC-C450-44A7-8EE8-524C7D6D659A}"/>
    <cellStyle name="40% - Akzent4 11 8 2 2" xfId="26539" xr:uid="{0560338A-EF3A-4587-810C-2AB7402D6680}"/>
    <cellStyle name="40% - Akzent4 11 8 3" xfId="26538" xr:uid="{0508F9D6-AD7A-4812-8A6C-236672B4588E}"/>
    <cellStyle name="40% - Akzent4 11 9" xfId="7103" xr:uid="{1D96BD94-FF42-4964-AE2B-E659220B1F81}"/>
    <cellStyle name="40% - Akzent4 11 9 2" xfId="7104" xr:uid="{2F792151-A5B8-4E4A-943C-7349E1934FE5}"/>
    <cellStyle name="40% - Akzent4 11 9 2 2" xfId="26541" xr:uid="{7F3882F5-8BD3-4052-9F82-ECBE54590099}"/>
    <cellStyle name="40% - Akzent4 11 9 3" xfId="26540" xr:uid="{D081BCF1-9647-4653-ABAE-A64CDF58E930}"/>
    <cellStyle name="40% - Akzent4 12" xfId="7105" xr:uid="{394752B6-D9C2-424C-B948-8C6227B5B450}"/>
    <cellStyle name="40% - Akzent4 12 10" xfId="7106" xr:uid="{FE701248-144C-4878-8BC4-1F63E8C8C54A}"/>
    <cellStyle name="40% - Akzent4 12 10 2" xfId="7107" xr:uid="{DC2B7377-B93C-46A4-B453-3E7D05B62A49}"/>
    <cellStyle name="40% - Akzent4 12 10 2 2" xfId="26544" xr:uid="{75A65F22-65C5-498C-AE4C-28BAF71884D9}"/>
    <cellStyle name="40% - Akzent4 12 10 3" xfId="26543" xr:uid="{CD1920CB-2E1F-4066-9CCB-7075F4C449F7}"/>
    <cellStyle name="40% - Akzent4 12 11" xfId="7108" xr:uid="{80DE3525-3EA6-42BB-AF5B-17C08EBBD6DF}"/>
    <cellStyle name="40% - Akzent4 12 11 2" xfId="7109" xr:uid="{668CF540-BA00-458E-BE6F-6A1DD0D2BFC6}"/>
    <cellStyle name="40% - Akzent4 12 11 2 2" xfId="26546" xr:uid="{7FE9AE2F-8D5F-4895-B730-2A1782519A99}"/>
    <cellStyle name="40% - Akzent4 12 11 3" xfId="26545" xr:uid="{1B1059AF-0222-43A2-9FAA-A13ECBA1CFF4}"/>
    <cellStyle name="40% - Akzent4 12 12" xfId="7110" xr:uid="{7C7C93B6-981C-4A87-81ED-095DD75226BA}"/>
    <cellStyle name="40% - Akzent4 12 12 2" xfId="7111" xr:uid="{A3B9755D-19E0-4C33-9239-795BA4C6FABA}"/>
    <cellStyle name="40% - Akzent4 12 12 2 2" xfId="26548" xr:uid="{AB4B0967-A20B-45B3-9ED8-FD53DCF3EB07}"/>
    <cellStyle name="40% - Akzent4 12 12 3" xfId="26547" xr:uid="{B06BD5E5-8B85-46F8-B12E-994929CF2D75}"/>
    <cellStyle name="40% - Akzent4 12 13" xfId="7112" xr:uid="{36FD8759-90C3-4D6F-915D-885C7F64508D}"/>
    <cellStyle name="40% - Akzent4 12 13 2" xfId="7113" xr:uid="{B7D47416-1DEA-4334-BC20-D472FBBB6E31}"/>
    <cellStyle name="40% - Akzent4 12 13 2 2" xfId="26550" xr:uid="{EE7FA9E1-4972-4824-96ED-2FE325DB40B8}"/>
    <cellStyle name="40% - Akzent4 12 13 3" xfId="26549" xr:uid="{907DE622-F094-429F-B499-08C10C2E0C83}"/>
    <cellStyle name="40% - Akzent4 12 14" xfId="7114" xr:uid="{3AF7AA78-129B-480B-9D72-951019868EA2}"/>
    <cellStyle name="40% - Akzent4 12 14 2" xfId="7115" xr:uid="{CE535555-55C3-44DB-9BE2-3A5ED7354E3D}"/>
    <cellStyle name="40% - Akzent4 12 14 2 2" xfId="26552" xr:uid="{CAC882BB-BF43-42C2-97F0-92AEE8DB0B68}"/>
    <cellStyle name="40% - Akzent4 12 14 3" xfId="26551" xr:uid="{2F3D40E9-CC20-4265-AED8-44C9291B6FD8}"/>
    <cellStyle name="40% - Akzent4 12 15" xfId="7116" xr:uid="{4A6BFE79-7087-4D56-8041-0C42B71436D6}"/>
    <cellStyle name="40% - Akzent4 12 15 2" xfId="7117" xr:uid="{984E066A-0790-49DF-BE85-4EB6EA4973A6}"/>
    <cellStyle name="40% - Akzent4 12 15 2 2" xfId="26554" xr:uid="{BB94F875-8284-4D73-9296-749DBAFBEA1E}"/>
    <cellStyle name="40% - Akzent4 12 15 3" xfId="26553" xr:uid="{0BF5A41B-0EED-4B00-9613-7891C61189F2}"/>
    <cellStyle name="40% - Akzent4 12 16" xfId="7118" xr:uid="{75D08725-9176-425B-BF00-C49BC2BBAD5B}"/>
    <cellStyle name="40% - Akzent4 12 16 2" xfId="7119" xr:uid="{63D3540E-0FFD-4C01-8C44-447DD5743264}"/>
    <cellStyle name="40% - Akzent4 12 16 2 2" xfId="26556" xr:uid="{E3A14259-0DE6-43B1-81C2-B1DBF7B58E85}"/>
    <cellStyle name="40% - Akzent4 12 16 3" xfId="26555" xr:uid="{4626E92D-1D90-4BA9-927E-B8C6A9788A88}"/>
    <cellStyle name="40% - Akzent4 12 17" xfId="7120" xr:uid="{B7E26E03-E66C-4DE2-B6A5-FEBA51F64D79}"/>
    <cellStyle name="40% - Akzent4 12 17 2" xfId="7121" xr:uid="{59C0D91E-CCE4-4CF4-839F-536E92461ED3}"/>
    <cellStyle name="40% - Akzent4 12 17 2 2" xfId="26558" xr:uid="{4C967CA6-DCAB-49FC-8B4C-D7408A96C26F}"/>
    <cellStyle name="40% - Akzent4 12 17 3" xfId="26557" xr:uid="{BB7F69BC-F7AE-4754-8ED5-E3156390830A}"/>
    <cellStyle name="40% - Akzent4 12 18" xfId="7122" xr:uid="{CE2293FD-6A06-46E9-8579-433B64137AF0}"/>
    <cellStyle name="40% - Akzent4 12 18 2" xfId="7123" xr:uid="{3A75FE33-80E4-4398-9612-27956F7B7E1E}"/>
    <cellStyle name="40% - Akzent4 12 18 2 2" xfId="26560" xr:uid="{B4C20712-4401-46B3-94EC-A0A62E198D21}"/>
    <cellStyle name="40% - Akzent4 12 18 3" xfId="26559" xr:uid="{6A2E9FAA-9B8F-435C-A4A1-5B4B2B8D3CEE}"/>
    <cellStyle name="40% - Akzent4 12 19" xfId="7124" xr:uid="{0F83808B-550D-4E64-B731-B09E288898C9}"/>
    <cellStyle name="40% - Akzent4 12 19 2" xfId="7125" xr:uid="{045C579B-4362-4495-A1D5-C5829A768937}"/>
    <cellStyle name="40% - Akzent4 12 19 2 2" xfId="26562" xr:uid="{54D87D94-4F29-44DD-95F4-3F09EF0456DF}"/>
    <cellStyle name="40% - Akzent4 12 19 3" xfId="26561" xr:uid="{CCF1D253-22A5-482D-A95C-A472EFFDCE92}"/>
    <cellStyle name="40% - Akzent4 12 2" xfId="7126" xr:uid="{2ACBE08D-865A-4D27-A628-1D5AB351FC9C}"/>
    <cellStyle name="40% - Akzent4 12 2 2" xfId="7127" xr:uid="{FC56B343-8AA4-47BB-AD8F-6F9D0E143AFE}"/>
    <cellStyle name="40% - Akzent4 12 2 2 2" xfId="26564" xr:uid="{C2A3C54E-9B44-4858-9FD4-D83C8586E722}"/>
    <cellStyle name="40% - Akzent4 12 2 3" xfId="26563" xr:uid="{EA8A5C39-CC7A-4B80-9EE3-8D76E3EACF6D}"/>
    <cellStyle name="40% - Akzent4 12 20" xfId="7128" xr:uid="{34B83ACB-7BD4-4F9E-8D71-2E4A8391C51B}"/>
    <cellStyle name="40% - Akzent4 12 20 2" xfId="7129" xr:uid="{ECD95423-1C48-4D47-8971-67453A541FBD}"/>
    <cellStyle name="40% - Akzent4 12 20 2 2" xfId="26566" xr:uid="{ECA2D815-D7E4-4CFA-800A-D2E04E404F72}"/>
    <cellStyle name="40% - Akzent4 12 20 3" xfId="26565" xr:uid="{9C246124-4599-4492-84ED-2A4BC7777DBD}"/>
    <cellStyle name="40% - Akzent4 12 21" xfId="7130" xr:uid="{05907248-DDBA-48AB-9417-500B509B9FBE}"/>
    <cellStyle name="40% - Akzent4 12 21 2" xfId="7131" xr:uid="{CFF7B4D7-E295-41AC-BB68-324B7C38DE0D}"/>
    <cellStyle name="40% - Akzent4 12 21 2 2" xfId="26568" xr:uid="{18B63974-61A8-46EE-AE39-65313051A194}"/>
    <cellStyle name="40% - Akzent4 12 21 3" xfId="26567" xr:uid="{BBEE23C7-3507-4FE4-98E5-372C9F246675}"/>
    <cellStyle name="40% - Akzent4 12 22" xfId="7132" xr:uid="{FD078AA5-E47B-427D-8EDF-9BD0D729CC0F}"/>
    <cellStyle name="40% - Akzent4 12 22 2" xfId="26569" xr:uid="{579AD588-DB91-4A98-AE9E-D5722D4FA906}"/>
    <cellStyle name="40% - Akzent4 12 23" xfId="26542" xr:uid="{65D91E1B-DE11-46BB-8587-C2EC7258711C}"/>
    <cellStyle name="40% - Akzent4 12 3" xfId="7133" xr:uid="{79A51EAD-D9A3-4B3F-83E5-6278115D47EE}"/>
    <cellStyle name="40% - Akzent4 12 3 2" xfId="7134" xr:uid="{0BB3476E-4C86-4EB6-80F9-6D146A27495E}"/>
    <cellStyle name="40% - Akzent4 12 3 2 2" xfId="26571" xr:uid="{A8CFB3EB-7DB0-4F98-9FC8-BC920E1D05AE}"/>
    <cellStyle name="40% - Akzent4 12 3 3" xfId="26570" xr:uid="{AA623E1B-4D3F-45A2-8E89-30387343CF5C}"/>
    <cellStyle name="40% - Akzent4 12 4" xfId="7135" xr:uid="{6F706209-82EA-4642-9B38-21534580113F}"/>
    <cellStyle name="40% - Akzent4 12 4 2" xfId="7136" xr:uid="{E8723039-057A-4FDD-949B-106CE892E4D6}"/>
    <cellStyle name="40% - Akzent4 12 4 2 2" xfId="26573" xr:uid="{8623F992-1A7B-44DC-B930-B0227467AE51}"/>
    <cellStyle name="40% - Akzent4 12 4 3" xfId="26572" xr:uid="{9C822AAD-C3A5-4D9E-9AC2-4ECADA65CF97}"/>
    <cellStyle name="40% - Akzent4 12 5" xfId="7137" xr:uid="{DFDA7905-A225-4FE3-8477-C6ED308CC90B}"/>
    <cellStyle name="40% - Akzent4 12 5 2" xfId="7138" xr:uid="{93DFF4EA-2D32-4C4D-96D8-0A6219BCDA2C}"/>
    <cellStyle name="40% - Akzent4 12 5 2 2" xfId="26575" xr:uid="{CB0E2E63-E74B-4DED-9BA1-8BCD02F21D4F}"/>
    <cellStyle name="40% - Akzent4 12 5 3" xfId="26574" xr:uid="{50874558-1FDF-4F1F-AC54-5FED55AFACEE}"/>
    <cellStyle name="40% - Akzent4 12 6" xfId="7139" xr:uid="{7A33F074-2DB3-4F02-951D-99F46E2922F7}"/>
    <cellStyle name="40% - Akzent4 12 6 2" xfId="7140" xr:uid="{6F86189A-AD9D-4F18-B944-E79707463197}"/>
    <cellStyle name="40% - Akzent4 12 6 2 2" xfId="26577" xr:uid="{38ED7805-FA3E-4C10-8D3A-64DF4832A786}"/>
    <cellStyle name="40% - Akzent4 12 6 3" xfId="26576" xr:uid="{2E6F423A-8A90-42F6-891C-F1B4B7FA1436}"/>
    <cellStyle name="40% - Akzent4 12 7" xfId="7141" xr:uid="{51FCA1A2-6557-402B-98B4-E5E65BC01459}"/>
    <cellStyle name="40% - Akzent4 12 7 2" xfId="7142" xr:uid="{CA5BD69C-F034-44B7-B148-AE9B3E717818}"/>
    <cellStyle name="40% - Akzent4 12 7 2 2" xfId="26579" xr:uid="{A25C1560-3BEF-4485-BD51-E3CF6DF1849F}"/>
    <cellStyle name="40% - Akzent4 12 7 3" xfId="26578" xr:uid="{9D9012D5-15AF-4F6B-AD3B-A8B35B841B8A}"/>
    <cellStyle name="40% - Akzent4 12 8" xfId="7143" xr:uid="{505BAF37-BDDB-4D04-B450-2F2FCFB879A0}"/>
    <cellStyle name="40% - Akzent4 12 8 2" xfId="7144" xr:uid="{3C438E47-735F-401B-9637-8DB91E5B2955}"/>
    <cellStyle name="40% - Akzent4 12 8 2 2" xfId="26581" xr:uid="{7743B25D-C097-4DBA-A930-8C62C4FF7BEA}"/>
    <cellStyle name="40% - Akzent4 12 8 3" xfId="26580" xr:uid="{29FEC351-CE08-4797-9781-2545211351F2}"/>
    <cellStyle name="40% - Akzent4 12 9" xfId="7145" xr:uid="{06AD58CF-175F-4EA2-8A42-B1D686B0E3BF}"/>
    <cellStyle name="40% - Akzent4 12 9 2" xfId="7146" xr:uid="{20266F69-0189-4D0F-87A8-F9C53CC47CDB}"/>
    <cellStyle name="40% - Akzent4 12 9 2 2" xfId="26583" xr:uid="{CC3D0C4A-F62F-4C14-B6F6-667DCA935BF6}"/>
    <cellStyle name="40% - Akzent4 12 9 3" xfId="26582" xr:uid="{CF40F656-D3A3-4B37-8175-5C6661313650}"/>
    <cellStyle name="40% - Akzent4 13" xfId="7147" xr:uid="{E369A1D2-300B-4C5D-93C9-2B7618DFEACB}"/>
    <cellStyle name="40% - Akzent4 13 10" xfId="7148" xr:uid="{156A5761-F46D-4ECC-A40C-1A3CC9E0072D}"/>
    <cellStyle name="40% - Akzent4 13 10 2" xfId="7149" xr:uid="{921B84E0-1CCA-4F9A-B534-A88CC1860B83}"/>
    <cellStyle name="40% - Akzent4 13 10 2 2" xfId="26586" xr:uid="{B17FBF11-AFB0-49F5-9550-BEA72A9BEBC5}"/>
    <cellStyle name="40% - Akzent4 13 10 3" xfId="26585" xr:uid="{2BDF5FB0-2F70-4053-BB69-8325BF52E5BC}"/>
    <cellStyle name="40% - Akzent4 13 11" xfId="7150" xr:uid="{CC9C9AB5-4EB7-41A1-BEAD-015BE325FA7B}"/>
    <cellStyle name="40% - Akzent4 13 11 2" xfId="7151" xr:uid="{A59053C4-A8CA-4012-AD48-8C5D17A02425}"/>
    <cellStyle name="40% - Akzent4 13 11 2 2" xfId="26588" xr:uid="{F31A1EFC-D8C1-4FB8-A63E-6424CEDBC245}"/>
    <cellStyle name="40% - Akzent4 13 11 3" xfId="26587" xr:uid="{8FB78747-D05A-4345-A7CF-260F4CD19339}"/>
    <cellStyle name="40% - Akzent4 13 12" xfId="7152" xr:uid="{29EF1C93-D277-4A3F-8D11-64DB881E6D90}"/>
    <cellStyle name="40% - Akzent4 13 12 2" xfId="7153" xr:uid="{DE77942D-4EA1-4B1B-9AF3-C1E47EF53462}"/>
    <cellStyle name="40% - Akzent4 13 12 2 2" xfId="26590" xr:uid="{1E922308-43A8-4FCD-8FBC-5D2E8769930F}"/>
    <cellStyle name="40% - Akzent4 13 12 3" xfId="26589" xr:uid="{7D798E90-84D5-4AC7-A876-5D3C6D2549B3}"/>
    <cellStyle name="40% - Akzent4 13 13" xfId="7154" xr:uid="{4F1DD40A-A042-4C5F-83C1-85833A18A745}"/>
    <cellStyle name="40% - Akzent4 13 13 2" xfId="7155" xr:uid="{2022B790-B8F9-4F14-9D2F-37B6ABA60C7F}"/>
    <cellStyle name="40% - Akzent4 13 13 2 2" xfId="26592" xr:uid="{99FA7E6A-6EE6-4B82-ADB0-E4EF37C83D7A}"/>
    <cellStyle name="40% - Akzent4 13 13 3" xfId="26591" xr:uid="{626383B5-736E-4D51-8888-23DCE7CCD561}"/>
    <cellStyle name="40% - Akzent4 13 14" xfId="7156" xr:uid="{224FA39C-953F-413D-9B80-EDADC2D77EB0}"/>
    <cellStyle name="40% - Akzent4 13 14 2" xfId="26593" xr:uid="{4D4DCD4B-7BE4-4AF6-AE34-218F3855F479}"/>
    <cellStyle name="40% - Akzent4 13 15" xfId="26584" xr:uid="{82DB0B16-BB60-4C99-AA7C-50E126B4EF0C}"/>
    <cellStyle name="40% - Akzent4 13 2" xfId="7157" xr:uid="{1431E16E-E6D8-471B-BA21-EBC43A993839}"/>
    <cellStyle name="40% - Akzent4 13 2 2" xfId="7158" xr:uid="{B7AD2DB2-6DF8-49B8-B169-D223CBD968C4}"/>
    <cellStyle name="40% - Akzent4 13 2 2 2" xfId="26595" xr:uid="{90AE88B2-D96C-4C56-8EF9-12DF92C65D6F}"/>
    <cellStyle name="40% - Akzent4 13 2 3" xfId="26594" xr:uid="{4C26D3CA-3E7C-4757-A0B9-2A368B2ED551}"/>
    <cellStyle name="40% - Akzent4 13 3" xfId="7159" xr:uid="{0FB403E0-26C6-46C2-86CF-A26B378B0BCE}"/>
    <cellStyle name="40% - Akzent4 13 3 2" xfId="7160" xr:uid="{5435F6EA-9CAA-49FA-9C0D-B604FA71D240}"/>
    <cellStyle name="40% - Akzent4 13 3 2 2" xfId="26597" xr:uid="{FF349FD0-A549-497C-8BF1-64520793ADD1}"/>
    <cellStyle name="40% - Akzent4 13 3 3" xfId="26596" xr:uid="{9EB1A973-10E9-4093-9F42-1CDCF88D196B}"/>
    <cellStyle name="40% - Akzent4 13 4" xfId="7161" xr:uid="{9459675D-A106-4328-AFF9-0D56FDF3CEA6}"/>
    <cellStyle name="40% - Akzent4 13 4 2" xfId="7162" xr:uid="{7EDE73F9-B9F8-4A9C-BAD6-0D40FCE17886}"/>
    <cellStyle name="40% - Akzent4 13 4 2 2" xfId="26599" xr:uid="{25D6E5F5-C5A1-40EA-A718-FFF9C18BC081}"/>
    <cellStyle name="40% - Akzent4 13 4 3" xfId="26598" xr:uid="{B21A74DF-0711-43FA-884A-D0C436D8E122}"/>
    <cellStyle name="40% - Akzent4 13 5" xfId="7163" xr:uid="{C3A67E98-8E55-4DA9-BAA8-3FC60CECD4C2}"/>
    <cellStyle name="40% - Akzent4 13 5 2" xfId="7164" xr:uid="{3080AE39-A0D5-425C-BD56-592A33E33ECB}"/>
    <cellStyle name="40% - Akzent4 13 5 2 2" xfId="26601" xr:uid="{03965F06-B791-47B1-9FF1-5B261EDD8FF3}"/>
    <cellStyle name="40% - Akzent4 13 5 3" xfId="26600" xr:uid="{DC33FBAF-BDA4-4DBC-B326-2391383741EF}"/>
    <cellStyle name="40% - Akzent4 13 6" xfId="7165" xr:uid="{73F015D4-157E-4452-A601-EBAC8A810C9F}"/>
    <cellStyle name="40% - Akzent4 13 6 2" xfId="7166" xr:uid="{B56F31A7-34B4-45EA-8F52-C4D24F13D8D8}"/>
    <cellStyle name="40% - Akzent4 13 6 2 2" xfId="26603" xr:uid="{24484967-38EC-440C-88E4-36C27AA7420D}"/>
    <cellStyle name="40% - Akzent4 13 6 3" xfId="26602" xr:uid="{CF6FD5C9-1499-4D42-8F74-41A076B37CAD}"/>
    <cellStyle name="40% - Akzent4 13 7" xfId="7167" xr:uid="{28244173-4FF1-4020-9036-3A2DA453E0CB}"/>
    <cellStyle name="40% - Akzent4 13 7 2" xfId="7168" xr:uid="{7FA16276-8CE0-4BCD-BFA1-6ADC37E47307}"/>
    <cellStyle name="40% - Akzent4 13 7 2 2" xfId="26605" xr:uid="{5B1B27EE-21E7-41AE-BBD3-E7A3962377E0}"/>
    <cellStyle name="40% - Akzent4 13 7 3" xfId="26604" xr:uid="{BBBC8975-35A2-4E0F-917B-99687C915A0D}"/>
    <cellStyle name="40% - Akzent4 13 8" xfId="7169" xr:uid="{3A14FB61-6D05-427A-BDBB-F2D236CF869D}"/>
    <cellStyle name="40% - Akzent4 13 8 2" xfId="7170" xr:uid="{57D0023E-4A2F-46BC-8622-7CBFB08BA142}"/>
    <cellStyle name="40% - Akzent4 13 8 2 2" xfId="26607" xr:uid="{CCF3F90B-A7C2-461E-BBED-3462BAB02D14}"/>
    <cellStyle name="40% - Akzent4 13 8 3" xfId="26606" xr:uid="{7C2B7226-71EC-4AE2-8369-10FE6FD8CCAA}"/>
    <cellStyle name="40% - Akzent4 13 9" xfId="7171" xr:uid="{8FCF7A7D-1EB7-428C-8435-6FB3F72D7FCA}"/>
    <cellStyle name="40% - Akzent4 13 9 2" xfId="7172" xr:uid="{914A9441-E838-437A-BA56-860D3ADBC4E0}"/>
    <cellStyle name="40% - Akzent4 13 9 2 2" xfId="26609" xr:uid="{575F5CAE-0B76-4245-B95C-EAFFD3DDC17B}"/>
    <cellStyle name="40% - Akzent4 13 9 3" xfId="26608" xr:uid="{A0287989-ADD6-4108-88CE-7A4380265759}"/>
    <cellStyle name="40% - Akzent4 14" xfId="7173" xr:uid="{033773CB-1200-4B98-B5A1-B6DBD91942E1}"/>
    <cellStyle name="40% - Akzent4 14 2" xfId="7174" xr:uid="{1F344652-0BF6-4F6B-9F78-69094A687B82}"/>
    <cellStyle name="40% - Akzent4 14 2 2" xfId="26611" xr:uid="{FC14F458-6895-413E-BC07-4262E9C2E1D7}"/>
    <cellStyle name="40% - Akzent4 14 3" xfId="7175" xr:uid="{174DA35B-7F20-42EB-ACA6-5FDFE3FE6498}"/>
    <cellStyle name="40% - Akzent4 14 3 2" xfId="26612" xr:uid="{92F5FAF0-F24A-4117-9F46-C8088BE47CA7}"/>
    <cellStyle name="40% - Akzent4 14 4" xfId="26610" xr:uid="{AECFBEF0-40AC-4456-80F8-5E13953A6F2F}"/>
    <cellStyle name="40% - Akzent4 15" xfId="7176" xr:uid="{0A1C733A-E433-47A4-96FF-4462EBD807E0}"/>
    <cellStyle name="40% - Akzent4 15 2" xfId="7177" xr:uid="{943CD544-BA46-41D2-953A-F3B16A87CE88}"/>
    <cellStyle name="40% - Akzent4 15 2 2" xfId="26614" xr:uid="{38B62F3E-92BB-4C99-8982-4C3C6D805D95}"/>
    <cellStyle name="40% - Akzent4 15 3" xfId="7178" xr:uid="{D604EF38-A733-4D21-ACE9-317D90FFEB1F}"/>
    <cellStyle name="40% - Akzent4 15 3 2" xfId="26615" xr:uid="{4C9ECD96-B5F2-45F0-8F41-EC8B1A720D75}"/>
    <cellStyle name="40% - Akzent4 15 4" xfId="26613" xr:uid="{A9455E90-878F-448D-BE69-E85F72C88EB6}"/>
    <cellStyle name="40% - Akzent4 16" xfId="7179" xr:uid="{12931300-0085-4CBC-B36B-E8932CC59830}"/>
    <cellStyle name="40% - Akzent4 16 2" xfId="7180" xr:uid="{1C8F6572-E2C8-432F-8D42-9B75FAA3449B}"/>
    <cellStyle name="40% - Akzent4 16 2 2" xfId="26617" xr:uid="{0DD1A855-8A05-4F07-9187-8E96ED4F4AC9}"/>
    <cellStyle name="40% - Akzent4 16 3" xfId="7181" xr:uid="{D741D032-8023-4B77-8EC3-86C1FD3190DF}"/>
    <cellStyle name="40% - Akzent4 16 3 2" xfId="26618" xr:uid="{62D175AA-C467-47C6-88DC-60C180F3753E}"/>
    <cellStyle name="40% - Akzent4 16 4" xfId="26616" xr:uid="{B5E04AE2-601F-423A-B50D-FD5695F454AF}"/>
    <cellStyle name="40% - Akzent4 17" xfId="7182" xr:uid="{787CCDD1-9A74-42EB-9942-0A971A8E26C3}"/>
    <cellStyle name="40% - Akzent4 17 2" xfId="7183" xr:uid="{EC0EDF24-EA68-43E0-A378-0262EDEA2031}"/>
    <cellStyle name="40% - Akzent4 17 2 2" xfId="26620" xr:uid="{42E139CB-D724-4562-B096-23FFA0FB2720}"/>
    <cellStyle name="40% - Akzent4 17 3" xfId="7184" xr:uid="{073588C0-F76C-415B-AD3A-BD02AEF06013}"/>
    <cellStyle name="40% - Akzent4 17 3 2" xfId="26621" xr:uid="{137C5EDC-C59F-49CA-BF6D-97A93B8E49F7}"/>
    <cellStyle name="40% - Akzent4 17 4" xfId="26619" xr:uid="{C0D75F29-AA48-40D5-B2E3-5FFCC0C38DDA}"/>
    <cellStyle name="40% - Akzent4 18" xfId="7185" xr:uid="{BAD2C12A-00BF-43B5-9A9B-F6A8106EF2E9}"/>
    <cellStyle name="40% - Akzent4 18 2" xfId="7186" xr:uid="{BECE4925-74BC-49C2-BC5D-77F1277AFCBF}"/>
    <cellStyle name="40% - Akzent4 18 2 2" xfId="26623" xr:uid="{282B2AC6-A22D-4A44-991B-7BAB218C8293}"/>
    <cellStyle name="40% - Akzent4 18 3" xfId="7187" xr:uid="{9A89B381-EE4B-43C9-837D-108AC6C2945B}"/>
    <cellStyle name="40% - Akzent4 18 3 2" xfId="26624" xr:uid="{BF6BE297-49DD-49A7-8732-E9B523F1A96D}"/>
    <cellStyle name="40% - Akzent4 18 4" xfId="26622" xr:uid="{34A06390-ED9B-441C-A84E-4F3AE973F896}"/>
    <cellStyle name="40% - Akzent4 19" xfId="7188" xr:uid="{49E73F95-C0E2-42FD-B803-572FA940A5DE}"/>
    <cellStyle name="40% - Akzent4 19 2" xfId="7189" xr:uid="{D0917DED-A114-4CB2-9EA8-04D1F37BB26D}"/>
    <cellStyle name="40% - Akzent4 19 2 2" xfId="26626" xr:uid="{C61420A6-9F0A-48F1-AB9C-80BBE0EB604D}"/>
    <cellStyle name="40% - Akzent4 19 3" xfId="7190" xr:uid="{94D924A7-080C-46F4-BBEB-41A81687C636}"/>
    <cellStyle name="40% - Akzent4 19 3 2" xfId="26627" xr:uid="{29325242-CB09-4C30-8FA6-7F75DC8B1766}"/>
    <cellStyle name="40% - Akzent4 19 4" xfId="26625" xr:uid="{60A33382-9F8B-4750-8438-E0C0610029C6}"/>
    <cellStyle name="40% - Akzent4 2" xfId="104" xr:uid="{A4CC1B73-FB1D-4FF9-80E7-0C91CBB430A1}"/>
    <cellStyle name="40% - Akzent4 2 10" xfId="7192" xr:uid="{E7465C7E-128E-4ACE-BD4F-C13F79B97261}"/>
    <cellStyle name="40% - Akzent4 2 10 2" xfId="7193" xr:uid="{692EE8A9-92C8-4256-88D8-93CF076E1E07}"/>
    <cellStyle name="40% - Akzent4 2 10 2 2" xfId="26630" xr:uid="{E57B1B84-3F62-4C1F-9B87-766D1F40DB6B}"/>
    <cellStyle name="40% - Akzent4 2 10 3" xfId="26629" xr:uid="{6FF6C242-6DC3-4A0A-A4EA-F3B46092CE67}"/>
    <cellStyle name="40% - Akzent4 2 11" xfId="7194" xr:uid="{8DC95EC5-451A-4A91-83B7-BB5DC2D8C899}"/>
    <cellStyle name="40% - Akzent4 2 11 2" xfId="7195" xr:uid="{468CB990-C82D-4FA7-8FD1-72A71B6808E8}"/>
    <cellStyle name="40% - Akzent4 2 11 2 2" xfId="26632" xr:uid="{D6C65FF8-8E4C-462D-889B-23266CC49B7B}"/>
    <cellStyle name="40% - Akzent4 2 11 3" xfId="26631" xr:uid="{AA30E835-C5B1-46DF-874F-91DF54D45419}"/>
    <cellStyle name="40% - Akzent4 2 12" xfId="7196" xr:uid="{CFA918B1-09C4-4D33-8BFD-A1DFBA26CBD3}"/>
    <cellStyle name="40% - Akzent4 2 12 2" xfId="7197" xr:uid="{EF4D3E16-D1F4-4722-AAB2-EECF275A3923}"/>
    <cellStyle name="40% - Akzent4 2 12 2 2" xfId="26634" xr:uid="{974FE487-002D-44EF-AEB1-B6BBCE240E4B}"/>
    <cellStyle name="40% - Akzent4 2 12 3" xfId="26633" xr:uid="{0A7B193C-E349-4A5A-8254-3CA2FBE058D6}"/>
    <cellStyle name="40% - Akzent4 2 13" xfId="7198" xr:uid="{0A7A9A5C-D4B2-4234-933D-CE1040FDEA07}"/>
    <cellStyle name="40% - Akzent4 2 13 2" xfId="7199" xr:uid="{C08033D5-5629-4CC0-A578-C9810BCBC127}"/>
    <cellStyle name="40% - Akzent4 2 13 2 2" xfId="26636" xr:uid="{B2796F4A-7AC0-4B78-AA94-A3E58AEDA42F}"/>
    <cellStyle name="40% - Akzent4 2 13 3" xfId="26635" xr:uid="{ADD477C9-A3E2-45CC-9BA6-57E41C20C149}"/>
    <cellStyle name="40% - Akzent4 2 14" xfId="7200" xr:uid="{2F22B7C3-6A5D-4155-9BD7-8FCCE843B11F}"/>
    <cellStyle name="40% - Akzent4 2 14 2" xfId="7201" xr:uid="{B9338505-A97B-4D58-9AAD-6EB55DF6FDE1}"/>
    <cellStyle name="40% - Akzent4 2 14 2 2" xfId="26638" xr:uid="{E9A5A648-DD95-4D06-8691-A508FDDE5F93}"/>
    <cellStyle name="40% - Akzent4 2 14 3" xfId="26637" xr:uid="{D90988C7-143F-47B5-9CED-2B1886A8DA4D}"/>
    <cellStyle name="40% - Akzent4 2 15" xfId="7202" xr:uid="{C830544B-B741-4552-8354-5EEAC456B77E}"/>
    <cellStyle name="40% - Akzent4 2 15 2" xfId="7203" xr:uid="{B4A7C036-52E6-479B-B4BD-EC4FA887BB8B}"/>
    <cellStyle name="40% - Akzent4 2 15 2 2" xfId="26640" xr:uid="{9F958C80-04CC-4228-B07F-B9968BB17775}"/>
    <cellStyle name="40% - Akzent4 2 15 3" xfId="26639" xr:uid="{020ED267-81A3-4690-ADB4-D1DB6B2D4CE3}"/>
    <cellStyle name="40% - Akzent4 2 16" xfId="7204" xr:uid="{4F4FCA16-DE45-46AB-B1BB-50FF30B1FDF8}"/>
    <cellStyle name="40% - Akzent4 2 16 2" xfId="7205" xr:uid="{EF7702BF-DA31-428A-B118-06A8DFB6B746}"/>
    <cellStyle name="40% - Akzent4 2 16 2 2" xfId="26642" xr:uid="{0E3C1FDF-B501-4F33-9E71-665994B88FD2}"/>
    <cellStyle name="40% - Akzent4 2 16 3" xfId="26641" xr:uid="{FDEF620B-AD6E-4AE4-BCD3-CF86E543414A}"/>
    <cellStyle name="40% - Akzent4 2 17" xfId="7206" xr:uid="{B4C586F0-AE8A-4F14-A818-12B0FA182DC8}"/>
    <cellStyle name="40% - Akzent4 2 17 2" xfId="7207" xr:uid="{1BD41D61-1F64-47DE-85BD-155437491F2E}"/>
    <cellStyle name="40% - Akzent4 2 17 2 2" xfId="26644" xr:uid="{F03C134D-3A1F-4D84-9447-761455C1A9FE}"/>
    <cellStyle name="40% - Akzent4 2 17 3" xfId="26643" xr:uid="{6A23B414-9B6E-4ECA-B0B8-E34FD57247AA}"/>
    <cellStyle name="40% - Akzent4 2 18" xfId="7208" xr:uid="{50458871-0863-4E5C-9B27-B4A56C922C1E}"/>
    <cellStyle name="40% - Akzent4 2 18 2" xfId="7209" xr:uid="{3B0DD21D-538E-43D3-A9B2-011B3CBEF6D1}"/>
    <cellStyle name="40% - Akzent4 2 18 2 2" xfId="26646" xr:uid="{AF19445E-5F1D-4972-87DC-9114FC5A0D9A}"/>
    <cellStyle name="40% - Akzent4 2 18 3" xfId="26645" xr:uid="{D8E606C3-50CC-4E07-95DD-A64924F346F1}"/>
    <cellStyle name="40% - Akzent4 2 19" xfId="7210" xr:uid="{1496BCF5-82B0-4DFE-A4FF-F2C07F4F6405}"/>
    <cellStyle name="40% - Akzent4 2 19 2" xfId="7211" xr:uid="{03DB83AE-C580-472A-A76F-264EA4B15872}"/>
    <cellStyle name="40% - Akzent4 2 19 2 2" xfId="26648" xr:uid="{53242CB2-10B6-49E1-9C4D-A1B8FF6974B8}"/>
    <cellStyle name="40% - Akzent4 2 19 3" xfId="26647" xr:uid="{16F36D57-5A50-4B98-914C-D327B0A5D032}"/>
    <cellStyle name="40% - Akzent4 2 2" xfId="7212" xr:uid="{E9CAEC45-B869-41B5-936D-37388FDCF32B}"/>
    <cellStyle name="40% - Akzent4 2 2 10" xfId="7213" xr:uid="{BE46C581-BF4A-4E1E-9496-585BADA7664B}"/>
    <cellStyle name="40% - Akzent4 2 2 10 2" xfId="26650" xr:uid="{646B68C5-6E36-4AD5-8D73-5CAD6F97F439}"/>
    <cellStyle name="40% - Akzent4 2 2 11" xfId="7214" xr:uid="{CB21FDE4-C9D3-4133-BD40-9F7B2AC2006B}"/>
    <cellStyle name="40% - Akzent4 2 2 11 2" xfId="26651" xr:uid="{E91B1658-5EF8-4071-982C-8DAB7C5A1B10}"/>
    <cellStyle name="40% - Akzent4 2 2 12" xfId="7215" xr:uid="{0596058D-8730-45CF-AE25-DDE5CC440A37}"/>
    <cellStyle name="40% - Akzent4 2 2 12 2" xfId="26652" xr:uid="{81FD8988-65F6-4710-B02D-EA720CAA7CEB}"/>
    <cellStyle name="40% - Akzent4 2 2 13" xfId="7216" xr:uid="{9E39C8B8-687A-4F45-A94E-5AAFBD9A8A2D}"/>
    <cellStyle name="40% - Akzent4 2 2 13 2" xfId="7217" xr:uid="{6857D4C3-CA76-41A0-B310-B9FF5E2A0300}"/>
    <cellStyle name="40% - Akzent4 2 2 13 2 2" xfId="26654" xr:uid="{9CA0694A-B4EF-4D5A-806D-06AB6FE2D83E}"/>
    <cellStyle name="40% - Akzent4 2 2 13 3" xfId="26653" xr:uid="{341795BF-BE76-4EED-B0F2-C4D836B5B3B5}"/>
    <cellStyle name="40% - Akzent4 2 2 14" xfId="7218" xr:uid="{7010C4FA-7A26-43AF-97A7-268BFBEF9829}"/>
    <cellStyle name="40% - Akzent4 2 2 14 2" xfId="7219" xr:uid="{256E4BB0-07BB-4806-B3FD-5D6F16E1BDC9}"/>
    <cellStyle name="40% - Akzent4 2 2 14 2 2" xfId="26656" xr:uid="{8F236BA0-3BFD-497C-9F00-749D431E1915}"/>
    <cellStyle name="40% - Akzent4 2 2 14 3" xfId="26655" xr:uid="{5E3C9348-3EC4-48BC-AA12-0C059B870416}"/>
    <cellStyle name="40% - Akzent4 2 2 15" xfId="7220" xr:uid="{E6642DFF-8B1A-490B-AE6E-B6FED0A2A3FE}"/>
    <cellStyle name="40% - Akzent4 2 2 15 2" xfId="7221" xr:uid="{44C2475F-3BC3-46FA-B38A-CA2EB83A5A51}"/>
    <cellStyle name="40% - Akzent4 2 2 15 2 2" xfId="26658" xr:uid="{589BB3A3-0166-4964-B30E-3FC1E26AFCF5}"/>
    <cellStyle name="40% - Akzent4 2 2 15 3" xfId="26657" xr:uid="{5E0C63DF-53AE-4856-8B4E-5DB069C114BD}"/>
    <cellStyle name="40% - Akzent4 2 2 16" xfId="7222" xr:uid="{16D1259A-F785-415B-9D30-DC6EBEC04A91}"/>
    <cellStyle name="40% - Akzent4 2 2 16 2" xfId="7223" xr:uid="{47CFE750-5678-4411-9EE2-CF1A42D78510}"/>
    <cellStyle name="40% - Akzent4 2 2 16 2 2" xfId="26660" xr:uid="{1E1DE33A-D228-4FB1-9F2E-9483A9FC7838}"/>
    <cellStyle name="40% - Akzent4 2 2 16 3" xfId="26659" xr:uid="{6C878460-659B-4909-9296-032AACE7E6DF}"/>
    <cellStyle name="40% - Akzent4 2 2 17" xfId="7224" xr:uid="{B95294D9-7680-437B-8606-24032A993CEA}"/>
    <cellStyle name="40% - Akzent4 2 2 17 2" xfId="7225" xr:uid="{2BA92D79-80D0-4B32-9863-41BE2BF395E5}"/>
    <cellStyle name="40% - Akzent4 2 2 17 2 2" xfId="26662" xr:uid="{AF19FD75-D321-4D79-B9AE-140B68FFB209}"/>
    <cellStyle name="40% - Akzent4 2 2 17 3" xfId="26661" xr:uid="{B3F5845D-E3BD-460B-9935-5536C609F8DF}"/>
    <cellStyle name="40% - Akzent4 2 2 18" xfId="7226" xr:uid="{C0A2D242-7A3F-461C-BC16-03F748CDCDB0}"/>
    <cellStyle name="40% - Akzent4 2 2 18 2" xfId="7227" xr:uid="{E4829827-65FC-4256-9F04-10836AF278A4}"/>
    <cellStyle name="40% - Akzent4 2 2 18 2 2" xfId="26664" xr:uid="{9AB7AC67-54A7-4083-8479-A73494DD6E93}"/>
    <cellStyle name="40% - Akzent4 2 2 18 3" xfId="26663" xr:uid="{52477B2C-1F77-44DD-8688-13A8A60DFB0A}"/>
    <cellStyle name="40% - Akzent4 2 2 19" xfId="7228" xr:uid="{45AE5786-0E89-472C-9D5C-88D361D4D3B4}"/>
    <cellStyle name="40% - Akzent4 2 2 19 2" xfId="7229" xr:uid="{EFDCDF0D-2A0D-4AAC-9A5F-05B67AD1261D}"/>
    <cellStyle name="40% - Akzent4 2 2 19 2 2" xfId="26666" xr:uid="{A00E122C-A879-41AD-AD07-69144EE8D36B}"/>
    <cellStyle name="40% - Akzent4 2 2 19 3" xfId="26665" xr:uid="{9E8ECD5C-EAD7-4D2C-A400-2CA282E7AE48}"/>
    <cellStyle name="40% - Akzent4 2 2 2" xfId="7230" xr:uid="{55471398-9F2F-4EC2-A027-D333C71985C0}"/>
    <cellStyle name="40% - Akzent4 2 2 2 10" xfId="7231" xr:uid="{DE2EF364-BFF4-4167-B617-422D9E1ED368}"/>
    <cellStyle name="40% - Akzent4 2 2 2 10 2" xfId="7232" xr:uid="{B3E292E4-139E-4E73-93EA-284A27E2BFA2}"/>
    <cellStyle name="40% - Akzent4 2 2 2 10 2 2" xfId="26669" xr:uid="{70BF0DC6-6B94-4ADA-AEE1-5B0DE167423E}"/>
    <cellStyle name="40% - Akzent4 2 2 2 10 3" xfId="26668" xr:uid="{7FA6B759-F949-4B3D-9AF3-6299199F6357}"/>
    <cellStyle name="40% - Akzent4 2 2 2 11" xfId="7233" xr:uid="{0DEC2095-E61E-47E1-BE15-6E65FA2BBD3E}"/>
    <cellStyle name="40% - Akzent4 2 2 2 11 2" xfId="26670" xr:uid="{FC113F8D-448D-4677-AB71-5D07EFE18774}"/>
    <cellStyle name="40% - Akzent4 2 2 2 12" xfId="26667" xr:uid="{46AC6AFF-BC1E-4E38-9433-582517FA4E74}"/>
    <cellStyle name="40% - Akzent4 2 2 2 13" xfId="39955" xr:uid="{B99CB915-91F1-4322-B868-FDCC8AD3523E}"/>
    <cellStyle name="40% - Akzent4 2 2 2 2" xfId="7234" xr:uid="{67D9D0E2-81F4-41D8-8FB7-5ECD74620F2D}"/>
    <cellStyle name="40% - Akzent4 2 2 2 2 10" xfId="40901" xr:uid="{BD92D350-D4E6-4D1E-82C9-24117E52EEA9}"/>
    <cellStyle name="40% - Akzent4 2 2 2 2 2" xfId="7235" xr:uid="{B8AA155A-8467-4516-97C2-09180C741FBC}"/>
    <cellStyle name="40% - Akzent4 2 2 2 2 2 10" xfId="26672" xr:uid="{6CBB917F-DE56-40A2-AC36-E4CBA6B41EC5}"/>
    <cellStyle name="40% - Akzent4 2 2 2 2 2 2" xfId="7236" xr:uid="{02805CE4-3F4F-4679-BC55-5A36E8EB822A}"/>
    <cellStyle name="40% - Akzent4 2 2 2 2 2 2 2" xfId="7237" xr:uid="{7967B5E2-E063-437F-8223-D929046D642B}"/>
    <cellStyle name="40% - Akzent4 2 2 2 2 2 2 2 2" xfId="7238" xr:uid="{2ABC9EB0-A4E3-4ED7-BED1-36AC64B53A38}"/>
    <cellStyle name="40% - Akzent4 2 2 2 2 2 2 2 2 2" xfId="26675" xr:uid="{870AAA95-957A-4127-B59D-C7C38642DC46}"/>
    <cellStyle name="40% - Akzent4 2 2 2 2 2 2 2 3" xfId="26674" xr:uid="{9A7971BF-C530-4000-B69D-AE367256DBF0}"/>
    <cellStyle name="40% - Akzent4 2 2 2 2 2 2 3" xfId="26673" xr:uid="{5906BC3D-1CDF-4AE2-9B7B-678AC83CC296}"/>
    <cellStyle name="40% - Akzent4 2 2 2 2 2 3" xfId="7239" xr:uid="{7671C67A-794E-41C2-94F1-8D08CFBAFBB5}"/>
    <cellStyle name="40% - Akzent4 2 2 2 2 2 3 2" xfId="7240" xr:uid="{B85F7A63-1F34-4D52-AF2C-A76636ECA2C5}"/>
    <cellStyle name="40% - Akzent4 2 2 2 2 2 3 2 2" xfId="26677" xr:uid="{AE6AAA15-EF7A-4B5F-8F27-4E3AD7CB9917}"/>
    <cellStyle name="40% - Akzent4 2 2 2 2 2 3 3" xfId="26676" xr:uid="{F9B890FA-FAAB-4A1B-82B7-15ED4E553E3E}"/>
    <cellStyle name="40% - Akzent4 2 2 2 2 2 4" xfId="7241" xr:uid="{A1B5E5CD-A216-4005-876E-13E248EF06D4}"/>
    <cellStyle name="40% - Akzent4 2 2 2 2 2 4 2" xfId="7242" xr:uid="{023D8C1F-B26C-4E02-ABB7-AB820C39C73B}"/>
    <cellStyle name="40% - Akzent4 2 2 2 2 2 4 2 2" xfId="26679" xr:uid="{719CC4DD-A071-4C08-B357-3B11DDEDBC60}"/>
    <cellStyle name="40% - Akzent4 2 2 2 2 2 4 3" xfId="26678" xr:uid="{5A006961-FE2A-4AD4-8EF7-BE9D600B23C5}"/>
    <cellStyle name="40% - Akzent4 2 2 2 2 2 5" xfId="7243" xr:uid="{FDA1EC3C-2B6A-4863-A39D-445AA3B385AA}"/>
    <cellStyle name="40% - Akzent4 2 2 2 2 2 5 2" xfId="7244" xr:uid="{2B21E9FB-F213-40A9-B9FF-E8673328320F}"/>
    <cellStyle name="40% - Akzent4 2 2 2 2 2 5 2 2" xfId="26681" xr:uid="{9AF5086C-0480-49FF-B351-DA8727C47D5A}"/>
    <cellStyle name="40% - Akzent4 2 2 2 2 2 5 3" xfId="26680" xr:uid="{93F0E0FE-C7F3-4FB2-8420-99EBD3A0153B}"/>
    <cellStyle name="40% - Akzent4 2 2 2 2 2 6" xfId="7245" xr:uid="{CAE02449-C75C-4B19-A78B-A15F7F12B834}"/>
    <cellStyle name="40% - Akzent4 2 2 2 2 2 6 2" xfId="7246" xr:uid="{2BE76AEB-244C-43AE-876F-8BA6C9F64EE0}"/>
    <cellStyle name="40% - Akzent4 2 2 2 2 2 6 2 2" xfId="26683" xr:uid="{625AB2AC-5B30-435C-A00C-2E2D5DAC3B4D}"/>
    <cellStyle name="40% - Akzent4 2 2 2 2 2 6 3" xfId="26682" xr:uid="{6B50DCF8-BB1A-4D33-A3D0-5EB109E13E29}"/>
    <cellStyle name="40% - Akzent4 2 2 2 2 2 7" xfId="7247" xr:uid="{0A0ACDC9-754E-4469-BDD9-D120930C1AEA}"/>
    <cellStyle name="40% - Akzent4 2 2 2 2 2 7 2" xfId="7248" xr:uid="{56D86ACF-47D7-43E8-85BE-F975BC90B1A5}"/>
    <cellStyle name="40% - Akzent4 2 2 2 2 2 7 2 2" xfId="26685" xr:uid="{32019C2E-CD79-4D98-99AD-85BDC4F59F1E}"/>
    <cellStyle name="40% - Akzent4 2 2 2 2 2 7 3" xfId="26684" xr:uid="{9AB72448-9D35-45AD-9F97-8407F197EF94}"/>
    <cellStyle name="40% - Akzent4 2 2 2 2 2 8" xfId="7249" xr:uid="{0ED44282-2FE3-44A7-BEB8-5F88BEDE0F3C}"/>
    <cellStyle name="40% - Akzent4 2 2 2 2 2 8 2" xfId="7250" xr:uid="{39C7F504-CF49-49F1-8941-1CDA7489679B}"/>
    <cellStyle name="40% - Akzent4 2 2 2 2 2 8 2 2" xfId="26687" xr:uid="{742DCD88-135F-48C6-B011-980521ED9997}"/>
    <cellStyle name="40% - Akzent4 2 2 2 2 2 8 3" xfId="26686" xr:uid="{EDE8A577-25CB-4E57-BCE3-AC04766BA31A}"/>
    <cellStyle name="40% - Akzent4 2 2 2 2 2 9" xfId="7251" xr:uid="{878A4A24-4F5B-4622-82A4-ECB9B00F20BC}"/>
    <cellStyle name="40% - Akzent4 2 2 2 2 2 9 2" xfId="26688" xr:uid="{D17633C6-4E95-45DE-98B8-8D5FE8D39937}"/>
    <cellStyle name="40% - Akzent4 2 2 2 2 3" xfId="7252" xr:uid="{390052F6-F2B2-4461-AF40-BAE2B7EDECB2}"/>
    <cellStyle name="40% - Akzent4 2 2 2 2 3 2" xfId="7253" xr:uid="{AC02D550-10A4-44E5-97D7-5D456487D33E}"/>
    <cellStyle name="40% - Akzent4 2 2 2 2 3 2 2" xfId="26690" xr:uid="{A7861AA8-8FDC-4007-8FD2-392DCD630CCC}"/>
    <cellStyle name="40% - Akzent4 2 2 2 2 3 3" xfId="7254" xr:uid="{1C1DD646-AB69-4F85-B08C-10FC9C228C91}"/>
    <cellStyle name="40% - Akzent4 2 2 2 2 3 3 2" xfId="26691" xr:uid="{79FEBF5F-022F-4DF7-8483-2DF14F5A1106}"/>
    <cellStyle name="40% - Akzent4 2 2 2 2 3 4" xfId="26689" xr:uid="{4D2953A4-4C3C-4C97-B162-B62C6CD1D877}"/>
    <cellStyle name="40% - Akzent4 2 2 2 2 4" xfId="7255" xr:uid="{9C6C159D-2158-43C8-8FA1-700CFF6624A0}"/>
    <cellStyle name="40% - Akzent4 2 2 2 2 4 2" xfId="26692" xr:uid="{E2E0CC15-0CDC-4739-B062-2BF6665CC24E}"/>
    <cellStyle name="40% - Akzent4 2 2 2 2 5" xfId="7256" xr:uid="{5D7135F3-14AC-409E-B7DF-4EBC0E58D5BA}"/>
    <cellStyle name="40% - Akzent4 2 2 2 2 5 2" xfId="26693" xr:uid="{BBA0ED4F-DC54-4699-B657-3FD536F2EE4A}"/>
    <cellStyle name="40% - Akzent4 2 2 2 2 6" xfId="7257" xr:uid="{27DD17D9-2C39-48D0-8BF5-3D4E0A704977}"/>
    <cellStyle name="40% - Akzent4 2 2 2 2 6 2" xfId="26694" xr:uid="{33AF242F-638B-4F3B-B2A2-1921110A72A0}"/>
    <cellStyle name="40% - Akzent4 2 2 2 2 7" xfId="7258" xr:uid="{F85D8D74-8917-4770-8668-454BD11FDBB2}"/>
    <cellStyle name="40% - Akzent4 2 2 2 2 7 2" xfId="26695" xr:uid="{37527046-81D8-4692-B712-076154BD4222}"/>
    <cellStyle name="40% - Akzent4 2 2 2 2 8" xfId="7259" xr:uid="{25478095-71F5-483F-8107-8407FB9C3B57}"/>
    <cellStyle name="40% - Akzent4 2 2 2 2 8 2" xfId="26696" xr:uid="{7301FF56-C043-417F-AB49-D0C29C3372F3}"/>
    <cellStyle name="40% - Akzent4 2 2 2 2 9" xfId="26671" xr:uid="{62686F4F-9C50-4A4E-9964-D93CA666B061}"/>
    <cellStyle name="40% - Akzent4 2 2 2 3" xfId="7260" xr:uid="{E27FF8CC-EAD5-46E0-8E48-00A95B59DE8D}"/>
    <cellStyle name="40% - Akzent4 2 2 2 3 2" xfId="7261" xr:uid="{C172456D-2B7A-4427-A3F6-45D1598E50CB}"/>
    <cellStyle name="40% - Akzent4 2 2 2 3 2 2" xfId="26698" xr:uid="{4E7AE0AE-9883-4E78-A062-81C69D1D7D61}"/>
    <cellStyle name="40% - Akzent4 2 2 2 3 3" xfId="26697" xr:uid="{0691AA58-5BBA-4784-8C27-D35034C6B977}"/>
    <cellStyle name="40% - Akzent4 2 2 2 3 4" xfId="41761" xr:uid="{BB3E9DC1-19A5-48F3-B0B5-D945349B5677}"/>
    <cellStyle name="40% - Akzent4 2 2 2 4" xfId="7262" xr:uid="{38ACF12E-0B6E-47B3-A611-CC6DBD9D27E7}"/>
    <cellStyle name="40% - Akzent4 2 2 2 4 2" xfId="7263" xr:uid="{BDF4E9ED-1D3A-49B0-AF18-9CD5EEFC2FEB}"/>
    <cellStyle name="40% - Akzent4 2 2 2 4 2 2" xfId="26700" xr:uid="{8F4EC603-76D4-45A3-ABD9-6CD3086F88DB}"/>
    <cellStyle name="40% - Akzent4 2 2 2 4 3" xfId="26699" xr:uid="{5C8BD841-4327-4707-B0EB-A4C38414ABAD}"/>
    <cellStyle name="40% - Akzent4 2 2 2 5" xfId="7264" xr:uid="{B8AA083C-2694-4762-B3D7-F6E408CF2928}"/>
    <cellStyle name="40% - Akzent4 2 2 2 5 2" xfId="7265" xr:uid="{039CDB41-C46D-44DE-8389-E1FECD0DAEA7}"/>
    <cellStyle name="40% - Akzent4 2 2 2 5 2 2" xfId="7266" xr:uid="{F23EB18E-645E-4091-B72D-E21E9A999455}"/>
    <cellStyle name="40% - Akzent4 2 2 2 5 2 2 2" xfId="26703" xr:uid="{09B8511B-F29D-4A08-8463-6DE4CB6BF0DF}"/>
    <cellStyle name="40% - Akzent4 2 2 2 5 2 3" xfId="26702" xr:uid="{00138273-EF51-4C3C-A04E-89F85FF2123E}"/>
    <cellStyle name="40% - Akzent4 2 2 2 5 3" xfId="26701" xr:uid="{51CE8F3C-F0C7-4224-AAE3-42BCE1E71CBA}"/>
    <cellStyle name="40% - Akzent4 2 2 2 6" xfId="7267" xr:uid="{13656954-51A5-4CA0-86FE-5D30587009FB}"/>
    <cellStyle name="40% - Akzent4 2 2 2 6 2" xfId="7268" xr:uid="{B29B84F6-3EC9-4BF5-931B-9FA396B6C0C1}"/>
    <cellStyle name="40% - Akzent4 2 2 2 6 2 2" xfId="26705" xr:uid="{66310EF0-9A3B-45D3-8F4E-5E053AD1D558}"/>
    <cellStyle name="40% - Akzent4 2 2 2 6 3" xfId="26704" xr:uid="{B689DBBE-AA3F-47FB-A193-9D3DFC4D9E98}"/>
    <cellStyle name="40% - Akzent4 2 2 2 7" xfId="7269" xr:uid="{328F0770-2247-4342-8FDE-254930DD6E32}"/>
    <cellStyle name="40% - Akzent4 2 2 2 7 2" xfId="7270" xr:uid="{E743F386-59CE-4F07-8604-1BFC11727572}"/>
    <cellStyle name="40% - Akzent4 2 2 2 7 2 2" xfId="26707" xr:uid="{69D8F07F-0A89-4BC7-B3DE-E63982DEE68E}"/>
    <cellStyle name="40% - Akzent4 2 2 2 7 3" xfId="26706" xr:uid="{5702FEF4-9DE3-4B9A-85A8-A98B6649702C}"/>
    <cellStyle name="40% - Akzent4 2 2 2 8" xfId="7271" xr:uid="{E598C5B0-3209-4517-B81E-C5D5C467EBC8}"/>
    <cellStyle name="40% - Akzent4 2 2 2 8 2" xfId="7272" xr:uid="{E6AD78B1-DA0E-460E-9CBD-A34AD5F6607D}"/>
    <cellStyle name="40% - Akzent4 2 2 2 8 2 2" xfId="26709" xr:uid="{7CC07217-4FD2-46AB-B117-A2D00B4E4E92}"/>
    <cellStyle name="40% - Akzent4 2 2 2 8 3" xfId="26708" xr:uid="{18B9C4AD-DBB3-401D-92BE-2FC2F7027788}"/>
    <cellStyle name="40% - Akzent4 2 2 2 9" xfId="7273" xr:uid="{02A8172F-8624-4179-ADAF-2CD02C98C6CE}"/>
    <cellStyle name="40% - Akzent4 2 2 2 9 2" xfId="7274" xr:uid="{E00735AE-5151-477E-8D2E-84A8415C26FC}"/>
    <cellStyle name="40% - Akzent4 2 2 2 9 2 2" xfId="26711" xr:uid="{BD310193-9AF9-451E-99B9-5AD93966C91E}"/>
    <cellStyle name="40% - Akzent4 2 2 2 9 3" xfId="26710" xr:uid="{CCBF81D3-2167-4994-9C13-367AFC686072}"/>
    <cellStyle name="40% - Akzent4 2 2 20" xfId="7275" xr:uid="{2EFCF9AC-EED7-49A3-9750-BE833B6C0A51}"/>
    <cellStyle name="40% - Akzent4 2 2 20 2" xfId="7276" xr:uid="{6223BD9D-9943-4A97-807B-6421DCB53BC2}"/>
    <cellStyle name="40% - Akzent4 2 2 20 2 2" xfId="26713" xr:uid="{0E0EFC45-0193-4843-99B8-8F77C64F97BC}"/>
    <cellStyle name="40% - Akzent4 2 2 20 3" xfId="26712" xr:uid="{6AC50BEC-F1F4-4D06-9A02-CC7FE8CFEE38}"/>
    <cellStyle name="40% - Akzent4 2 2 21" xfId="7277" xr:uid="{21E7E4DF-DBB0-47F3-8197-58E48F3A81F0}"/>
    <cellStyle name="40% - Akzent4 2 2 21 2" xfId="7278" xr:uid="{11DC6991-2AB9-445B-BC50-3D005A4657D5}"/>
    <cellStyle name="40% - Akzent4 2 2 21 2 2" xfId="26715" xr:uid="{FA769620-D700-45AE-8A13-F7C98D01C37C}"/>
    <cellStyle name="40% - Akzent4 2 2 21 3" xfId="26714" xr:uid="{362A9AC7-B634-4F49-975D-888B2001CE61}"/>
    <cellStyle name="40% - Akzent4 2 2 22" xfId="7279" xr:uid="{68283A8B-2F2C-4C7D-A049-4B4933B35686}"/>
    <cellStyle name="40% - Akzent4 2 2 22 2" xfId="26716" xr:uid="{78659BC2-C338-43F2-8CA7-C4E54F88124E}"/>
    <cellStyle name="40% - Akzent4 2 2 23" xfId="26649" xr:uid="{C8F90C9A-AADD-4E4D-B68E-6E552D551D1C}"/>
    <cellStyle name="40% - Akzent4 2 2 24" xfId="39322" xr:uid="{1C6A9618-887F-484F-865F-BC79D79442D2}"/>
    <cellStyle name="40% - Akzent4 2 2 3" xfId="7280" xr:uid="{6EE3A85C-F80C-4292-B94E-2156516CED50}"/>
    <cellStyle name="40% - Akzent4 2 2 3 2" xfId="7281" xr:uid="{22B1C871-617F-4D9D-A057-7DB2A95B8B40}"/>
    <cellStyle name="40% - Akzent4 2 2 3 2 2" xfId="26718" xr:uid="{9501040B-8785-48D0-86D2-D4482EBF1DC1}"/>
    <cellStyle name="40% - Akzent4 2 2 3 3" xfId="26717" xr:uid="{8D8489E3-CDDF-44B7-9DE0-6FA9826A2188}"/>
    <cellStyle name="40% - Akzent4 2 2 3 4" xfId="40467" xr:uid="{F09A1CE0-B85E-468E-90FB-A41B7B443B27}"/>
    <cellStyle name="40% - Akzent4 2 2 4" xfId="7282" xr:uid="{55D7B263-7350-412C-9122-CF22B8676F4E}"/>
    <cellStyle name="40% - Akzent4 2 2 4 2" xfId="7283" xr:uid="{D458D33B-473D-473B-9BCD-3FD21654F864}"/>
    <cellStyle name="40% - Akzent4 2 2 4 2 2" xfId="26720" xr:uid="{877BB736-7F84-4F02-A610-CC7A56F7C242}"/>
    <cellStyle name="40% - Akzent4 2 2 4 3" xfId="26719" xr:uid="{7ECE6101-F16E-4E84-AF40-794802E7551A}"/>
    <cellStyle name="40% - Akzent4 2 2 4 4" xfId="41327" xr:uid="{8C698247-0157-4B79-949E-AD96AF68DD83}"/>
    <cellStyle name="40% - Akzent4 2 2 5" xfId="7284" xr:uid="{6C7A8DA6-0657-4225-B659-E437375102BC}"/>
    <cellStyle name="40% - Akzent4 2 2 5 2" xfId="7285" xr:uid="{290DAD6A-5D0A-41F5-A809-8565C79DE35B}"/>
    <cellStyle name="40% - Akzent4 2 2 5 2 2" xfId="26722" xr:uid="{AEE9BBBF-A50F-4AC0-8264-1C7DD9EB8892}"/>
    <cellStyle name="40% - Akzent4 2 2 5 3" xfId="7286" xr:uid="{6A72E5E4-1A2A-479B-8048-817B32D2E7BE}"/>
    <cellStyle name="40% - Akzent4 2 2 5 3 2" xfId="26723" xr:uid="{BB60BC25-CCFF-4070-906F-A8384BCBC8B1}"/>
    <cellStyle name="40% - Akzent4 2 2 5 4" xfId="26721" xr:uid="{39606A0C-6776-45A1-90D5-5EF288CA585F}"/>
    <cellStyle name="40% - Akzent4 2 2 6" xfId="7287" xr:uid="{AD00D60B-F575-462D-A953-0A62BD04D523}"/>
    <cellStyle name="40% - Akzent4 2 2 6 2" xfId="26724" xr:uid="{5AA46FB3-C17E-40A3-89CC-85BE3656591D}"/>
    <cellStyle name="40% - Akzent4 2 2 7" xfId="7288" xr:uid="{181216AA-44C4-4448-BCCC-45A7F4ECD568}"/>
    <cellStyle name="40% - Akzent4 2 2 7 2" xfId="7289" xr:uid="{22823E47-9358-4DA8-A9A5-3D0715A02CD0}"/>
    <cellStyle name="40% - Akzent4 2 2 7 2 2" xfId="26726" xr:uid="{2A6C8ED8-14F9-4C7B-B619-949724430409}"/>
    <cellStyle name="40% - Akzent4 2 2 7 3" xfId="7290" xr:uid="{6281A124-BD3F-4023-BFE9-53C208B396DB}"/>
    <cellStyle name="40% - Akzent4 2 2 7 3 2" xfId="26727" xr:uid="{D189C4FE-90C7-4A83-B1B1-E0A3F0963DF7}"/>
    <cellStyle name="40% - Akzent4 2 2 7 4" xfId="26725" xr:uid="{0042B063-C4F8-4081-A002-DB16CD5FDA3B}"/>
    <cellStyle name="40% - Akzent4 2 2 8" xfId="7291" xr:uid="{A0DBFFFE-88AF-4E2F-8F5A-C69956B65B11}"/>
    <cellStyle name="40% - Akzent4 2 2 8 2" xfId="26728" xr:uid="{912FC078-A712-469C-947F-68EA6DF285CA}"/>
    <cellStyle name="40% - Akzent4 2 2 9" xfId="7292" xr:uid="{A0A36D58-0DC2-405D-A867-4CBEB2D59D10}"/>
    <cellStyle name="40% - Akzent4 2 2 9 2" xfId="26729" xr:uid="{5C9E1CF0-160D-4FD5-8E37-1860F162AC78}"/>
    <cellStyle name="40% - Akzent4 2 20" xfId="7293" xr:uid="{9DF38D7E-A2F9-44A1-ADA5-B5EC58CE2F8A}"/>
    <cellStyle name="40% - Akzent4 2 20 2" xfId="7294" xr:uid="{D4928E4E-5BC1-4841-B66D-E1395803BFB9}"/>
    <cellStyle name="40% - Akzent4 2 20 2 2" xfId="26731" xr:uid="{A80C2D63-369A-4885-938D-A91D450F604A}"/>
    <cellStyle name="40% - Akzent4 2 20 3" xfId="26730" xr:uid="{2C936A41-53D3-40A6-A839-F1889B0D78CF}"/>
    <cellStyle name="40% - Akzent4 2 21" xfId="7295" xr:uid="{CCC833C1-9EFE-4FDF-A18F-E32A31C0357A}"/>
    <cellStyle name="40% - Akzent4 2 21 2" xfId="7296" xr:uid="{006E9F47-F6CF-421A-AABF-C1DEB7CE2986}"/>
    <cellStyle name="40% - Akzent4 2 21 2 2" xfId="26733" xr:uid="{27AAAC8A-7E7A-4FBC-9030-12620CDFA04D}"/>
    <cellStyle name="40% - Akzent4 2 21 3" xfId="26732" xr:uid="{22690C4E-255D-472F-B200-37FFA18765EA}"/>
    <cellStyle name="40% - Akzent4 2 22" xfId="7297" xr:uid="{AEBCE8A3-FC49-4A37-9D4D-8C06942DAB54}"/>
    <cellStyle name="40% - Akzent4 2 22 2" xfId="7298" xr:uid="{94F2E24F-35E5-46B5-A9AD-AF0E9FB8139A}"/>
    <cellStyle name="40% - Akzent4 2 22 2 2" xfId="26735" xr:uid="{25300FFC-1F79-4C98-81E1-3BD9A5E71605}"/>
    <cellStyle name="40% - Akzent4 2 22 3" xfId="26734" xr:uid="{F25CFF2E-B37C-4960-B59E-B4424A9D6F6E}"/>
    <cellStyle name="40% - Akzent4 2 23" xfId="7299" xr:uid="{A9FEE56F-3A11-4385-9FB9-9F5845BD6A3E}"/>
    <cellStyle name="40% - Akzent4 2 23 2" xfId="7300" xr:uid="{DDA5C1E0-2093-415E-B603-4E11DC6E6B24}"/>
    <cellStyle name="40% - Akzent4 2 23 2 2" xfId="26737" xr:uid="{57191881-7790-4D80-8893-A6DFD2D1B0A9}"/>
    <cellStyle name="40% - Akzent4 2 23 3" xfId="26736" xr:uid="{C671FEC1-665E-4918-8A0F-238F5EA7774F}"/>
    <cellStyle name="40% - Akzent4 2 24" xfId="7301" xr:uid="{EE7362F0-2670-4DF9-B2D3-350EE6EC34C1}"/>
    <cellStyle name="40% - Akzent4 2 24 2" xfId="26738" xr:uid="{2DE441E4-3B4C-4408-9E96-423EE981A8B2}"/>
    <cellStyle name="40% - Akzent4 2 25" xfId="26628" xr:uid="{56F79CDB-2E33-41EF-A26B-31F313F9F7FF}"/>
    <cellStyle name="40% - Akzent4 2 26" xfId="39321" xr:uid="{3DB77C09-C92A-47F7-B015-42B402D06831}"/>
    <cellStyle name="40% - Akzent4 2 27" xfId="7191" xr:uid="{BAB0607D-4E35-4750-A3A6-D6753843E041}"/>
    <cellStyle name="40% - Akzent4 2 3" xfId="7302" xr:uid="{CAF29B19-A695-4197-864C-3D00CB8E8DCF}"/>
    <cellStyle name="40% - Akzent4 2 3 10" xfId="7303" xr:uid="{7C83E91B-B756-4F4B-A0CB-3A9497890C48}"/>
    <cellStyle name="40% - Akzent4 2 3 10 2" xfId="7304" xr:uid="{CF5F159E-C298-4DA1-9DF1-8EBCBCA32A7C}"/>
    <cellStyle name="40% - Akzent4 2 3 10 2 2" xfId="26741" xr:uid="{8AEA3802-2D16-4E6F-85AC-B9BE48055C2F}"/>
    <cellStyle name="40% - Akzent4 2 3 10 3" xfId="26740" xr:uid="{5B783101-50AD-46B2-B373-C6709FDF08C1}"/>
    <cellStyle name="40% - Akzent4 2 3 11" xfId="7305" xr:uid="{B77FAD43-F49F-4644-A1CD-B99973300949}"/>
    <cellStyle name="40% - Akzent4 2 3 11 2" xfId="7306" xr:uid="{5C3FA64B-DACC-4273-B2A9-B568C0C1F380}"/>
    <cellStyle name="40% - Akzent4 2 3 11 2 2" xfId="26743" xr:uid="{5F0B7233-E9B6-43C7-AFAD-CE471DFC5D3D}"/>
    <cellStyle name="40% - Akzent4 2 3 11 3" xfId="26742" xr:uid="{1FAA411B-74D3-486C-B0B7-8F110EA4139A}"/>
    <cellStyle name="40% - Akzent4 2 3 12" xfId="7307" xr:uid="{3383626D-C476-42B4-9F22-2B77C9262371}"/>
    <cellStyle name="40% - Akzent4 2 3 12 2" xfId="7308" xr:uid="{2CCFF4E7-292B-4F31-B2D2-AF0752027022}"/>
    <cellStyle name="40% - Akzent4 2 3 12 2 2" xfId="26745" xr:uid="{E2B6B9ED-C5F3-4007-991E-5ECF8221B2FC}"/>
    <cellStyle name="40% - Akzent4 2 3 12 3" xfId="26744" xr:uid="{9819C9F3-8762-4CE1-BC5F-33AB3C536E18}"/>
    <cellStyle name="40% - Akzent4 2 3 13" xfId="7309" xr:uid="{B5E64CD8-1203-4D1F-A15A-E7D427459425}"/>
    <cellStyle name="40% - Akzent4 2 3 13 2" xfId="7310" xr:uid="{153DB88B-3CBF-4EA7-B49C-703E7044E81C}"/>
    <cellStyle name="40% - Akzent4 2 3 13 2 2" xfId="26747" xr:uid="{B038CE89-8592-4F35-A880-0F859843A892}"/>
    <cellStyle name="40% - Akzent4 2 3 13 3" xfId="26746" xr:uid="{705C7746-735D-436C-96F5-DDBA8ACA4630}"/>
    <cellStyle name="40% - Akzent4 2 3 14" xfId="7311" xr:uid="{4F5A859D-8CB6-40EC-95AA-99C2FEB7451C}"/>
    <cellStyle name="40% - Akzent4 2 3 14 2" xfId="7312" xr:uid="{423F5A88-D31C-475C-B444-1468E7899E92}"/>
    <cellStyle name="40% - Akzent4 2 3 14 2 2" xfId="26749" xr:uid="{22DB96E8-9A73-49C9-810E-F149A8F3FBC4}"/>
    <cellStyle name="40% - Akzent4 2 3 14 3" xfId="26748" xr:uid="{091A6902-90F4-466D-9DC3-1A5820ECE70B}"/>
    <cellStyle name="40% - Akzent4 2 3 15" xfId="7313" xr:uid="{802056DC-7336-4BC7-9CB0-CDAA17F487CA}"/>
    <cellStyle name="40% - Akzent4 2 3 15 2" xfId="7314" xr:uid="{B3392794-890D-40A7-A987-F15359775BB6}"/>
    <cellStyle name="40% - Akzent4 2 3 15 2 2" xfId="26751" xr:uid="{26DC0897-AB55-4927-9EA6-609D48636E5D}"/>
    <cellStyle name="40% - Akzent4 2 3 15 3" xfId="26750" xr:uid="{5216DEA6-9DE1-42F1-A610-D466DCD35702}"/>
    <cellStyle name="40% - Akzent4 2 3 16" xfId="7315" xr:uid="{DA450732-7903-47D6-B326-E06CF73B840C}"/>
    <cellStyle name="40% - Akzent4 2 3 16 2" xfId="7316" xr:uid="{0B47C78E-8A4C-4C2B-AC81-CF246FEC5581}"/>
    <cellStyle name="40% - Akzent4 2 3 16 2 2" xfId="26753" xr:uid="{83AB51FC-848F-4780-A12A-ACED3622B29A}"/>
    <cellStyle name="40% - Akzent4 2 3 16 3" xfId="26752" xr:uid="{901810AD-09BE-404C-88E2-800F23617742}"/>
    <cellStyle name="40% - Akzent4 2 3 17" xfId="7317" xr:uid="{6BD352CA-951A-45FC-8228-9B1E9062CB51}"/>
    <cellStyle name="40% - Akzent4 2 3 17 2" xfId="7318" xr:uid="{5E62B44A-C989-425F-A201-1137929C77FF}"/>
    <cellStyle name="40% - Akzent4 2 3 17 2 2" xfId="26755" xr:uid="{55536C62-9D89-4B0B-8927-2BD095DA06DD}"/>
    <cellStyle name="40% - Akzent4 2 3 17 3" xfId="26754" xr:uid="{FCFFA7DF-C6FE-4F3D-91B1-69FBA18EB817}"/>
    <cellStyle name="40% - Akzent4 2 3 18" xfId="7319" xr:uid="{3E4FE29D-5178-470F-9DF4-A294EFA444F4}"/>
    <cellStyle name="40% - Akzent4 2 3 18 2" xfId="7320" xr:uid="{8D341265-572A-443B-A526-DCAC3CE0C50C}"/>
    <cellStyle name="40% - Akzent4 2 3 18 2 2" xfId="26757" xr:uid="{F97C6D93-14BF-48A3-B6A0-166731AC2F83}"/>
    <cellStyle name="40% - Akzent4 2 3 18 3" xfId="26756" xr:uid="{0428812A-E582-46E9-BBBA-407A049C57B3}"/>
    <cellStyle name="40% - Akzent4 2 3 19" xfId="7321" xr:uid="{275D153E-1B29-404E-89B9-76EAE46FDB8F}"/>
    <cellStyle name="40% - Akzent4 2 3 19 2" xfId="7322" xr:uid="{BDECFDEC-50DB-4F4A-AE61-3A69684A25ED}"/>
    <cellStyle name="40% - Akzent4 2 3 19 2 2" xfId="26759" xr:uid="{170D5F1C-9267-424C-B68D-683127A93715}"/>
    <cellStyle name="40% - Akzent4 2 3 19 3" xfId="26758" xr:uid="{3F939D83-2274-4CCC-B116-071D19127FE2}"/>
    <cellStyle name="40% - Akzent4 2 3 2" xfId="7323" xr:uid="{E50C73BD-F4F7-4107-B82D-696221A4C754}"/>
    <cellStyle name="40% - Akzent4 2 3 2 2" xfId="7324" xr:uid="{952B9D5A-9367-445D-AE97-B830280C302E}"/>
    <cellStyle name="40% - Akzent4 2 3 2 2 2" xfId="26761" xr:uid="{9D4FCB64-9ADE-44C4-9CA6-115BEF92ACE3}"/>
    <cellStyle name="40% - Akzent4 2 3 2 3" xfId="26760" xr:uid="{E4E3FDC4-EB80-47FA-88AE-2185B000A424}"/>
    <cellStyle name="40% - Akzent4 2 3 2 4" xfId="40900" xr:uid="{A64F7A02-2C76-4EF0-97E1-744EC658239D}"/>
    <cellStyle name="40% - Akzent4 2 3 20" xfId="7325" xr:uid="{AB8721FE-7652-41AE-941C-5DB4430ADDAC}"/>
    <cellStyle name="40% - Akzent4 2 3 20 2" xfId="7326" xr:uid="{B5A5473C-6613-4A22-B947-965F0D04EC1A}"/>
    <cellStyle name="40% - Akzent4 2 3 20 2 2" xfId="26763" xr:uid="{5D91B7D7-AE92-44FF-B975-41AF7FD040E3}"/>
    <cellStyle name="40% - Akzent4 2 3 20 3" xfId="26762" xr:uid="{D714A8D2-820E-49C2-8AAC-2F1FE92F4DF0}"/>
    <cellStyle name="40% - Akzent4 2 3 21" xfId="7327" xr:uid="{D6AD2E30-9A78-4641-8737-5FB1859465C1}"/>
    <cellStyle name="40% - Akzent4 2 3 21 2" xfId="7328" xr:uid="{B4BCC3E3-D995-4C36-B877-F4B7D401F9A5}"/>
    <cellStyle name="40% - Akzent4 2 3 21 2 2" xfId="26765" xr:uid="{2FF252D5-3D71-4242-85F0-F79419D30914}"/>
    <cellStyle name="40% - Akzent4 2 3 21 3" xfId="26764" xr:uid="{27FFF8D7-53C3-4F19-862E-1FBF2F7F77DA}"/>
    <cellStyle name="40% - Akzent4 2 3 22" xfId="7329" xr:uid="{061E615A-ECAC-4A4E-8873-0F4DDEC25C90}"/>
    <cellStyle name="40% - Akzent4 2 3 22 2" xfId="26766" xr:uid="{B7B17921-772C-4BEB-99F8-736181204522}"/>
    <cellStyle name="40% - Akzent4 2 3 23" xfId="26739" xr:uid="{754BDB07-2417-4C03-9A0C-13B8C5BF17B3}"/>
    <cellStyle name="40% - Akzent4 2 3 24" xfId="39954" xr:uid="{8179D5F3-432C-412D-95E3-62544F985A19}"/>
    <cellStyle name="40% - Akzent4 2 3 3" xfId="7330" xr:uid="{DE92A07F-E5B8-4F50-9BCD-9FF5D17BFD2C}"/>
    <cellStyle name="40% - Akzent4 2 3 3 2" xfId="7331" xr:uid="{6DA67C5E-A60F-46A7-B009-B5088D8C5168}"/>
    <cellStyle name="40% - Akzent4 2 3 3 2 2" xfId="26768" xr:uid="{5FA6640A-35EC-49DB-A92C-9E4FC8425BB9}"/>
    <cellStyle name="40% - Akzent4 2 3 3 3" xfId="26767" xr:uid="{0C7D7CD1-EDB0-4CC4-8D06-0AF81133A22C}"/>
    <cellStyle name="40% - Akzent4 2 3 3 4" xfId="41760" xr:uid="{03E78384-3B4B-48F3-AC3C-A4CD1A930DA1}"/>
    <cellStyle name="40% - Akzent4 2 3 4" xfId="7332" xr:uid="{84E6CC27-2D19-491A-8BD2-C43350CA22D5}"/>
    <cellStyle name="40% - Akzent4 2 3 4 2" xfId="7333" xr:uid="{99C15BEE-B03C-48D8-8450-111534657689}"/>
    <cellStyle name="40% - Akzent4 2 3 4 2 2" xfId="26770" xr:uid="{A3A56204-6953-4E6A-A59A-9E50F5FA8CEF}"/>
    <cellStyle name="40% - Akzent4 2 3 4 3" xfId="26769" xr:uid="{0A4905FB-7FED-4BE7-B65D-A193E512CA41}"/>
    <cellStyle name="40% - Akzent4 2 3 5" xfId="7334" xr:uid="{3A9FD2BC-734F-49E8-88D5-190F666B6087}"/>
    <cellStyle name="40% - Akzent4 2 3 5 2" xfId="7335" xr:uid="{2C4B59E2-A679-4C25-9981-806479D1A2B9}"/>
    <cellStyle name="40% - Akzent4 2 3 5 2 2" xfId="26772" xr:uid="{84A47D5F-C1DA-4077-BF17-2831B144E979}"/>
    <cellStyle name="40% - Akzent4 2 3 5 3" xfId="26771" xr:uid="{4EE0C2F8-D21F-4007-A742-DDCF4A7E4EF3}"/>
    <cellStyle name="40% - Akzent4 2 3 6" xfId="7336" xr:uid="{98C71AAE-158E-4842-BB6F-FA0FE53D1B89}"/>
    <cellStyle name="40% - Akzent4 2 3 6 2" xfId="7337" xr:uid="{5CE79C54-4F03-438A-845D-F2F380E0E607}"/>
    <cellStyle name="40% - Akzent4 2 3 6 2 2" xfId="26774" xr:uid="{F8C4C045-3F5B-42D4-8CC7-3B02DF42BAC4}"/>
    <cellStyle name="40% - Akzent4 2 3 6 3" xfId="26773" xr:uid="{A222E35C-7260-4543-9BB3-3F19C5CE70AC}"/>
    <cellStyle name="40% - Akzent4 2 3 7" xfId="7338" xr:uid="{146E8155-EAD2-4BDA-BADB-66CE43BAA5CB}"/>
    <cellStyle name="40% - Akzent4 2 3 7 2" xfId="7339" xr:uid="{02067F4C-BC7A-4D82-BF2F-522D78F6C98B}"/>
    <cellStyle name="40% - Akzent4 2 3 7 2 2" xfId="26776" xr:uid="{3851961E-20A5-48E0-8758-2CB65C70FE92}"/>
    <cellStyle name="40% - Akzent4 2 3 7 3" xfId="26775" xr:uid="{53046FCE-9BCF-4ED6-8243-93DE202D08BC}"/>
    <cellStyle name="40% - Akzent4 2 3 8" xfId="7340" xr:uid="{9F00BC90-F405-47AD-99F9-F14B4907EA7F}"/>
    <cellStyle name="40% - Akzent4 2 3 8 2" xfId="7341" xr:uid="{E26D5CEA-9DBC-4AA6-BD42-2D716AFC63DE}"/>
    <cellStyle name="40% - Akzent4 2 3 8 2 2" xfId="26778" xr:uid="{D43C73B7-AD9C-4DC6-BF86-432E3BD375CA}"/>
    <cellStyle name="40% - Akzent4 2 3 8 3" xfId="26777" xr:uid="{3DE067E7-A52D-4B31-8EE4-5617583D72BC}"/>
    <cellStyle name="40% - Akzent4 2 3 9" xfId="7342" xr:uid="{7F593375-6870-4B93-AA27-E1742920EB94}"/>
    <cellStyle name="40% - Akzent4 2 3 9 2" xfId="7343" xr:uid="{AD5F3D6B-BAB0-4D96-A01F-FA9786066902}"/>
    <cellStyle name="40% - Akzent4 2 3 9 2 2" xfId="26780" xr:uid="{987A88DB-566A-4664-B2D2-9FB4B3681AF7}"/>
    <cellStyle name="40% - Akzent4 2 3 9 3" xfId="26779" xr:uid="{BE319510-84C0-47E4-B9FE-DD4A6B509BD0}"/>
    <cellStyle name="40% - Akzent4 2 4" xfId="7344" xr:uid="{0B8B00B7-4F9B-4A21-B952-C212CC9E8A96}"/>
    <cellStyle name="40% - Akzent4 2 4 2" xfId="7345" xr:uid="{5B873636-4787-4A41-9DA6-33F27DBE1517}"/>
    <cellStyle name="40% - Akzent4 2 4 2 2" xfId="7346" xr:uid="{B8F6420A-EDEC-4069-BBA0-9556DECCFC80}"/>
    <cellStyle name="40% - Akzent4 2 4 2 2 2" xfId="26783" xr:uid="{0F2F1E1C-21B8-4078-9170-F5B1E9095770}"/>
    <cellStyle name="40% - Akzent4 2 4 2 3" xfId="7347" xr:uid="{05CB38DB-96E5-4C1A-8332-48C35121D9B1}"/>
    <cellStyle name="40% - Akzent4 2 4 2 3 2" xfId="26784" xr:uid="{5A844C8C-0A6D-44FB-89D1-2657FFD85F50}"/>
    <cellStyle name="40% - Akzent4 2 4 2 4" xfId="26782" xr:uid="{D1576D22-8F80-451E-880F-D811F3E5E8EA}"/>
    <cellStyle name="40% - Akzent4 2 4 3" xfId="7348" xr:uid="{951826D1-7BFA-424F-8030-0F1D07D5E0A2}"/>
    <cellStyle name="40% - Akzent4 2 4 3 2" xfId="26785" xr:uid="{71578A75-E4C5-4233-AB07-6CFE823B5CAD}"/>
    <cellStyle name="40% - Akzent4 2 4 4" xfId="7349" xr:uid="{4C91781C-C880-4F72-977C-4C20FD608483}"/>
    <cellStyle name="40% - Akzent4 2 4 4 2" xfId="26786" xr:uid="{6EC14122-D049-402D-9285-D90FBF011359}"/>
    <cellStyle name="40% - Akzent4 2 4 5" xfId="26781" xr:uid="{D727AAE3-A979-43F1-A57B-81E56417B499}"/>
    <cellStyle name="40% - Akzent4 2 4 6" xfId="40466" xr:uid="{5C5910B4-F949-4005-A6F4-860A4B3678A0}"/>
    <cellStyle name="40% - Akzent4 2 5" xfId="7350" xr:uid="{78EE495E-95CF-4BEB-A02A-AAD57F15EA73}"/>
    <cellStyle name="40% - Akzent4 2 5 2" xfId="26787" xr:uid="{EBB00B97-937D-4F47-81D7-2F125152A0E5}"/>
    <cellStyle name="40% - Akzent4 2 5 3" xfId="41326" xr:uid="{C897EF90-23BD-4ADC-9AA2-5ECF454F9566}"/>
    <cellStyle name="40% - Akzent4 2 6" xfId="7351" xr:uid="{D72C266B-A094-42CA-A90D-75AF7663AA40}"/>
    <cellStyle name="40% - Akzent4 2 6 2" xfId="7352" xr:uid="{7B8F1123-ECE6-4F51-9F60-B3F0DB5AF69C}"/>
    <cellStyle name="40% - Akzent4 2 6 2 2" xfId="7353" xr:uid="{D832CA8A-EB5F-40C7-80A7-DC387A2F3AC3}"/>
    <cellStyle name="40% - Akzent4 2 6 2 2 2" xfId="26790" xr:uid="{86F99032-8D5B-4B3C-B37C-30B68136E293}"/>
    <cellStyle name="40% - Akzent4 2 6 2 3" xfId="26789" xr:uid="{5E1A5283-DC88-4CD7-833B-FCA70B5AB1E6}"/>
    <cellStyle name="40% - Akzent4 2 6 3" xfId="26788" xr:uid="{C75537AF-6781-4D18-BA13-62E8FE76009F}"/>
    <cellStyle name="40% - Akzent4 2 7" xfId="7354" xr:uid="{E5E24374-79D1-4622-8A19-E18CA2BB9E51}"/>
    <cellStyle name="40% - Akzent4 2 7 2" xfId="7355" xr:uid="{74437EF9-B3B9-4BB2-94A8-AC159C046288}"/>
    <cellStyle name="40% - Akzent4 2 7 2 2" xfId="26792" xr:uid="{B2FE47F3-5821-43F0-808D-CFEB15710312}"/>
    <cellStyle name="40% - Akzent4 2 7 3" xfId="26791" xr:uid="{DAAB9374-9CAB-46FB-B9B4-62FB2841165C}"/>
    <cellStyle name="40% - Akzent4 2 8" xfId="7356" xr:uid="{CF8EE585-6DA7-4D94-8E4B-707F4A196615}"/>
    <cellStyle name="40% - Akzent4 2 8 2" xfId="7357" xr:uid="{F1AE173B-654C-4E71-8934-B43FDA8E4634}"/>
    <cellStyle name="40% - Akzent4 2 8 2 2" xfId="7358" xr:uid="{36E99194-D974-4EB5-A790-2932DD142244}"/>
    <cellStyle name="40% - Akzent4 2 8 2 2 2" xfId="26795" xr:uid="{FD8A5074-7176-4B00-9E2F-2A2AD0170876}"/>
    <cellStyle name="40% - Akzent4 2 8 2 3" xfId="26794" xr:uid="{D14B7AC8-3F79-44FB-8DEB-4571E7FBD988}"/>
    <cellStyle name="40% - Akzent4 2 8 3" xfId="26793" xr:uid="{084CCA86-3D86-4D8C-9369-C40798C9E335}"/>
    <cellStyle name="40% - Akzent4 2 9" xfId="7359" xr:uid="{CD460513-20B7-4F15-8975-DC383A78D98D}"/>
    <cellStyle name="40% - Akzent4 2 9 2" xfId="7360" xr:uid="{5E019BB2-9AB7-4775-AA0F-2EA4C72891B7}"/>
    <cellStyle name="40% - Akzent4 2 9 2 2" xfId="26797" xr:uid="{388B957C-27A6-44BA-AED5-FB03F171C528}"/>
    <cellStyle name="40% - Akzent4 2 9 3" xfId="26796" xr:uid="{BBB26EE9-D912-4E5F-B822-CCFB5BC260D9}"/>
    <cellStyle name="40% - Akzent4 20" xfId="7361" xr:uid="{65AD23FF-BA07-4A29-955F-571088776583}"/>
    <cellStyle name="40% - Akzent4 20 2" xfId="7362" xr:uid="{A5A0CA3C-EC92-4E8F-B18A-39706FFF1952}"/>
    <cellStyle name="40% - Akzent4 20 2 2" xfId="26799" xr:uid="{51C879E9-9D0D-45EC-B031-6D096AFF2197}"/>
    <cellStyle name="40% - Akzent4 20 3" xfId="7363" xr:uid="{2B0A5D6B-4DEF-41E1-BCC1-772B6FE0F434}"/>
    <cellStyle name="40% - Akzent4 20 3 2" xfId="26800" xr:uid="{5057C034-7C59-4078-B814-8150245BCE8C}"/>
    <cellStyle name="40% - Akzent4 20 4" xfId="26798" xr:uid="{AF09FD9A-21FE-46B7-913D-BBEE4771BF09}"/>
    <cellStyle name="40% - Akzent4 21" xfId="7364" xr:uid="{E7926D7A-C06F-4D6F-9B17-5A1A87D809EE}"/>
    <cellStyle name="40% - Akzent4 21 2" xfId="7365" xr:uid="{F7348C62-7BDC-427A-A88E-4F9B09257258}"/>
    <cellStyle name="40% - Akzent4 21 2 2" xfId="26802" xr:uid="{BEDB0D16-917F-424B-8055-788DA9E268EB}"/>
    <cellStyle name="40% - Akzent4 21 3" xfId="7366" xr:uid="{DDF1DDE8-67DD-4272-B966-6FF707E84D86}"/>
    <cellStyle name="40% - Akzent4 21 3 2" xfId="26803" xr:uid="{02D41308-026D-4F83-91E4-16FD81BB6B9C}"/>
    <cellStyle name="40% - Akzent4 21 4" xfId="26801" xr:uid="{0F1261AF-3946-44DD-89BF-D1EE0ABD040D}"/>
    <cellStyle name="40% - Akzent4 22" xfId="7367" xr:uid="{C856576E-26FB-4765-861C-F8281DF181AB}"/>
    <cellStyle name="40% - Akzent4 22 2" xfId="7368" xr:uid="{B81F4DC2-674B-4DE4-B07A-F90E25DC44E6}"/>
    <cellStyle name="40% - Akzent4 22 2 2" xfId="26805" xr:uid="{F6776EA5-C7E3-4AD7-B87A-BF2A73D20505}"/>
    <cellStyle name="40% - Akzent4 22 3" xfId="7369" xr:uid="{16A474E2-C387-400E-9CF7-A9586351046F}"/>
    <cellStyle name="40% - Akzent4 22 3 2" xfId="26806" xr:uid="{BD8A1ED7-6FAB-4029-BBF8-C5A22007185E}"/>
    <cellStyle name="40% - Akzent4 22 4" xfId="26804" xr:uid="{FD14C79A-C585-4F64-955C-52101DD7C265}"/>
    <cellStyle name="40% - Akzent4 23" xfId="7370" xr:uid="{399EDB79-0F3E-48AF-A8FF-192FAAAE6024}"/>
    <cellStyle name="40% - Akzent4 23 2" xfId="7371" xr:uid="{006DAB62-85DB-423D-9462-CDF21E22A650}"/>
    <cellStyle name="40% - Akzent4 23 2 2" xfId="26808" xr:uid="{EBA3CFE0-2785-4BE3-A79B-45C90D27645F}"/>
    <cellStyle name="40% - Akzent4 23 3" xfId="7372" xr:uid="{E4721AED-DE08-4263-86FE-42A2E2A937ED}"/>
    <cellStyle name="40% - Akzent4 23 3 2" xfId="26809" xr:uid="{58018FB7-2F20-433A-9527-F4D33E480E2B}"/>
    <cellStyle name="40% - Akzent4 23 4" xfId="26807" xr:uid="{49FA9E48-848D-4413-95E9-654BA006AF41}"/>
    <cellStyle name="40% - Akzent4 24" xfId="7373" xr:uid="{4FAA7A17-9920-448B-A080-4E87D9E07B55}"/>
    <cellStyle name="40% - Akzent4 24 2" xfId="7374" xr:uid="{71B9E3FE-EFBF-40DF-838E-A25039ACD1EA}"/>
    <cellStyle name="40% - Akzent4 24 2 2" xfId="26811" xr:uid="{AD58B4BA-0A2C-412F-9B68-5DE95E4EFBA9}"/>
    <cellStyle name="40% - Akzent4 24 3" xfId="7375" xr:uid="{6EE7BCF0-6E26-48D3-B8AE-254AA8B4F36A}"/>
    <cellStyle name="40% - Akzent4 24 3 2" xfId="26812" xr:uid="{E8807154-C67B-42DC-9F6D-B934B0EACC18}"/>
    <cellStyle name="40% - Akzent4 24 4" xfId="26810" xr:uid="{42E76DE8-905A-4813-A2AC-AB1072CD9C2C}"/>
    <cellStyle name="40% - Akzent4 25" xfId="7376" xr:uid="{798F0F2E-A803-41B8-836D-E7B9403E1CBE}"/>
    <cellStyle name="40% - Akzent4 25 2" xfId="7377" xr:uid="{2C99BDA2-7A6A-45AE-B6FA-E27FC126D38E}"/>
    <cellStyle name="40% - Akzent4 25 2 2" xfId="26814" xr:uid="{FF7F34BF-6D2F-4232-AACF-BD961D946FD2}"/>
    <cellStyle name="40% - Akzent4 25 3" xfId="7378" xr:uid="{6ED0083C-28B0-4743-BC7C-C4C534DF0662}"/>
    <cellStyle name="40% - Akzent4 25 3 2" xfId="26815" xr:uid="{FA1041A7-477B-4F50-99C2-BEEF8016915A}"/>
    <cellStyle name="40% - Akzent4 25 4" xfId="26813" xr:uid="{C2B2E0CE-2105-442C-A681-D88A496DBCC7}"/>
    <cellStyle name="40% - Akzent4 26" xfId="7379" xr:uid="{676AB688-F2A1-43DF-A9B9-744EA94ADBC2}"/>
    <cellStyle name="40% - Akzent4 26 2" xfId="7380" xr:uid="{C4B26FA1-2E68-48E2-9FBD-C9FE145EF532}"/>
    <cellStyle name="40% - Akzent4 26 2 2" xfId="26817" xr:uid="{ABD03AB6-274C-4C45-B802-E4E7F1C84856}"/>
    <cellStyle name="40% - Akzent4 26 3" xfId="7381" xr:uid="{3913F7FA-89F5-4F04-BFEA-03FB932BD47B}"/>
    <cellStyle name="40% - Akzent4 26 3 2" xfId="26818" xr:uid="{20D44528-3710-49B3-B8EE-B96DD212F580}"/>
    <cellStyle name="40% - Akzent4 26 4" xfId="26816" xr:uid="{73D98018-41B5-442A-8271-0247A14B0FAD}"/>
    <cellStyle name="40% - Akzent4 27" xfId="7382" xr:uid="{62653B18-1329-4DFA-992A-F2720F13E5CA}"/>
    <cellStyle name="40% - Akzent4 27 2" xfId="7383" xr:uid="{881B9F0F-7126-49F3-BF9A-509B61B09F03}"/>
    <cellStyle name="40% - Akzent4 27 2 2" xfId="26820" xr:uid="{ED5E9134-78A6-456C-BF4B-5039F28FB1B4}"/>
    <cellStyle name="40% - Akzent4 27 3" xfId="7384" xr:uid="{157B0529-0F60-481D-8ADA-A0FD1AE31A42}"/>
    <cellStyle name="40% - Akzent4 27 3 2" xfId="26821" xr:uid="{38B44421-D0B4-4EF8-81D5-727074DA67CD}"/>
    <cellStyle name="40% - Akzent4 27 4" xfId="26819" xr:uid="{1E0D6EDE-7BF9-4096-8F81-50B0B6B3D995}"/>
    <cellStyle name="40% - Akzent4 28" xfId="7385" xr:uid="{94AC7840-C2A4-48EB-AF18-80F5D2714B86}"/>
    <cellStyle name="40% - Akzent4 28 2" xfId="7386" xr:uid="{C3993FEE-23B2-432F-9CC3-A464F0D2D2E9}"/>
    <cellStyle name="40% - Akzent4 28 2 2" xfId="26823" xr:uid="{240F645D-956F-487E-AA01-68484F0031F2}"/>
    <cellStyle name="40% - Akzent4 28 3" xfId="7387" xr:uid="{C842720C-78D8-43EB-8C63-A27FD3B76F30}"/>
    <cellStyle name="40% - Akzent4 28 3 2" xfId="26824" xr:uid="{272FE29B-9C55-4DE4-A52C-3928C249E2D3}"/>
    <cellStyle name="40% - Akzent4 28 4" xfId="26822" xr:uid="{D70A49A4-87DC-4B3B-9B4C-BEC1A1745D5A}"/>
    <cellStyle name="40% - Akzent4 29" xfId="7388" xr:uid="{CAA8FE9E-2B3F-41D3-8EA4-EDE53EC2450F}"/>
    <cellStyle name="40% - Akzent4 29 2" xfId="7389" xr:uid="{AA0B0C56-5F48-4721-9428-DE28061BB269}"/>
    <cellStyle name="40% - Akzent4 29 2 2" xfId="26826" xr:uid="{E5C37DE8-C843-4E1E-9D2B-F392A02404A9}"/>
    <cellStyle name="40% - Akzent4 29 3" xfId="7390" xr:uid="{1391F104-2AB0-4386-9DAF-89B5EA002A95}"/>
    <cellStyle name="40% - Akzent4 29 3 2" xfId="26827" xr:uid="{ED1A9FAF-6426-4A09-A743-84E36FAB4323}"/>
    <cellStyle name="40% - Akzent4 29 4" xfId="26825" xr:uid="{04517DC1-365F-4CDE-8125-B538023D3725}"/>
    <cellStyle name="40% - Akzent4 3" xfId="120" xr:uid="{16F790D1-BBA4-4B66-82EE-1C98E01B951F}"/>
    <cellStyle name="40% - Akzent4 3 10" xfId="7392" xr:uid="{A4764263-C63D-415B-BB10-5B705534ECD9}"/>
    <cellStyle name="40% - Akzent4 3 10 2" xfId="7393" xr:uid="{496459A4-61CE-44BF-9F88-8A03D2A4A40E}"/>
    <cellStyle name="40% - Akzent4 3 10 2 2" xfId="26830" xr:uid="{BF6D76B4-EEEB-44B6-B801-28C52341C1F0}"/>
    <cellStyle name="40% - Akzent4 3 10 3" xfId="26829" xr:uid="{206C1E56-D4DD-4101-B447-D080467D55BD}"/>
    <cellStyle name="40% - Akzent4 3 11" xfId="7394" xr:uid="{AAA67AFB-243E-45B0-B31D-FBB00B487488}"/>
    <cellStyle name="40% - Akzent4 3 11 2" xfId="7395" xr:uid="{4527C449-BADE-466A-96D8-E3C8F53B5F9A}"/>
    <cellStyle name="40% - Akzent4 3 11 2 2" xfId="26832" xr:uid="{58146C7B-8617-43E4-9CEF-94C239196A64}"/>
    <cellStyle name="40% - Akzent4 3 11 3" xfId="26831" xr:uid="{B52B9481-AFA5-4F75-952F-43BB73C72F0C}"/>
    <cellStyle name="40% - Akzent4 3 12" xfId="7396" xr:uid="{0AB691A4-C74F-48F7-B523-ACD10F20C25F}"/>
    <cellStyle name="40% - Akzent4 3 12 2" xfId="7397" xr:uid="{75303D9D-7BF7-4519-8042-535B08A85174}"/>
    <cellStyle name="40% - Akzent4 3 12 2 2" xfId="26834" xr:uid="{5D03722A-9F9D-4DE6-B7A1-86E3572BEB88}"/>
    <cellStyle name="40% - Akzent4 3 12 3" xfId="26833" xr:uid="{571FCD59-8E52-4E51-863F-BE5EE9CD5DE0}"/>
    <cellStyle name="40% - Akzent4 3 13" xfId="7398" xr:uid="{55567963-3484-49D0-B26C-6749DC964554}"/>
    <cellStyle name="40% - Akzent4 3 13 2" xfId="7399" xr:uid="{432C6E8D-6409-4644-AEBD-986704785EC6}"/>
    <cellStyle name="40% - Akzent4 3 13 2 2" xfId="26836" xr:uid="{8C16FEEB-BB3D-43FB-91C5-56960E010059}"/>
    <cellStyle name="40% - Akzent4 3 13 3" xfId="26835" xr:uid="{F1E2F76D-9CC3-4CC7-94ED-3D52D16682FD}"/>
    <cellStyle name="40% - Akzent4 3 14" xfId="7400" xr:uid="{32509538-278B-494F-88CD-1098C79880A6}"/>
    <cellStyle name="40% - Akzent4 3 14 2" xfId="7401" xr:uid="{046D7823-E93C-47F1-B437-BE0FA5F8D185}"/>
    <cellStyle name="40% - Akzent4 3 14 2 2" xfId="26838" xr:uid="{662A8B11-5CB9-4BE7-94FF-DDA14CA048A7}"/>
    <cellStyle name="40% - Akzent4 3 14 3" xfId="26837" xr:uid="{2886615C-2D5E-4B41-877C-9CC79FBD38CC}"/>
    <cellStyle name="40% - Akzent4 3 15" xfId="7402" xr:uid="{3298025A-7D2F-4CE3-92C5-68DE57294F9B}"/>
    <cellStyle name="40% - Akzent4 3 15 2" xfId="7403" xr:uid="{4157734B-6418-4D8A-813A-573BE04D9AB3}"/>
    <cellStyle name="40% - Akzent4 3 15 2 2" xfId="26840" xr:uid="{786A7A4F-3770-4F85-99E9-A09BFF6A63D6}"/>
    <cellStyle name="40% - Akzent4 3 15 3" xfId="26839" xr:uid="{486F043C-0817-4727-A570-A0B95035BECF}"/>
    <cellStyle name="40% - Akzent4 3 16" xfId="7404" xr:uid="{AE716E8E-75D6-4606-88E8-879AF0CBA558}"/>
    <cellStyle name="40% - Akzent4 3 16 2" xfId="7405" xr:uid="{A2D75355-7579-40C4-A72B-68C292E2FCF1}"/>
    <cellStyle name="40% - Akzent4 3 16 2 2" xfId="26842" xr:uid="{3B7C9D09-9B53-4CE9-9D6B-A240BFD51ED1}"/>
    <cellStyle name="40% - Akzent4 3 16 3" xfId="26841" xr:uid="{60E157BA-476F-4C33-B0FB-9090DE0C8800}"/>
    <cellStyle name="40% - Akzent4 3 17" xfId="7406" xr:uid="{F4494BCA-5768-46F0-9D2A-22A4E7BC02C7}"/>
    <cellStyle name="40% - Akzent4 3 17 2" xfId="7407" xr:uid="{BEF0C9BC-0427-4350-A9D0-F18934F28006}"/>
    <cellStyle name="40% - Akzent4 3 17 2 2" xfId="26844" xr:uid="{AE32F3F7-B517-4150-B9D1-362B42844528}"/>
    <cellStyle name="40% - Akzent4 3 17 3" xfId="26843" xr:uid="{00E7E186-6F61-49AC-8435-20F84624465F}"/>
    <cellStyle name="40% - Akzent4 3 18" xfId="7408" xr:uid="{C6472030-84FE-4789-9183-3F0334F19F93}"/>
    <cellStyle name="40% - Akzent4 3 18 2" xfId="7409" xr:uid="{441DBF56-731B-4FC7-A3CD-7D1809500115}"/>
    <cellStyle name="40% - Akzent4 3 18 2 2" xfId="26846" xr:uid="{21ED7362-CD78-4B74-A805-366875C8B572}"/>
    <cellStyle name="40% - Akzent4 3 18 3" xfId="26845" xr:uid="{500AD83F-961A-447A-B5C2-D35A73407278}"/>
    <cellStyle name="40% - Akzent4 3 19" xfId="7410" xr:uid="{05170974-083F-46C4-832C-4CE18C552B01}"/>
    <cellStyle name="40% - Akzent4 3 19 2" xfId="7411" xr:uid="{B4AC210E-B745-4B44-B3CE-E06CF9CB15AE}"/>
    <cellStyle name="40% - Akzent4 3 19 2 2" xfId="26848" xr:uid="{0F6EF8AE-EC67-47C0-A4AA-8E32BD801009}"/>
    <cellStyle name="40% - Akzent4 3 19 3" xfId="26847" xr:uid="{EC73C83F-4BEB-4ECF-BB3D-E108312A1C9B}"/>
    <cellStyle name="40% - Akzent4 3 2" xfId="7412" xr:uid="{0EA93B76-3368-4DEA-9D7B-DF918EFF9756}"/>
    <cellStyle name="40% - Akzent4 3 2 2" xfId="7413" xr:uid="{D2DB9B60-BDFF-46AC-B0ED-167B42F198AE}"/>
    <cellStyle name="40% - Akzent4 3 2 2 2" xfId="7414" xr:uid="{23947A3A-0170-4965-94B2-8974D249625A}"/>
    <cellStyle name="40% - Akzent4 3 2 2 2 2" xfId="26851" xr:uid="{734D7A28-963A-4A0F-85BC-74FE00649B6B}"/>
    <cellStyle name="40% - Akzent4 3 2 2 3" xfId="7415" xr:uid="{C07028A8-B9AF-4755-93CC-2E653946C8C3}"/>
    <cellStyle name="40% - Akzent4 3 2 2 3 2" xfId="26852" xr:uid="{1839C66D-6F76-4FBF-969C-DDBC206C4FFA}"/>
    <cellStyle name="40% - Akzent4 3 2 2 4" xfId="26850" xr:uid="{7E526BD1-697A-42E2-BDBE-C8ACBDC1185E}"/>
    <cellStyle name="40% - Akzent4 3 2 2 5" xfId="40903" xr:uid="{D251A236-5A66-456B-BAB5-1560070F197C}"/>
    <cellStyle name="40% - Akzent4 3 2 3" xfId="7416" xr:uid="{8BF4CF34-1B8D-4590-8919-5CD1ED47FE45}"/>
    <cellStyle name="40% - Akzent4 3 2 3 2" xfId="26853" xr:uid="{52DC8FA6-351D-4569-A70A-437301C4BFD7}"/>
    <cellStyle name="40% - Akzent4 3 2 3 3" xfId="41763" xr:uid="{EF74FEA1-0C54-4F31-97FB-DBA10CE71DE5}"/>
    <cellStyle name="40% - Akzent4 3 2 4" xfId="7417" xr:uid="{1AB70A90-D2A9-4ECD-85F3-4CFC3C0F5311}"/>
    <cellStyle name="40% - Akzent4 3 2 4 2" xfId="26854" xr:uid="{D3F9A6EE-BE6C-49C3-BD22-9EB73A1A102C}"/>
    <cellStyle name="40% - Akzent4 3 2 5" xfId="26849" xr:uid="{590E79C9-1B80-4D51-9953-EC31AE37D086}"/>
    <cellStyle name="40% - Akzent4 3 2 6" xfId="39957" xr:uid="{03737B6E-E690-4F0F-ACEC-4E09D9A97562}"/>
    <cellStyle name="40% - Akzent4 3 20" xfId="7418" xr:uid="{908687A9-3D9B-4D85-AC5B-06DA159C8356}"/>
    <cellStyle name="40% - Akzent4 3 20 2" xfId="7419" xr:uid="{DDBA8EE4-8382-46C6-BE87-AEFEC32DADBB}"/>
    <cellStyle name="40% - Akzent4 3 20 2 2" xfId="26856" xr:uid="{4570525A-8E76-4AB1-B892-37CD0017388D}"/>
    <cellStyle name="40% - Akzent4 3 20 3" xfId="26855" xr:uid="{DBDFFF1E-16A9-45D8-8F82-6C65556EFFF4}"/>
    <cellStyle name="40% - Akzent4 3 21" xfId="7420" xr:uid="{45894686-BC09-497D-AAC2-1B8F47397D64}"/>
    <cellStyle name="40% - Akzent4 3 21 2" xfId="7421" xr:uid="{17FF2DEA-E26F-4E86-B68D-31B8D1EAF197}"/>
    <cellStyle name="40% - Akzent4 3 21 2 2" xfId="26858" xr:uid="{258E8D26-9190-4C76-91F9-DEA437B4DF25}"/>
    <cellStyle name="40% - Akzent4 3 21 3" xfId="26857" xr:uid="{AA6A4EA3-D5AC-4255-8590-40E2225675CB}"/>
    <cellStyle name="40% - Akzent4 3 22" xfId="7422" xr:uid="{01E25F81-FF8E-4460-96B8-7C9646D2DC9D}"/>
    <cellStyle name="40% - Akzent4 3 22 2" xfId="26859" xr:uid="{C80B30FF-3FAA-438F-B1FF-CCCAAA7FBAB1}"/>
    <cellStyle name="40% - Akzent4 3 23" xfId="7423" xr:uid="{39E62E28-8DE3-4492-BAAB-78E314E534A5}"/>
    <cellStyle name="40% - Akzent4 3 23 2" xfId="26860" xr:uid="{F689D876-37DE-4CD5-9B38-1548EA9B422F}"/>
    <cellStyle name="40% - Akzent4 3 24" xfId="26828" xr:uid="{E5367A76-CB24-410E-86FD-8408D1A95F87}"/>
    <cellStyle name="40% - Akzent4 3 25" xfId="39323" xr:uid="{4B5CFECA-45C7-4656-8733-984DB923C09F}"/>
    <cellStyle name="40% - Akzent4 3 26" xfId="7391" xr:uid="{F5ED0C12-3A94-485C-971C-E9AC1E90C464}"/>
    <cellStyle name="40% - Akzent4 3 3" xfId="7424" xr:uid="{006C2F43-7643-40AA-883B-A0C0CC2A184E}"/>
    <cellStyle name="40% - Akzent4 3 3 2" xfId="26861" xr:uid="{51B99541-D082-45E4-8846-7184040D8C42}"/>
    <cellStyle name="40% - Akzent4 3 3 2 2" xfId="40902" xr:uid="{72ED39F4-90A5-4DAA-9452-BCE80C539020}"/>
    <cellStyle name="40% - Akzent4 3 3 3" xfId="41762" xr:uid="{AA595662-0C3C-4EF5-B7BD-7898AB7699EE}"/>
    <cellStyle name="40% - Akzent4 3 3 4" xfId="39956" xr:uid="{62C7A688-D88F-41AC-8D7F-836EB96063C7}"/>
    <cellStyle name="40% - Akzent4 3 4" xfId="7425" xr:uid="{89EADE03-64C7-4AA6-A76C-87D095CAB8E2}"/>
    <cellStyle name="40% - Akzent4 3 4 2" xfId="26862" xr:uid="{2060D01F-C90A-4BF3-AA16-80E860B02321}"/>
    <cellStyle name="40% - Akzent4 3 4 3" xfId="40468" xr:uid="{15441345-A390-4470-8636-A58F8F966448}"/>
    <cellStyle name="40% - Akzent4 3 5" xfId="7426" xr:uid="{64EAB181-7560-42FD-A579-943876F145FB}"/>
    <cellStyle name="40% - Akzent4 3 5 2" xfId="7427" xr:uid="{AD04783C-58EC-41EB-BD73-8B26B9CA8097}"/>
    <cellStyle name="40% - Akzent4 3 5 2 2" xfId="7428" xr:uid="{A5D09FAA-3E80-453E-B711-B37D43E2B728}"/>
    <cellStyle name="40% - Akzent4 3 5 2 2 2" xfId="26865" xr:uid="{21414241-F773-4214-A9C5-F89890262609}"/>
    <cellStyle name="40% - Akzent4 3 5 2 3" xfId="26864" xr:uid="{F6F9E920-293D-4E8C-B970-CB3673D7C7EB}"/>
    <cellStyle name="40% - Akzent4 3 5 3" xfId="26863" xr:uid="{229E3AB3-9007-4083-A593-CB4842568DF8}"/>
    <cellStyle name="40% - Akzent4 3 5 4" xfId="41328" xr:uid="{46B6B54A-F407-4DED-82DE-8C435747AA6C}"/>
    <cellStyle name="40% - Akzent4 3 6" xfId="7429" xr:uid="{A8BB2296-438B-4074-AD38-3682E987F455}"/>
    <cellStyle name="40% - Akzent4 3 6 2" xfId="7430" xr:uid="{A42F168B-2715-4E5D-A405-3E57585C4184}"/>
    <cellStyle name="40% - Akzent4 3 6 2 2" xfId="26867" xr:uid="{B55FE3FB-4644-4B6B-A6B9-6D099090A651}"/>
    <cellStyle name="40% - Akzent4 3 6 3" xfId="26866" xr:uid="{44AA0916-962B-4958-BC42-82CD3A116EA7}"/>
    <cellStyle name="40% - Akzent4 3 7" xfId="7431" xr:uid="{1C38F89C-13EE-43F1-81BB-06799B781D51}"/>
    <cellStyle name="40% - Akzent4 3 7 2" xfId="7432" xr:uid="{0424E1DF-EECB-462C-82A4-4DE06FA0293F}"/>
    <cellStyle name="40% - Akzent4 3 7 2 2" xfId="26869" xr:uid="{01641D4B-67BF-4640-993F-902CA19ED191}"/>
    <cellStyle name="40% - Akzent4 3 7 3" xfId="26868" xr:uid="{E697889D-6CF9-47A2-BB1A-016CE3C363C9}"/>
    <cellStyle name="40% - Akzent4 3 8" xfId="7433" xr:uid="{F11C11E0-3E41-40CD-BB41-63D550D7A097}"/>
    <cellStyle name="40% - Akzent4 3 8 2" xfId="7434" xr:uid="{95732AE2-405C-4CAF-A6F5-E9653CFF9FD5}"/>
    <cellStyle name="40% - Akzent4 3 8 2 2" xfId="26871" xr:uid="{6640765D-5A15-4DF7-B61C-44D3F3B052C2}"/>
    <cellStyle name="40% - Akzent4 3 8 3" xfId="26870" xr:uid="{FC7019BE-0D21-4498-B81B-48333FB868D0}"/>
    <cellStyle name="40% - Akzent4 3 9" xfId="7435" xr:uid="{DCA76CA1-F8BB-4FAE-AC8B-D193B75C3C3C}"/>
    <cellStyle name="40% - Akzent4 3 9 2" xfId="7436" xr:uid="{A5B94723-4AD8-4F4C-960C-6C02077FB471}"/>
    <cellStyle name="40% - Akzent4 3 9 2 2" xfId="26873" xr:uid="{CB12E643-3F3D-4C1A-BEAF-BA608A65CF73}"/>
    <cellStyle name="40% - Akzent4 3 9 3" xfId="26872" xr:uid="{7B41FA5A-3516-40D6-BF7C-0FECE2A9348E}"/>
    <cellStyle name="40% - Akzent4 30" xfId="7437" xr:uid="{9288732F-8546-4899-911A-F9F61B175065}"/>
    <cellStyle name="40% - Akzent4 30 2" xfId="7438" xr:uid="{914C4561-4077-4794-B369-00F5860477A7}"/>
    <cellStyle name="40% - Akzent4 30 2 2" xfId="26875" xr:uid="{C2CA5A97-C7D4-42F0-996A-709429036AD3}"/>
    <cellStyle name="40% - Akzent4 30 3" xfId="7439" xr:uid="{8C8D5518-99FF-4005-8A8A-42054071DAFB}"/>
    <cellStyle name="40% - Akzent4 30 3 2" xfId="26876" xr:uid="{F38FEE8F-312D-423D-8197-5280C71F683F}"/>
    <cellStyle name="40% - Akzent4 30 4" xfId="26874" xr:uid="{ECA72C01-C284-44C0-B0CB-A3CCBE0ACA9F}"/>
    <cellStyle name="40% - Akzent4 31" xfId="7440" xr:uid="{A984A34F-38A0-47DF-A98B-CA6AE157D447}"/>
    <cellStyle name="40% - Akzent4 31 2" xfId="7441" xr:uid="{C8ABFC7A-CB6E-44DE-980F-6C38D2A31057}"/>
    <cellStyle name="40% - Akzent4 31 2 2" xfId="26878" xr:uid="{1E2AE1A5-CB4F-475B-B757-E42D9C3A3F03}"/>
    <cellStyle name="40% - Akzent4 31 3" xfId="7442" xr:uid="{ACFE0963-B6F0-4B2A-8ED1-6C23827042F7}"/>
    <cellStyle name="40% - Akzent4 31 3 2" xfId="26879" xr:uid="{6A451EA2-DBC4-4EE2-87EB-4BDB73B152BB}"/>
    <cellStyle name="40% - Akzent4 31 4" xfId="26877" xr:uid="{05E2B0C7-C3D1-4929-B992-DFC728123836}"/>
    <cellStyle name="40% - Akzent4 32" xfId="7443" xr:uid="{621AD0E6-06F0-470E-9684-4A90A8D6F0DA}"/>
    <cellStyle name="40% - Akzent4 32 2" xfId="7444" xr:uid="{8852D232-76EA-4A4E-9B56-80CD3B99DDEA}"/>
    <cellStyle name="40% - Akzent4 32 2 2" xfId="26881" xr:uid="{A3A5DCFE-E714-4764-B758-78629D0A9A77}"/>
    <cellStyle name="40% - Akzent4 32 3" xfId="7445" xr:uid="{D15C4EE0-0706-4180-8BC1-FDEAC9CC869F}"/>
    <cellStyle name="40% - Akzent4 32 3 2" xfId="26882" xr:uid="{A6D7030D-DB93-40F8-B1CC-0D5987E22551}"/>
    <cellStyle name="40% - Akzent4 32 4" xfId="26880" xr:uid="{F9B0BE74-26D6-429B-8C26-4D02E8586AD6}"/>
    <cellStyle name="40% - Akzent4 33" xfId="7446" xr:uid="{21935759-77ED-4593-8253-2ABA7A1F982E}"/>
    <cellStyle name="40% - Akzent4 33 2" xfId="7447" xr:uid="{B9EE5287-97EB-44D2-A3BA-1C68D84014BE}"/>
    <cellStyle name="40% - Akzent4 33 2 2" xfId="26884" xr:uid="{7A036269-1CFE-4B6A-90C8-530A5F9B7FD8}"/>
    <cellStyle name="40% - Akzent4 33 3" xfId="7448" xr:uid="{C26894FF-8D46-4117-8529-FF54D5D20739}"/>
    <cellStyle name="40% - Akzent4 33 3 2" xfId="26885" xr:uid="{80093164-10D9-45B7-9671-809D1CE845AD}"/>
    <cellStyle name="40% - Akzent4 33 4" xfId="26883" xr:uid="{5A44336C-D3D8-47B5-835E-212B24BDF2B9}"/>
    <cellStyle name="40% - Akzent4 34" xfId="7449" xr:uid="{14C28BFD-C817-4236-8582-D74D881040D6}"/>
    <cellStyle name="40% - Akzent4 34 2" xfId="7450" xr:uid="{9ABEA5AC-C6AC-4018-9F2D-4CAEF5B5202F}"/>
    <cellStyle name="40% - Akzent4 34 2 2" xfId="26887" xr:uid="{A8F86870-C6FC-4EF5-A276-EC320D96D4F2}"/>
    <cellStyle name="40% - Akzent4 34 3" xfId="7451" xr:uid="{ECA83D2A-FB4B-4AB9-AE56-9AC071C9993E}"/>
    <cellStyle name="40% - Akzent4 34 3 2" xfId="26888" xr:uid="{D82A2CFF-7569-4D4E-9461-73ED472B3BF4}"/>
    <cellStyle name="40% - Akzent4 34 4" xfId="26886" xr:uid="{31C6B133-26B3-4E77-A011-7B36831804F7}"/>
    <cellStyle name="40% - Akzent4 35" xfId="7452" xr:uid="{ED3507E8-D79E-4F3D-90B9-444024AA78C3}"/>
    <cellStyle name="40% - Akzent4 35 2" xfId="7453" xr:uid="{E322AB0E-04A1-4654-BE2B-016CD2EE5605}"/>
    <cellStyle name="40% - Akzent4 35 2 2" xfId="26890" xr:uid="{FB1303AB-6609-4916-9C52-A0EEF103A190}"/>
    <cellStyle name="40% - Akzent4 35 3" xfId="7454" xr:uid="{BBACA16B-737E-43F5-9399-E1797D446BA0}"/>
    <cellStyle name="40% - Akzent4 35 3 2" xfId="26891" xr:uid="{F806AE1D-7940-4EA1-80F6-23D757422EC5}"/>
    <cellStyle name="40% - Akzent4 35 4" xfId="26889" xr:uid="{FB128099-E00F-412B-B9CF-47217F7E996F}"/>
    <cellStyle name="40% - Akzent4 36" xfId="7455" xr:uid="{860F515A-5463-4D0A-A664-DA74451F1FD5}"/>
    <cellStyle name="40% - Akzent4 36 2" xfId="7456" xr:uid="{ECCDC535-BFDB-4A26-8AA6-AC52ACB709DD}"/>
    <cellStyle name="40% - Akzent4 36 2 2" xfId="26893" xr:uid="{D264D74C-028E-4D6E-902D-BCCD2E6255C5}"/>
    <cellStyle name="40% - Akzent4 36 3" xfId="7457" xr:uid="{AAE6E319-A4AB-440A-B234-DC50B17BB807}"/>
    <cellStyle name="40% - Akzent4 36 3 2" xfId="26894" xr:uid="{5F9BE966-A183-41EA-8207-8E6E1388C2D4}"/>
    <cellStyle name="40% - Akzent4 36 4" xfId="26892" xr:uid="{B64729DF-7131-4C00-A943-0D8EE10008F0}"/>
    <cellStyle name="40% - Akzent4 37" xfId="7458" xr:uid="{9E891225-45E3-4FC4-B9E3-DAB5F4A67132}"/>
    <cellStyle name="40% - Akzent4 37 2" xfId="7459" xr:uid="{E32DC532-2385-4194-852E-D7E19B1A14D7}"/>
    <cellStyle name="40% - Akzent4 37 2 2" xfId="26896" xr:uid="{47CE73B4-627F-4C41-BD00-C44A3922F11D}"/>
    <cellStyle name="40% - Akzent4 37 3" xfId="26895" xr:uid="{B57E2808-CB54-470F-B6D1-55B596320586}"/>
    <cellStyle name="40% - Akzent4 38" xfId="7460" xr:uid="{1E7B74FC-9574-4EF4-9DD9-6F0A7159233C}"/>
    <cellStyle name="40% - Akzent4 38 2" xfId="7461" xr:uid="{4181EA80-EFE5-46A9-AA33-FE31E107DB54}"/>
    <cellStyle name="40% - Akzent4 38 2 2" xfId="26898" xr:uid="{F4F835C4-59CB-4935-9DB0-410C45F2EC59}"/>
    <cellStyle name="40% - Akzent4 38 3" xfId="26897" xr:uid="{6AA82F49-8D71-4BAC-B096-00D4EED60907}"/>
    <cellStyle name="40% - Akzent4 39" xfId="7462" xr:uid="{BF712021-759C-44C3-99FA-0770365C4792}"/>
    <cellStyle name="40% - Akzent4 39 2" xfId="7463" xr:uid="{3A4CF0C5-A3C9-4281-9909-7B83927F9CC7}"/>
    <cellStyle name="40% - Akzent4 39 2 2" xfId="26900" xr:uid="{6F0F467A-7836-479A-B573-CC42DABD60B7}"/>
    <cellStyle name="40% - Akzent4 39 3" xfId="26899" xr:uid="{2336290A-DF5F-4179-BC76-200D308D47AF}"/>
    <cellStyle name="40% - Akzent4 4" xfId="134" xr:uid="{E325C164-083B-4521-92D9-B5D41970D174}"/>
    <cellStyle name="40% - Akzent4 4 10" xfId="7465" xr:uid="{DCCB7412-F648-4040-98BE-3543BDB431BB}"/>
    <cellStyle name="40% - Akzent4 4 10 2" xfId="7466" xr:uid="{371CFB60-C180-4195-9896-32C2A2B2E5DA}"/>
    <cellStyle name="40% - Akzent4 4 10 2 2" xfId="26903" xr:uid="{751E3E23-CD3F-47BC-9104-B9C887339C3A}"/>
    <cellStyle name="40% - Akzent4 4 10 3" xfId="26902" xr:uid="{62B2D5A4-8334-47DC-947E-6AA0D03D1E58}"/>
    <cellStyle name="40% - Akzent4 4 11" xfId="7467" xr:uid="{186A014E-4AD5-48A0-A393-0244E274E30F}"/>
    <cellStyle name="40% - Akzent4 4 11 2" xfId="7468" xr:uid="{1897814C-9DD2-4E99-97A6-C1F1D2F0ABA6}"/>
    <cellStyle name="40% - Akzent4 4 11 2 2" xfId="26905" xr:uid="{5C3D6907-D360-41A6-AC99-A0260B77BF8F}"/>
    <cellStyle name="40% - Akzent4 4 11 3" xfId="26904" xr:uid="{EBFAA5B6-3940-40F6-8010-5D8B3CDFCC08}"/>
    <cellStyle name="40% - Akzent4 4 12" xfId="7469" xr:uid="{A448E229-3408-44BE-9DB5-0EEE0004E214}"/>
    <cellStyle name="40% - Akzent4 4 12 2" xfId="7470" xr:uid="{7D8D5FA7-6D51-4865-A969-31A764820F81}"/>
    <cellStyle name="40% - Akzent4 4 12 2 2" xfId="26907" xr:uid="{C5BC88A3-C3A6-4262-9254-50654B49AF35}"/>
    <cellStyle name="40% - Akzent4 4 12 3" xfId="26906" xr:uid="{87C10C07-C11F-4FFC-B098-ED24B951F9BB}"/>
    <cellStyle name="40% - Akzent4 4 13" xfId="7471" xr:uid="{5AE8D6A7-589A-479E-8E5D-86BDB1A5DA13}"/>
    <cellStyle name="40% - Akzent4 4 13 2" xfId="7472" xr:uid="{BC7C5C91-7A93-4EF4-9ABA-921E2F732A78}"/>
    <cellStyle name="40% - Akzent4 4 13 2 2" xfId="26909" xr:uid="{E818AC96-8258-4D21-BA47-4BE815309452}"/>
    <cellStyle name="40% - Akzent4 4 13 3" xfId="26908" xr:uid="{E9F70C91-A909-41EC-A19D-A96C129F6E4B}"/>
    <cellStyle name="40% - Akzent4 4 14" xfId="7473" xr:uid="{22DFC061-3130-401B-8FF4-76488C6728C0}"/>
    <cellStyle name="40% - Akzent4 4 14 2" xfId="7474" xr:uid="{21721F75-89B1-444D-86F2-7ED1C60D78C2}"/>
    <cellStyle name="40% - Akzent4 4 14 2 2" xfId="26911" xr:uid="{0E8CEA53-2E99-4793-9895-37EC6D1BA38A}"/>
    <cellStyle name="40% - Akzent4 4 14 3" xfId="26910" xr:uid="{CF799015-B5FA-42A8-ACF6-37EF46B25841}"/>
    <cellStyle name="40% - Akzent4 4 15" xfId="7475" xr:uid="{77FB3049-88ED-4216-BFE7-ED893A4229CD}"/>
    <cellStyle name="40% - Akzent4 4 15 2" xfId="7476" xr:uid="{0A1F175D-F78A-4786-86F8-93C0702AC8CC}"/>
    <cellStyle name="40% - Akzent4 4 15 2 2" xfId="26913" xr:uid="{9D679E87-CF8D-4FD1-B19C-A87137669874}"/>
    <cellStyle name="40% - Akzent4 4 15 3" xfId="26912" xr:uid="{BDD6B372-6FED-4FF7-96EA-EE553A766356}"/>
    <cellStyle name="40% - Akzent4 4 16" xfId="7477" xr:uid="{216880F2-64AC-4441-B328-EDCD92BAA408}"/>
    <cellStyle name="40% - Akzent4 4 16 2" xfId="7478" xr:uid="{628F5EDE-BEE1-4FB4-A104-FAD161CCDB90}"/>
    <cellStyle name="40% - Akzent4 4 16 2 2" xfId="26915" xr:uid="{D50B5837-8F85-4FE9-B627-E8CFDF2F8CD3}"/>
    <cellStyle name="40% - Akzent4 4 16 3" xfId="26914" xr:uid="{C442D571-2E42-4E6A-AF76-D72FCEB98626}"/>
    <cellStyle name="40% - Akzent4 4 17" xfId="7479" xr:uid="{0C52A12C-1041-4DDE-9607-8102551AB835}"/>
    <cellStyle name="40% - Akzent4 4 17 2" xfId="7480" xr:uid="{EFCEDE92-3A50-4FB3-9899-E32D3C9BEB18}"/>
    <cellStyle name="40% - Akzent4 4 17 2 2" xfId="26917" xr:uid="{55D43D75-21B0-4D01-9B48-963F38282FB0}"/>
    <cellStyle name="40% - Akzent4 4 17 3" xfId="26916" xr:uid="{81E5DC86-4957-464D-A471-2E3991988D45}"/>
    <cellStyle name="40% - Akzent4 4 18" xfId="7481" xr:uid="{E745EDD9-2F94-4E64-8C02-73984B41F8AA}"/>
    <cellStyle name="40% - Akzent4 4 18 2" xfId="7482" xr:uid="{1635169C-D764-467F-A79E-1424D7CEC8B5}"/>
    <cellStyle name="40% - Akzent4 4 18 2 2" xfId="26919" xr:uid="{2923651B-4193-4263-87DE-53C63F320FD7}"/>
    <cellStyle name="40% - Akzent4 4 18 3" xfId="26918" xr:uid="{8FCE661D-D760-4EB5-848C-6956D0E12755}"/>
    <cellStyle name="40% - Akzent4 4 19" xfId="7483" xr:uid="{4BD75FCF-89C2-422D-9D7B-3EA2ACC0B033}"/>
    <cellStyle name="40% - Akzent4 4 19 2" xfId="7484" xr:uid="{EF3F1EF6-6A33-4D81-A476-A591402B44A2}"/>
    <cellStyle name="40% - Akzent4 4 19 2 2" xfId="26921" xr:uid="{AADBA5CC-71FC-4EA5-B795-EB3E97C0EA89}"/>
    <cellStyle name="40% - Akzent4 4 19 3" xfId="26920" xr:uid="{9C3DB89C-02CB-4484-9262-CC02521179AC}"/>
    <cellStyle name="40% - Akzent4 4 2" xfId="7485" xr:uid="{0C227AC3-142A-4252-BB26-6F299CFB8BA1}"/>
    <cellStyle name="40% - Akzent4 4 2 2" xfId="7486" xr:uid="{834833E5-DAF8-4BE0-B0E2-6ECC5BEC6A9C}"/>
    <cellStyle name="40% - Akzent4 4 2 2 2" xfId="7487" xr:uid="{A9D6BA29-DBDA-4350-9538-CD9E833277D5}"/>
    <cellStyle name="40% - Akzent4 4 2 2 2 2" xfId="26924" xr:uid="{FAB819EC-ED19-41F9-B440-34038C8695B9}"/>
    <cellStyle name="40% - Akzent4 4 2 2 3" xfId="26923" xr:uid="{3C99EDAA-DA6C-4E5C-8F5D-A03673BCE9C1}"/>
    <cellStyle name="40% - Akzent4 4 2 2 4" xfId="40905" xr:uid="{60C0336C-9AC7-4FE8-AE98-772989A9419A}"/>
    <cellStyle name="40% - Akzent4 4 2 3" xfId="26922" xr:uid="{94FBB1BD-A64B-44DD-9B31-900513798ECD}"/>
    <cellStyle name="40% - Akzent4 4 2 3 2" xfId="41765" xr:uid="{B3DDA94F-F261-4495-99B8-BBB36863769B}"/>
    <cellStyle name="40% - Akzent4 4 2 4" xfId="39959" xr:uid="{0BF7990A-9C41-4E1B-A1D4-60175EEBDEF8}"/>
    <cellStyle name="40% - Akzent4 4 20" xfId="7488" xr:uid="{44005CAA-891D-4A33-B0D1-CB2E40EF44A7}"/>
    <cellStyle name="40% - Akzent4 4 20 2" xfId="7489" xr:uid="{63D448AE-FDF7-4140-AFC4-47D2B727D965}"/>
    <cellStyle name="40% - Akzent4 4 20 2 2" xfId="26926" xr:uid="{D7E90CB0-060C-4925-886C-B002016CA8B4}"/>
    <cellStyle name="40% - Akzent4 4 20 3" xfId="26925" xr:uid="{7B84E717-D448-4573-B093-99C62BA5FF8D}"/>
    <cellStyle name="40% - Akzent4 4 21" xfId="7490" xr:uid="{0AE76DE2-D294-4865-8971-2EAFB1117D4A}"/>
    <cellStyle name="40% - Akzent4 4 21 2" xfId="7491" xr:uid="{83743050-2BFE-46CE-9D58-6BF9EC4BFCC5}"/>
    <cellStyle name="40% - Akzent4 4 21 2 2" xfId="26928" xr:uid="{4A06AC86-1DC5-49EE-8357-BA71475AB9CF}"/>
    <cellStyle name="40% - Akzent4 4 21 3" xfId="26927" xr:uid="{50791B84-EC6C-4C37-AB2C-07B3DBA2F391}"/>
    <cellStyle name="40% - Akzent4 4 22" xfId="7492" xr:uid="{7F41C857-8A17-4248-91DD-37100CBC8F52}"/>
    <cellStyle name="40% - Akzent4 4 22 2" xfId="26929" xr:uid="{9CC9778B-3336-465F-AF9B-DD5D6BDDF2B0}"/>
    <cellStyle name="40% - Akzent4 4 23" xfId="7493" xr:uid="{7FFBD04B-F013-4224-97CF-17B47C7671CB}"/>
    <cellStyle name="40% - Akzent4 4 23 2" xfId="26930" xr:uid="{3E4183B4-475C-4E6C-880E-BE22AE46D66C}"/>
    <cellStyle name="40% - Akzent4 4 24" xfId="26901" xr:uid="{2CE92ADA-518F-4B10-842D-37E2C5B50DE9}"/>
    <cellStyle name="40% - Akzent4 4 25" xfId="39324" xr:uid="{178F5441-FD35-4F21-BB71-9E474D612D9F}"/>
    <cellStyle name="40% - Akzent4 4 26" xfId="7464" xr:uid="{CB5FAA29-6851-4554-B158-61D80866119B}"/>
    <cellStyle name="40% - Akzent4 4 3" xfId="7494" xr:uid="{54CDC62E-2AE9-4134-994A-72FB19A32092}"/>
    <cellStyle name="40% - Akzent4 4 3 2" xfId="7495" xr:uid="{942C209A-3A3E-4918-88FD-61608DE68A06}"/>
    <cellStyle name="40% - Akzent4 4 3 2 2" xfId="26932" xr:uid="{E122364A-E4E4-4B8D-92CD-F140C3C80CD1}"/>
    <cellStyle name="40% - Akzent4 4 3 2 3" xfId="40904" xr:uid="{8C1BFEFE-97DB-4890-8A5E-B231335335CD}"/>
    <cellStyle name="40% - Akzent4 4 3 3" xfId="26931" xr:uid="{2ECDB2F8-6159-4B5A-BFA3-9826653B0304}"/>
    <cellStyle name="40% - Akzent4 4 3 3 2" xfId="41764" xr:uid="{B1F27DF6-3739-4F58-B6A9-DEC6EE744323}"/>
    <cellStyle name="40% - Akzent4 4 3 4" xfId="39958" xr:uid="{EBD67094-D0DD-41C3-881D-04D43DF4E6E1}"/>
    <cellStyle name="40% - Akzent4 4 4" xfId="7496" xr:uid="{007B7E1B-3131-4700-B210-F0EC068C23CD}"/>
    <cellStyle name="40% - Akzent4 4 4 2" xfId="7497" xr:uid="{5780D7A4-E48F-4D8D-99C0-6D0CC2FD3911}"/>
    <cellStyle name="40% - Akzent4 4 4 2 2" xfId="26934" xr:uid="{A6131DBF-B7A8-4C5B-A6AE-ED5C7F127895}"/>
    <cellStyle name="40% - Akzent4 4 4 3" xfId="26933" xr:uid="{0881EFC2-226C-4150-96E2-7109A773221D}"/>
    <cellStyle name="40% - Akzent4 4 4 4" xfId="40469" xr:uid="{49C07A5D-2D5D-4A95-8805-2385F0BF96E7}"/>
    <cellStyle name="40% - Akzent4 4 5" xfId="7498" xr:uid="{745B7C71-5275-4C92-844C-79450F837765}"/>
    <cellStyle name="40% - Akzent4 4 5 2" xfId="7499" xr:uid="{1E5F5628-F041-4F55-8D49-25F1CD4F8515}"/>
    <cellStyle name="40% - Akzent4 4 5 2 2" xfId="26936" xr:uid="{28B4EE0D-842C-4255-999A-B453567FE80C}"/>
    <cellStyle name="40% - Akzent4 4 5 3" xfId="26935" xr:uid="{FEE3B7A8-3F56-4D54-9F08-71CD44C30F03}"/>
    <cellStyle name="40% - Akzent4 4 5 4" xfId="41329" xr:uid="{C01E61AD-4821-4713-AF5D-F19230DB8CCF}"/>
    <cellStyle name="40% - Akzent4 4 6" xfId="7500" xr:uid="{9A35AF7B-966B-45C3-88C2-C6DDCDDD23B7}"/>
    <cellStyle name="40% - Akzent4 4 6 2" xfId="7501" xr:uid="{6F5B26AB-38FF-4484-A9AB-CF658B406553}"/>
    <cellStyle name="40% - Akzent4 4 6 2 2" xfId="26938" xr:uid="{374F6DF1-A402-4A4F-9068-43D1560376ED}"/>
    <cellStyle name="40% - Akzent4 4 6 3" xfId="26937" xr:uid="{37CE2F06-56A9-47E9-924D-76592D9C8291}"/>
    <cellStyle name="40% - Akzent4 4 7" xfId="7502" xr:uid="{03E0BAFC-E2DF-4CDE-AB00-31779064466F}"/>
    <cellStyle name="40% - Akzent4 4 7 2" xfId="7503" xr:uid="{1D84E6A1-6D06-452A-89AF-6D6A446BFDCC}"/>
    <cellStyle name="40% - Akzent4 4 7 2 2" xfId="26940" xr:uid="{128A21D7-BC14-4E5C-B630-E5ECF75422A9}"/>
    <cellStyle name="40% - Akzent4 4 7 3" xfId="26939" xr:uid="{77080C68-307C-4A6B-B852-FC3EBDFD4450}"/>
    <cellStyle name="40% - Akzent4 4 8" xfId="7504" xr:uid="{ACD07D20-5864-4BCD-9528-AEB3FE568AD4}"/>
    <cellStyle name="40% - Akzent4 4 8 2" xfId="7505" xr:uid="{AE3136DF-E362-4A6D-9194-29E86A0BB15C}"/>
    <cellStyle name="40% - Akzent4 4 8 2 2" xfId="26942" xr:uid="{8B22AA82-B95C-42FD-B0FD-5E679FC2A1CE}"/>
    <cellStyle name="40% - Akzent4 4 8 3" xfId="26941" xr:uid="{4F8F2C40-4A18-4936-8C13-00EAC0F814D4}"/>
    <cellStyle name="40% - Akzent4 4 9" xfId="7506" xr:uid="{A0549C14-B96B-44F5-BA4A-D757CD6F70B9}"/>
    <cellStyle name="40% - Akzent4 4 9 2" xfId="7507" xr:uid="{BC56D306-D9C4-408F-A635-6AAC1DC9A97F}"/>
    <cellStyle name="40% - Akzent4 4 9 2 2" xfId="26944" xr:uid="{5A15776B-EE8C-4AF3-98CB-079D5E9DA0E0}"/>
    <cellStyle name="40% - Akzent4 4 9 3" xfId="26943" xr:uid="{2F7E8B01-EBC1-4B04-9C17-D55516FA5C4D}"/>
    <cellStyle name="40% - Akzent4 40" xfId="7508" xr:uid="{37061319-F9EB-4122-99D2-7375216AA31F}"/>
    <cellStyle name="40% - Akzent4 40 2" xfId="7509" xr:uid="{5D9D3881-0FF5-4C77-82C4-09AD727D60D9}"/>
    <cellStyle name="40% - Akzent4 40 2 2" xfId="26946" xr:uid="{FB395948-F2E4-478C-BA4A-B849AE8DC14A}"/>
    <cellStyle name="40% - Akzent4 40 3" xfId="26945" xr:uid="{3749613A-5FE1-4E10-8570-3C6AE5654A4A}"/>
    <cellStyle name="40% - Akzent4 41" xfId="7510" xr:uid="{2A56304B-34BF-4521-8276-4EC5CE189CEC}"/>
    <cellStyle name="40% - Akzent4 41 2" xfId="7511" xr:uid="{AB0F96BA-C375-4E47-A5E4-FE98F03A1A4B}"/>
    <cellStyle name="40% - Akzent4 41 2 2" xfId="26948" xr:uid="{C8EB013A-F126-4EB6-BA0B-40E63D1123DA}"/>
    <cellStyle name="40% - Akzent4 41 3" xfId="26947" xr:uid="{A536B68D-AD2F-49E4-B74A-3793178B629C}"/>
    <cellStyle name="40% - Akzent4 42" xfId="7512" xr:uid="{8BC62A3D-4F22-4589-889D-9E5EDAD2F9B1}"/>
    <cellStyle name="40% - Akzent4 42 2" xfId="7513" xr:uid="{DAE43F96-4E19-4E04-A492-8D6C94A4A355}"/>
    <cellStyle name="40% - Akzent4 42 2 2" xfId="26950" xr:uid="{26539D8A-29D9-4A8E-8B98-1B84B92B91D2}"/>
    <cellStyle name="40% - Akzent4 42 3" xfId="26949" xr:uid="{C230B8EE-5443-47DF-92A7-E70E6CEEF3EF}"/>
    <cellStyle name="40% - Akzent4 43" xfId="7514" xr:uid="{286339B8-A529-437E-A5BA-820E013462BC}"/>
    <cellStyle name="40% - Akzent4 43 2" xfId="7515" xr:uid="{5661FDC0-1F89-4D86-B47E-700D53BE827E}"/>
    <cellStyle name="40% - Akzent4 43 2 2" xfId="26952" xr:uid="{EB42B382-339E-4893-8EA1-B6B049F6CB89}"/>
    <cellStyle name="40% - Akzent4 43 3" xfId="26951" xr:uid="{BE034CB0-BF23-4461-A341-55B95C312D85}"/>
    <cellStyle name="40% - Akzent4 44" xfId="7516" xr:uid="{EF0829BD-5F14-4CA7-AFC7-2530EE744C7B}"/>
    <cellStyle name="40% - Akzent4 44 2" xfId="7517" xr:uid="{0C6F7EC6-9B9C-45A8-97D8-4FB2185BCA55}"/>
    <cellStyle name="40% - Akzent4 44 2 2" xfId="26954" xr:uid="{C971454B-3BD8-4C3A-9571-ABD12E382BD1}"/>
    <cellStyle name="40% - Akzent4 44 3" xfId="26953" xr:uid="{725406D4-5C83-4273-B3A6-375D7678E2E0}"/>
    <cellStyle name="40% - Akzent4 45" xfId="7518" xr:uid="{83BE7DE5-46B4-4122-BD7F-088A88FA9B18}"/>
    <cellStyle name="40% - Akzent4 45 2" xfId="7519" xr:uid="{E1D815A4-30FF-474D-9266-5DBB33C7A481}"/>
    <cellStyle name="40% - Akzent4 45 2 2" xfId="26956" xr:uid="{E5135ED5-9206-47A0-A2E2-6340B738A9EA}"/>
    <cellStyle name="40% - Akzent4 45 3" xfId="26955" xr:uid="{0B7C2714-EE60-4D8F-B5C8-58236F395D40}"/>
    <cellStyle name="40% - Akzent4 46" xfId="7520" xr:uid="{BEB4D480-B49D-4C25-9239-288565C368AC}"/>
    <cellStyle name="40% - Akzent4 46 2" xfId="7521" xr:uid="{52F6067B-2823-418A-86A4-D2AC5F1CD70B}"/>
    <cellStyle name="40% - Akzent4 46 2 2" xfId="26958" xr:uid="{B8354633-38A8-4796-A004-92834243A3EF}"/>
    <cellStyle name="40% - Akzent4 46 3" xfId="26957" xr:uid="{D61B2767-6E6D-44F7-AECE-5A43C0C38642}"/>
    <cellStyle name="40% - Akzent4 47" xfId="7522" xr:uid="{638479B9-E76A-4975-9DF2-48DD0A9C28FB}"/>
    <cellStyle name="40% - Akzent4 47 2" xfId="7523" xr:uid="{27E2A1D7-BDC1-4801-B635-4A9409B62539}"/>
    <cellStyle name="40% - Akzent4 47 2 2" xfId="26960" xr:uid="{6C735F32-F319-4E6B-8CF1-A4BB6A5DCB9F}"/>
    <cellStyle name="40% - Akzent4 47 3" xfId="26959" xr:uid="{4A08D5FD-A94F-4A79-92F0-5570D4287ECF}"/>
    <cellStyle name="40% - Akzent4 48" xfId="7524" xr:uid="{857EDA25-B8CF-4FBB-8E42-0AA60D412615}"/>
    <cellStyle name="40% - Akzent4 48 2" xfId="7525" xr:uid="{E2A08E8F-2CE2-415B-896A-7D3436B08138}"/>
    <cellStyle name="40% - Akzent4 48 2 2" xfId="26962" xr:uid="{CF0EE19E-75AC-4423-A3AC-CD48E821AFAA}"/>
    <cellStyle name="40% - Akzent4 48 3" xfId="26961" xr:uid="{370BBF32-85F4-4EF1-A8AA-1E3827755EF5}"/>
    <cellStyle name="40% - Akzent4 49" xfId="7526" xr:uid="{CA8BB46A-FCD2-4536-8493-2F6B063679FD}"/>
    <cellStyle name="40% - Akzent4 49 2" xfId="7527" xr:uid="{8A72D4F5-EF69-4351-86E3-FB1CC6B195D4}"/>
    <cellStyle name="40% - Akzent4 49 2 2" xfId="26964" xr:uid="{B641DFF5-F374-4C5A-A472-4BE45F788F2D}"/>
    <cellStyle name="40% - Akzent4 49 3" xfId="26963" xr:uid="{DBC822CC-DAEE-4B4E-965C-472DF021229C}"/>
    <cellStyle name="40% - Akzent4 5" xfId="7528" xr:uid="{2BE8A627-EA7E-4F11-B9AB-E7325B0D66F3}"/>
    <cellStyle name="40% - Akzent4 5 10" xfId="7529" xr:uid="{8E1A361E-E41E-49F1-8557-4861321453C7}"/>
    <cellStyle name="40% - Akzent4 5 10 2" xfId="7530" xr:uid="{784A4328-F58F-4C29-BB58-F5B3A5EEEAAE}"/>
    <cellStyle name="40% - Akzent4 5 10 2 2" xfId="26967" xr:uid="{D6C17923-EF5E-45AA-90FB-459190A7EF0E}"/>
    <cellStyle name="40% - Akzent4 5 10 3" xfId="26966" xr:uid="{0D9F770E-E786-4DFC-8C0F-71FAC676EA28}"/>
    <cellStyle name="40% - Akzent4 5 11" xfId="7531" xr:uid="{0C888FD3-282F-4285-8B7D-7FCEFBD96DC1}"/>
    <cellStyle name="40% - Akzent4 5 11 2" xfId="7532" xr:uid="{13D62AB2-732A-4102-9268-3FB5480C4C1A}"/>
    <cellStyle name="40% - Akzent4 5 11 2 2" xfId="26969" xr:uid="{5D281210-7A01-46B1-99DF-9C8F2FA84515}"/>
    <cellStyle name="40% - Akzent4 5 11 3" xfId="26968" xr:uid="{332F370B-49A9-479F-A3D6-82AEE2FA478F}"/>
    <cellStyle name="40% - Akzent4 5 12" xfId="7533" xr:uid="{A1BC99C7-D41B-4898-A793-B7A2E9B136C6}"/>
    <cellStyle name="40% - Akzent4 5 12 2" xfId="7534" xr:uid="{2B459DF0-43B6-45EE-B9F9-E4CEE93F1F04}"/>
    <cellStyle name="40% - Akzent4 5 12 2 2" xfId="26971" xr:uid="{388F1BEE-7AC7-4EDB-8621-D73681D9BEC1}"/>
    <cellStyle name="40% - Akzent4 5 12 3" xfId="26970" xr:uid="{C5B93B5A-86EF-4D89-86A3-1595302D0794}"/>
    <cellStyle name="40% - Akzent4 5 13" xfId="7535" xr:uid="{BA14859D-74EF-48B7-924A-BAF918FA9C4A}"/>
    <cellStyle name="40% - Akzent4 5 13 2" xfId="7536" xr:uid="{6C69218A-D6C6-4D28-9595-1FEEA625CEC1}"/>
    <cellStyle name="40% - Akzent4 5 13 2 2" xfId="26973" xr:uid="{361E4405-ED34-49CD-8351-FD6BFC7B72AC}"/>
    <cellStyle name="40% - Akzent4 5 13 3" xfId="26972" xr:uid="{BD0FFA4F-03F3-4322-845F-C42C20782E12}"/>
    <cellStyle name="40% - Akzent4 5 14" xfId="7537" xr:uid="{9BAD236C-726E-4DFE-8C0D-B590197A14A0}"/>
    <cellStyle name="40% - Akzent4 5 14 2" xfId="7538" xr:uid="{43F7C6DE-17BC-4157-89A7-C03280760D0E}"/>
    <cellStyle name="40% - Akzent4 5 14 2 2" xfId="26975" xr:uid="{8F084864-4D36-4A34-8BA7-CFDB216F52F5}"/>
    <cellStyle name="40% - Akzent4 5 14 3" xfId="26974" xr:uid="{ED99F46C-9800-49DB-B14D-8893460896DF}"/>
    <cellStyle name="40% - Akzent4 5 15" xfId="7539" xr:uid="{D69B8093-B6E8-4E05-96D1-3CDD35FEB48D}"/>
    <cellStyle name="40% - Akzent4 5 15 2" xfId="7540" xr:uid="{83BAA8F2-BA3B-4292-B033-D82911CB364B}"/>
    <cellStyle name="40% - Akzent4 5 15 2 2" xfId="26977" xr:uid="{92AA225E-994A-4CDA-8A29-99EFCA805898}"/>
    <cellStyle name="40% - Akzent4 5 15 3" xfId="26976" xr:uid="{AC10139C-C179-4E81-A53C-91D90D1C3113}"/>
    <cellStyle name="40% - Akzent4 5 16" xfId="7541" xr:uid="{6D5914C1-DEAD-4DDA-B825-A1706DBB8DA4}"/>
    <cellStyle name="40% - Akzent4 5 16 2" xfId="7542" xr:uid="{6D38A8ED-D51D-4C61-B3FF-A147D18A4D66}"/>
    <cellStyle name="40% - Akzent4 5 16 2 2" xfId="26979" xr:uid="{FD63F083-3D8D-446C-A35A-3C4C59C98C19}"/>
    <cellStyle name="40% - Akzent4 5 16 3" xfId="26978" xr:uid="{C0F4E76D-2E7E-4AB1-BC9A-0B882CCCB460}"/>
    <cellStyle name="40% - Akzent4 5 17" xfId="7543" xr:uid="{F36A7442-1F90-4BD7-BC08-05EDB3DC8D74}"/>
    <cellStyle name="40% - Akzent4 5 17 2" xfId="7544" xr:uid="{80F06D43-CE80-4AE2-9933-74CC99B7AAD8}"/>
    <cellStyle name="40% - Akzent4 5 17 2 2" xfId="26981" xr:uid="{56F87AAC-4A13-438E-BAF4-72FA7565011E}"/>
    <cellStyle name="40% - Akzent4 5 17 3" xfId="26980" xr:uid="{44172ECD-6FA0-49E8-837B-2C613A9FCDA7}"/>
    <cellStyle name="40% - Akzent4 5 18" xfId="7545" xr:uid="{7D553772-9BF4-4966-BE8F-F50478FD57E8}"/>
    <cellStyle name="40% - Akzent4 5 18 2" xfId="7546" xr:uid="{A2454967-283D-4AD7-BF57-1D443A54106E}"/>
    <cellStyle name="40% - Akzent4 5 18 2 2" xfId="26983" xr:uid="{F3478ED4-187F-443E-8726-D4DDD2106A31}"/>
    <cellStyle name="40% - Akzent4 5 18 3" xfId="26982" xr:uid="{F511A119-C5F5-4A8D-9813-8D04AD4A0694}"/>
    <cellStyle name="40% - Akzent4 5 19" xfId="7547" xr:uid="{4A6E271D-2124-4BDB-8D2E-541E08CCB724}"/>
    <cellStyle name="40% - Akzent4 5 19 2" xfId="7548" xr:uid="{9D818E31-F731-4085-9626-2C50148CE6A3}"/>
    <cellStyle name="40% - Akzent4 5 19 2 2" xfId="26985" xr:uid="{101B1C34-9871-41BA-8869-5E6F579F9FB7}"/>
    <cellStyle name="40% - Akzent4 5 19 3" xfId="26984" xr:uid="{F46B9D70-71F9-4AE2-875E-665200A93CEE}"/>
    <cellStyle name="40% - Akzent4 5 2" xfId="7549" xr:uid="{499E88AF-E316-4B1A-B204-FB8A6F5A4FA4}"/>
    <cellStyle name="40% - Akzent4 5 2 2" xfId="7550" xr:uid="{05538161-1CC7-47DE-BB70-A849CEE301A9}"/>
    <cellStyle name="40% - Akzent4 5 2 2 2" xfId="26987" xr:uid="{E6E5A3D4-A04E-4257-9915-5EA6FE1B7F5B}"/>
    <cellStyle name="40% - Akzent4 5 2 3" xfId="26986" xr:uid="{D206F8C2-BDF8-4430-A0F9-A2585B4E4995}"/>
    <cellStyle name="40% - Akzent4 5 20" xfId="7551" xr:uid="{16E25446-601C-446F-B95B-AF82A2EF4E39}"/>
    <cellStyle name="40% - Akzent4 5 20 2" xfId="7552" xr:uid="{9ACA0732-803F-40E2-A704-01D601DBAD1F}"/>
    <cellStyle name="40% - Akzent4 5 20 2 2" xfId="26989" xr:uid="{93D015D4-3EC3-4316-8E24-3DC8B027DA24}"/>
    <cellStyle name="40% - Akzent4 5 20 3" xfId="26988" xr:uid="{857ADD79-BBE1-421D-8F64-66CF4B34304F}"/>
    <cellStyle name="40% - Akzent4 5 21" xfId="7553" xr:uid="{836A3C1B-A4C9-4C9D-89FC-7CA04C744B2F}"/>
    <cellStyle name="40% - Akzent4 5 21 2" xfId="7554" xr:uid="{EBE4DA0A-5E85-4409-B440-170412701400}"/>
    <cellStyle name="40% - Akzent4 5 21 2 2" xfId="26991" xr:uid="{B01B067E-419F-429C-A476-C78E10293E9E}"/>
    <cellStyle name="40% - Akzent4 5 21 3" xfId="26990" xr:uid="{EE2A1986-5639-4270-905A-A1CEE09E559B}"/>
    <cellStyle name="40% - Akzent4 5 22" xfId="7555" xr:uid="{20456467-B2EB-419C-859D-58329987D30D}"/>
    <cellStyle name="40% - Akzent4 5 22 2" xfId="26992" xr:uid="{F39AA30B-DC92-456E-BB39-B9CBECD28991}"/>
    <cellStyle name="40% - Akzent4 5 23" xfId="7556" xr:uid="{BCF7B4E1-3699-4278-9D08-03A6253DE7DA}"/>
    <cellStyle name="40% - Akzent4 5 23 2" xfId="26993" xr:uid="{F3389451-5D1F-4203-9295-905BBDD30A5F}"/>
    <cellStyle name="40% - Akzent4 5 24" xfId="26965" xr:uid="{94AC6ACB-7B8C-449F-BCE6-73C4D4B83D0A}"/>
    <cellStyle name="40% - Akzent4 5 25" xfId="39325" xr:uid="{93C7C115-1230-45E0-B3E5-AFD65DCE47BC}"/>
    <cellStyle name="40% - Akzent4 5 3" xfId="7557" xr:uid="{9F4203AF-8450-4D9A-B5A1-FE57B02A91D0}"/>
    <cellStyle name="40% - Akzent4 5 3 2" xfId="7558" xr:uid="{7D9FC958-7947-44C7-9D98-DC2E3F940400}"/>
    <cellStyle name="40% - Akzent4 5 3 2 2" xfId="26995" xr:uid="{D0154CFD-0C4F-4CC6-8D0D-6D41F227E3DD}"/>
    <cellStyle name="40% - Akzent4 5 3 3" xfId="26994" xr:uid="{FBD2B14A-82BC-4CA6-8B08-793A72E9C351}"/>
    <cellStyle name="40% - Akzent4 5 4" xfId="7559" xr:uid="{1FFA2958-CE19-424E-A2B2-93004C83538E}"/>
    <cellStyle name="40% - Akzent4 5 4 2" xfId="7560" xr:uid="{6A0C453A-6D68-40A4-B800-4164C5BB96D9}"/>
    <cellStyle name="40% - Akzent4 5 4 2 2" xfId="26997" xr:uid="{346433A1-3335-4675-8FCA-8EFE328208EC}"/>
    <cellStyle name="40% - Akzent4 5 4 3" xfId="26996" xr:uid="{2A2478BD-947A-4184-90D7-23A4DB2D8D81}"/>
    <cellStyle name="40% - Akzent4 5 5" xfId="7561" xr:uid="{82406558-6B7C-48A7-B131-13326D5769A5}"/>
    <cellStyle name="40% - Akzent4 5 5 2" xfId="7562" xr:uid="{798528B5-4CB3-4227-8D93-89FF61F435F9}"/>
    <cellStyle name="40% - Akzent4 5 5 2 2" xfId="26999" xr:uid="{D8B3CB6D-A9C5-42EB-BBFA-A8F3887250EF}"/>
    <cellStyle name="40% - Akzent4 5 5 3" xfId="26998" xr:uid="{9B525AA8-1641-433B-9EF8-F54D85A3D3F7}"/>
    <cellStyle name="40% - Akzent4 5 6" xfId="7563" xr:uid="{3542EAA4-3A7D-4954-985D-FA4F47FFB52F}"/>
    <cellStyle name="40% - Akzent4 5 6 2" xfId="7564" xr:uid="{24801735-5644-43B1-88CA-F5AE28BBD55E}"/>
    <cellStyle name="40% - Akzent4 5 6 2 2" xfId="27001" xr:uid="{BA14A777-0419-48F2-B45D-6C9B8E695172}"/>
    <cellStyle name="40% - Akzent4 5 6 3" xfId="27000" xr:uid="{3A2703E2-C35E-4677-973C-D8BF28865188}"/>
    <cellStyle name="40% - Akzent4 5 7" xfId="7565" xr:uid="{FDC8B050-1CB3-4377-875A-631959B7FCF5}"/>
    <cellStyle name="40% - Akzent4 5 7 2" xfId="7566" xr:uid="{5E0DF367-E425-4DA9-85C2-6CBD2D135227}"/>
    <cellStyle name="40% - Akzent4 5 7 2 2" xfId="27003" xr:uid="{1C528252-3638-422C-9D36-43430DB163DE}"/>
    <cellStyle name="40% - Akzent4 5 7 3" xfId="27002" xr:uid="{82E53B58-EE35-47B1-A0E2-2847524C27B6}"/>
    <cellStyle name="40% - Akzent4 5 8" xfId="7567" xr:uid="{6C84554E-C86F-479C-9533-5D5C7DBE224A}"/>
    <cellStyle name="40% - Akzent4 5 8 2" xfId="7568" xr:uid="{D7CE627F-AEEC-4131-B423-13246169822E}"/>
    <cellStyle name="40% - Akzent4 5 8 2 2" xfId="27005" xr:uid="{8A6DAFCE-0C03-41E0-9126-562349164772}"/>
    <cellStyle name="40% - Akzent4 5 8 3" xfId="27004" xr:uid="{B0D6A395-BE20-4295-9374-3C9D0F3F4613}"/>
    <cellStyle name="40% - Akzent4 5 9" xfId="7569" xr:uid="{FD4C6FC6-E9F6-431C-A9E2-B40AEE63966E}"/>
    <cellStyle name="40% - Akzent4 5 9 2" xfId="7570" xr:uid="{D4E7FAA3-C731-4375-9222-0B655FEC7C37}"/>
    <cellStyle name="40% - Akzent4 5 9 2 2" xfId="27007" xr:uid="{8E5A45EF-81FC-4C9C-85F7-7EFB5DB3C376}"/>
    <cellStyle name="40% - Akzent4 5 9 3" xfId="27006" xr:uid="{FD1D496E-B486-456E-92A7-5DF6E3F972E6}"/>
    <cellStyle name="40% - Akzent4 50" xfId="7571" xr:uid="{C8D7BD31-AF7B-4F8B-822A-0E188C734AAA}"/>
    <cellStyle name="40% - Akzent4 50 2" xfId="7572" xr:uid="{8071C43C-7493-4C29-ADA3-DBFC20CD4895}"/>
    <cellStyle name="40% - Akzent4 50 2 2" xfId="27009" xr:uid="{AF0459E0-BCDD-4DDD-82A1-1E1F3B165231}"/>
    <cellStyle name="40% - Akzent4 50 3" xfId="27008" xr:uid="{818DE95A-3146-4B90-B428-62C7C420E1FE}"/>
    <cellStyle name="40% - Akzent4 51" xfId="7573" xr:uid="{4128B67E-E7B1-4B73-8196-91F21D83E8E7}"/>
    <cellStyle name="40% - Akzent4 51 2" xfId="7574" xr:uid="{12C9D3AF-E743-437B-B50D-187AA6339964}"/>
    <cellStyle name="40% - Akzent4 51 2 2" xfId="27011" xr:uid="{405821C8-4956-4F6E-816D-8B50B726F6DD}"/>
    <cellStyle name="40% - Akzent4 51 3" xfId="27010" xr:uid="{868F422F-B681-4128-9322-28509D098EA4}"/>
    <cellStyle name="40% - Akzent4 52" xfId="7575" xr:uid="{EA014E9D-A5F7-45D8-8524-5B9B5F1C95B2}"/>
    <cellStyle name="40% - Akzent4 52 2" xfId="7576" xr:uid="{1BEF0527-6ECE-42E5-B9EA-0CD1A9140DA9}"/>
    <cellStyle name="40% - Akzent4 52 2 2" xfId="27013" xr:uid="{D5485E1F-BBCB-47F9-878D-2FBDA2181C9C}"/>
    <cellStyle name="40% - Akzent4 52 3" xfId="27012" xr:uid="{85BD7928-4A34-4452-BBDE-A4EE9DCA7EBE}"/>
    <cellStyle name="40% - Akzent4 53" xfId="7577" xr:uid="{9DC2CE2C-7C3D-49C9-9F20-7381697404A1}"/>
    <cellStyle name="40% - Akzent4 53 2" xfId="7578" xr:uid="{A9D65A04-B120-4FC2-99D5-C2224ACD47A6}"/>
    <cellStyle name="40% - Akzent4 53 2 2" xfId="27015" xr:uid="{81715EE6-92AA-453C-A209-41160A7DD28B}"/>
    <cellStyle name="40% - Akzent4 53 3" xfId="27014" xr:uid="{2E994D0D-5962-450A-AE04-3DCCF2CCA365}"/>
    <cellStyle name="40% - Akzent4 54" xfId="7579" xr:uid="{DA88F106-226B-4535-8029-86191155C3E6}"/>
    <cellStyle name="40% - Akzent4 54 2" xfId="7580" xr:uid="{EC48291C-6E60-4314-830A-0A492DDEAF8F}"/>
    <cellStyle name="40% - Akzent4 54 2 2" xfId="27017" xr:uid="{F975BAD6-44C2-47F3-A68E-B48A4707D808}"/>
    <cellStyle name="40% - Akzent4 54 3" xfId="27016" xr:uid="{1BBED94D-C560-4036-861F-992C075FCD76}"/>
    <cellStyle name="40% - Akzent4 55" xfId="7581" xr:uid="{46A73CB6-3EA2-4646-B576-D6369B8C5C87}"/>
    <cellStyle name="40% - Akzent4 55 2" xfId="7582" xr:uid="{F0C4A382-F552-4C56-9805-3A51F939730A}"/>
    <cellStyle name="40% - Akzent4 55 2 2" xfId="27019" xr:uid="{BDD3B56D-3B44-48A2-9587-0AD962EC3527}"/>
    <cellStyle name="40% - Akzent4 55 3" xfId="27018" xr:uid="{DA706709-5340-4934-824B-38AFC0636F3F}"/>
    <cellStyle name="40% - Akzent4 56" xfId="7583" xr:uid="{9EDEF5C9-065E-4EDC-AB76-0665FFA56AF9}"/>
    <cellStyle name="40% - Akzent4 56 2" xfId="7584" xr:uid="{6C68EFFD-E20B-436D-9466-36184AEE859F}"/>
    <cellStyle name="40% - Akzent4 56 2 2" xfId="27021" xr:uid="{90256E44-F447-4FB5-9E3B-61C50A46BF73}"/>
    <cellStyle name="40% - Akzent4 56 3" xfId="27020" xr:uid="{46E0F03B-F776-41D7-86E0-4D0E725EC21A}"/>
    <cellStyle name="40% - Akzent4 57" xfId="7585" xr:uid="{FFC43659-2C49-4496-B3E7-D19F1B446ABC}"/>
    <cellStyle name="40% - Akzent4 57 2" xfId="7586" xr:uid="{C7A358A1-43C8-484B-B340-CCA6ABAAB42C}"/>
    <cellStyle name="40% - Akzent4 57 2 2" xfId="27023" xr:uid="{84193158-6A7A-4CCA-AAA3-494696CA3766}"/>
    <cellStyle name="40% - Akzent4 57 3" xfId="27022" xr:uid="{942674FC-7BE2-4B65-8A0C-7C62BD451648}"/>
    <cellStyle name="40% - Akzent4 58" xfId="7587" xr:uid="{953AF6FF-CA7D-40E9-A99C-18996522ED61}"/>
    <cellStyle name="40% - Akzent4 58 2" xfId="7588" xr:uid="{86904A1E-82D4-42BF-A9D0-4F76E5E5BC5D}"/>
    <cellStyle name="40% - Akzent4 58 2 2" xfId="27025" xr:uid="{EEF4D652-31D3-4372-88CB-CF36480BFDA7}"/>
    <cellStyle name="40% - Akzent4 58 3" xfId="27024" xr:uid="{A0845C55-C1B2-4861-B41F-4C5C4267B683}"/>
    <cellStyle name="40% - Akzent4 59" xfId="7589" xr:uid="{E7267284-1126-4BF6-9A5E-316A75FD2BF8}"/>
    <cellStyle name="40% - Akzent4 59 2" xfId="7590" xr:uid="{D1234A62-0810-4B25-8F96-60F9B91ABE1A}"/>
    <cellStyle name="40% - Akzent4 59 2 2" xfId="27027" xr:uid="{58AC0C92-8D28-4DFC-A880-4D97C843E3C2}"/>
    <cellStyle name="40% - Akzent4 59 3" xfId="27026" xr:uid="{6E938041-3D02-4065-BD14-80512DDE55CD}"/>
    <cellStyle name="40% - Akzent4 6" xfId="7591" xr:uid="{2AB6204F-73C1-4C2D-9DA1-51785FA2E19A}"/>
    <cellStyle name="40% - Akzent4 6 10" xfId="7592" xr:uid="{B6FD6EA1-04AA-46F5-AA36-1A05122094A0}"/>
    <cellStyle name="40% - Akzent4 6 10 2" xfId="7593" xr:uid="{7D0A7413-7EAF-4BED-A507-DEE7C2E91AA2}"/>
    <cellStyle name="40% - Akzent4 6 10 2 2" xfId="27030" xr:uid="{51D1C2B5-FC9F-4399-AC6B-72723040ED32}"/>
    <cellStyle name="40% - Akzent4 6 10 3" xfId="27029" xr:uid="{B2C1BE0B-86AB-4BB5-8A66-5F66788AD85F}"/>
    <cellStyle name="40% - Akzent4 6 11" xfId="7594" xr:uid="{D5AADC8F-2F3B-482B-8AA8-F39F1EF262D4}"/>
    <cellStyle name="40% - Akzent4 6 11 2" xfId="7595" xr:uid="{AF0B8B7F-EC99-4F59-A282-132E3A5FD4E7}"/>
    <cellStyle name="40% - Akzent4 6 11 2 2" xfId="27032" xr:uid="{A26EFD76-C9A9-48DB-B9FC-B2E94870FBD1}"/>
    <cellStyle name="40% - Akzent4 6 11 3" xfId="27031" xr:uid="{D0B66618-8F68-4751-BF15-159B2AC544AA}"/>
    <cellStyle name="40% - Akzent4 6 12" xfId="7596" xr:uid="{9D994D56-B6CB-42D8-B3AA-9F8FEC65EB16}"/>
    <cellStyle name="40% - Akzent4 6 12 2" xfId="7597" xr:uid="{341E56F9-6600-4B5C-8626-61BC1CB42CB2}"/>
    <cellStyle name="40% - Akzent4 6 12 2 2" xfId="27034" xr:uid="{95EFD522-A983-4780-B3D1-1EA019816F1A}"/>
    <cellStyle name="40% - Akzent4 6 12 3" xfId="27033" xr:uid="{03C33C3B-AF16-431F-AB83-2A43BA2A2C26}"/>
    <cellStyle name="40% - Akzent4 6 13" xfId="7598" xr:uid="{37B5F148-59EE-449B-92AE-FA57E02F84C6}"/>
    <cellStyle name="40% - Akzent4 6 13 2" xfId="7599" xr:uid="{30BC6ABF-0DB5-4EE9-BC73-A87836A58B75}"/>
    <cellStyle name="40% - Akzent4 6 13 2 2" xfId="27036" xr:uid="{7AD9DDE6-E676-485A-AC40-01DD3DB6D2BF}"/>
    <cellStyle name="40% - Akzent4 6 13 3" xfId="27035" xr:uid="{5904CD95-93FA-4473-922B-3DB6E00808B7}"/>
    <cellStyle name="40% - Akzent4 6 14" xfId="7600" xr:uid="{067633A2-FD4A-4AD8-A78B-371F91BF7AFA}"/>
    <cellStyle name="40% - Akzent4 6 14 2" xfId="7601" xr:uid="{4178F06E-2340-423B-B8D9-B203E58B07C4}"/>
    <cellStyle name="40% - Akzent4 6 14 2 2" xfId="27038" xr:uid="{CC1683C1-7548-40D1-8AD2-C339E588D43B}"/>
    <cellStyle name="40% - Akzent4 6 14 3" xfId="27037" xr:uid="{F3ADFCCB-2DFD-42F6-A1D2-BF810959EEB5}"/>
    <cellStyle name="40% - Akzent4 6 15" xfId="7602" xr:uid="{5F144D28-9921-4AA0-B669-1C7D30B5DE07}"/>
    <cellStyle name="40% - Akzent4 6 15 2" xfId="7603" xr:uid="{75D27918-9B1E-430A-99A3-E56FC31E5C54}"/>
    <cellStyle name="40% - Akzent4 6 15 2 2" xfId="27040" xr:uid="{F801B085-6D42-4E61-BF38-3F71394716CB}"/>
    <cellStyle name="40% - Akzent4 6 15 3" xfId="27039" xr:uid="{A4D19E2A-4C62-4166-B9C4-2B94ADC0B3B6}"/>
    <cellStyle name="40% - Akzent4 6 16" xfId="7604" xr:uid="{BBB7AE49-879A-4E72-BB81-F9AD4EDB1CDB}"/>
    <cellStyle name="40% - Akzent4 6 16 2" xfId="7605" xr:uid="{568C853E-8381-4D0C-B136-D6F9909D2A27}"/>
    <cellStyle name="40% - Akzent4 6 16 2 2" xfId="27042" xr:uid="{27E06984-3E5E-4957-AEAE-EB059EFAC9E8}"/>
    <cellStyle name="40% - Akzent4 6 16 3" xfId="27041" xr:uid="{647AAA9D-3464-431D-AF6B-07661A203204}"/>
    <cellStyle name="40% - Akzent4 6 17" xfId="7606" xr:uid="{29A29517-470B-4594-8A7C-283F13FB3D31}"/>
    <cellStyle name="40% - Akzent4 6 17 2" xfId="7607" xr:uid="{94CFC469-1D6B-414C-BF4F-D949A7003752}"/>
    <cellStyle name="40% - Akzent4 6 17 2 2" xfId="27044" xr:uid="{58F2C42A-739F-45FC-8ACD-88C393BC191D}"/>
    <cellStyle name="40% - Akzent4 6 17 3" xfId="27043" xr:uid="{F0E0D322-6C50-4EC5-9C85-6A603EBBC4DE}"/>
    <cellStyle name="40% - Akzent4 6 18" xfId="7608" xr:uid="{4EA3820B-7C56-4EE3-84DA-275A08A07CF4}"/>
    <cellStyle name="40% - Akzent4 6 18 2" xfId="7609" xr:uid="{14A216CC-2DEB-4B05-AF74-A35517E18AB9}"/>
    <cellStyle name="40% - Akzent4 6 18 2 2" xfId="27046" xr:uid="{B512CDBE-9226-414D-B75D-6A03490D2E93}"/>
    <cellStyle name="40% - Akzent4 6 18 3" xfId="27045" xr:uid="{15E5B00B-1627-4386-BA4E-AAFF6E5DBE91}"/>
    <cellStyle name="40% - Akzent4 6 19" xfId="7610" xr:uid="{21C5A142-FEB3-4BD5-8B40-4A26140978B2}"/>
    <cellStyle name="40% - Akzent4 6 19 2" xfId="7611" xr:uid="{4306E85C-E592-455C-9D0A-618552F80396}"/>
    <cellStyle name="40% - Akzent4 6 19 2 2" xfId="27048" xr:uid="{B19E5152-C5E7-4EC0-83BF-001FA32078B4}"/>
    <cellStyle name="40% - Akzent4 6 19 3" xfId="27047" xr:uid="{477E9576-57B3-497E-974E-D9D94A2882E8}"/>
    <cellStyle name="40% - Akzent4 6 2" xfId="7612" xr:uid="{32B12886-671F-43F1-9145-6732F90B5604}"/>
    <cellStyle name="40% - Akzent4 6 2 2" xfId="27049" xr:uid="{818FDD6F-6FB6-4A79-BBDB-986FB86CA194}"/>
    <cellStyle name="40% - Akzent4 6 20" xfId="7613" xr:uid="{7A11CB9B-90DF-41CB-8935-8D210C4083BD}"/>
    <cellStyle name="40% - Akzent4 6 20 2" xfId="7614" xr:uid="{821BE380-2A1D-46E9-88C9-767DCCEFF075}"/>
    <cellStyle name="40% - Akzent4 6 20 2 2" xfId="27051" xr:uid="{1BC309CC-D210-4E75-88AC-9D187B2DDA52}"/>
    <cellStyle name="40% - Akzent4 6 20 3" xfId="27050" xr:uid="{D761660F-A778-460E-AB3F-9692AFD66675}"/>
    <cellStyle name="40% - Akzent4 6 21" xfId="7615" xr:uid="{93B1CE33-80F5-42FC-B236-4C190B3F3DBC}"/>
    <cellStyle name="40% - Akzent4 6 21 2" xfId="7616" xr:uid="{04AA7CDA-2556-4148-A0D1-110899726238}"/>
    <cellStyle name="40% - Akzent4 6 21 2 2" xfId="27053" xr:uid="{02EC2271-E40C-423D-AB35-531380F16DC8}"/>
    <cellStyle name="40% - Akzent4 6 21 3" xfId="27052" xr:uid="{C4275248-C785-4F8A-BEE6-D515DCB5E549}"/>
    <cellStyle name="40% - Akzent4 6 22" xfId="7617" xr:uid="{F13FC545-4721-4534-97C6-627F2747F6D6}"/>
    <cellStyle name="40% - Akzent4 6 22 2" xfId="27054" xr:uid="{7ABAC8C9-8425-4684-83DD-9300FF8D6EEF}"/>
    <cellStyle name="40% - Akzent4 6 23" xfId="7618" xr:uid="{5E0A6957-A640-4E06-A0EF-AF1A14AA72F3}"/>
    <cellStyle name="40% - Akzent4 6 23 2" xfId="27055" xr:uid="{CEC5D7F3-9FC3-4528-BC39-8274EA8D7F6E}"/>
    <cellStyle name="40% - Akzent4 6 24" xfId="27028" xr:uid="{C448FF15-CA3B-4786-9506-1B5BE9BB5F00}"/>
    <cellStyle name="40% - Akzent4 6 25" xfId="39320" xr:uid="{C69DC863-5D33-48F8-9E7B-3A446B2558A1}"/>
    <cellStyle name="40% - Akzent4 6 3" xfId="7619" xr:uid="{2CD8B287-8FAF-46D8-AF3D-A4E6F6DB6224}"/>
    <cellStyle name="40% - Akzent4 6 3 2" xfId="7620" xr:uid="{38EE6AD3-9C7A-42A5-A6AB-6C0330F5FEEE}"/>
    <cellStyle name="40% - Akzent4 6 3 2 2" xfId="27057" xr:uid="{CDF3E685-3FB1-4BA2-8CD4-397944F23E8C}"/>
    <cellStyle name="40% - Akzent4 6 3 3" xfId="27056" xr:uid="{F3EE6E3E-DE67-4DD9-88C0-E1834F266538}"/>
    <cellStyle name="40% - Akzent4 6 4" xfId="7621" xr:uid="{8C5A65FF-7ADF-4879-898E-0A264C0A1276}"/>
    <cellStyle name="40% - Akzent4 6 4 2" xfId="7622" xr:uid="{B220CD4D-ABC4-4580-82CC-66C598458EDB}"/>
    <cellStyle name="40% - Akzent4 6 4 2 2" xfId="27059" xr:uid="{7494595C-5A61-480D-89BD-E4ED348BD570}"/>
    <cellStyle name="40% - Akzent4 6 4 3" xfId="27058" xr:uid="{83CD95A2-6836-4188-AAB4-3D053E28B7D6}"/>
    <cellStyle name="40% - Akzent4 6 5" xfId="7623" xr:uid="{33CF040E-67C4-482F-8D04-456EAC3A23DF}"/>
    <cellStyle name="40% - Akzent4 6 5 2" xfId="7624" xr:uid="{6D4A0406-E42B-47C3-A7E5-BFF8538638BB}"/>
    <cellStyle name="40% - Akzent4 6 5 2 2" xfId="27061" xr:uid="{78EDBE7B-E591-4B36-885E-CAC59137E2C7}"/>
    <cellStyle name="40% - Akzent4 6 5 3" xfId="27060" xr:uid="{B01E068E-E50A-405D-BAEB-85E48B6F8C8B}"/>
    <cellStyle name="40% - Akzent4 6 6" xfId="7625" xr:uid="{E20A872E-3EE5-4666-89E6-B2441FBDC4E7}"/>
    <cellStyle name="40% - Akzent4 6 6 2" xfId="7626" xr:uid="{FF99AAAC-0A1E-4754-A0C2-13589C7776E0}"/>
    <cellStyle name="40% - Akzent4 6 6 2 2" xfId="27063" xr:uid="{1762423A-E3F8-4CF6-8C32-B229645F8F0E}"/>
    <cellStyle name="40% - Akzent4 6 6 3" xfId="27062" xr:uid="{A0671032-2AA4-4F52-B739-193389F624DF}"/>
    <cellStyle name="40% - Akzent4 6 7" xfId="7627" xr:uid="{F4B26B25-4F62-46BD-9F44-E81F4DB65F47}"/>
    <cellStyle name="40% - Akzent4 6 7 2" xfId="7628" xr:uid="{BB61F40A-1CB6-4DF7-8850-8FA51BA8AE33}"/>
    <cellStyle name="40% - Akzent4 6 7 2 2" xfId="27065" xr:uid="{72133EEF-BF28-409E-A08F-C084B2F9F37C}"/>
    <cellStyle name="40% - Akzent4 6 7 3" xfId="27064" xr:uid="{C7E96A05-D131-4D2A-97E9-8181EC06FA21}"/>
    <cellStyle name="40% - Akzent4 6 8" xfId="7629" xr:uid="{CEB579CB-0EAE-4559-9647-0EF6EBB1C2E7}"/>
    <cellStyle name="40% - Akzent4 6 8 2" xfId="7630" xr:uid="{446F5204-906D-4BFB-95B6-FA0B1935E743}"/>
    <cellStyle name="40% - Akzent4 6 8 2 2" xfId="27067" xr:uid="{997AEE25-AFBC-4378-BE0E-AD2463AE6296}"/>
    <cellStyle name="40% - Akzent4 6 8 3" xfId="27066" xr:uid="{FEFFD8F8-840A-44C6-AD5E-6EC46A9D1872}"/>
    <cellStyle name="40% - Akzent4 6 9" xfId="7631" xr:uid="{7CAE92F2-8C9D-4277-AFE8-3B167ABC9EB4}"/>
    <cellStyle name="40% - Akzent4 6 9 2" xfId="7632" xr:uid="{82C73012-9072-4285-82EE-2DEF565C4611}"/>
    <cellStyle name="40% - Akzent4 6 9 2 2" xfId="27069" xr:uid="{EAD91712-6AB9-4B49-986D-866EAF9A1689}"/>
    <cellStyle name="40% - Akzent4 6 9 3" xfId="27068" xr:uid="{B5AE9C1F-7994-4167-B638-10EC4EBEA88D}"/>
    <cellStyle name="40% - Akzent4 60" xfId="7633" xr:uid="{4FF5865E-3DED-4FB0-B70A-7C71D0851B2F}"/>
    <cellStyle name="40% - Akzent4 60 2" xfId="7634" xr:uid="{52523BB9-BDDF-4023-8032-879DCC4F657F}"/>
    <cellStyle name="40% - Akzent4 60 2 2" xfId="27071" xr:uid="{6B7AEC28-7DB8-4B61-AE20-AC650AF3AB94}"/>
    <cellStyle name="40% - Akzent4 60 3" xfId="27070" xr:uid="{71E23569-B49B-49A6-B100-D421D92A8B1E}"/>
    <cellStyle name="40% - Akzent4 61" xfId="7635" xr:uid="{9B491F70-37C9-404B-B366-C5C6A32E88CD}"/>
    <cellStyle name="40% - Akzent4 61 2" xfId="7636" xr:uid="{E259C3C2-5F71-4513-A924-8B6019160A24}"/>
    <cellStyle name="40% - Akzent4 61 2 2" xfId="27073" xr:uid="{AE30F9C9-37EB-4ED8-B727-CFD232622584}"/>
    <cellStyle name="40% - Akzent4 61 3" xfId="27072" xr:uid="{535D31AD-495B-45E7-9EED-B5B530653CA5}"/>
    <cellStyle name="40% - Akzent4 62" xfId="7637" xr:uid="{6F3C6581-E610-44CC-9345-A412AF5F9D5C}"/>
    <cellStyle name="40% - Akzent4 62 2" xfId="7638" xr:uid="{9955F1AC-6179-4DE1-8470-67B012C8A571}"/>
    <cellStyle name="40% - Akzent4 62 2 2" xfId="27075" xr:uid="{A4B8F4CD-5010-4902-812D-63E8B5F496A9}"/>
    <cellStyle name="40% - Akzent4 62 3" xfId="27074" xr:uid="{C65C9523-D4BD-49E3-9723-5406BBE5EA1A}"/>
    <cellStyle name="40% - Akzent4 63" xfId="7639" xr:uid="{3BA86E41-FE22-4114-8A58-ABC5F3D23F11}"/>
    <cellStyle name="40% - Akzent4 63 2" xfId="7640" xr:uid="{53A5EABB-6ED1-4060-AB2C-FDBF6E1A2CA6}"/>
    <cellStyle name="40% - Akzent4 63 2 2" xfId="27077" xr:uid="{D2455E28-8DE4-4FA6-898E-CC6565A68AA9}"/>
    <cellStyle name="40% - Akzent4 63 3" xfId="27076" xr:uid="{54609C7D-8B71-4D30-B886-B87F5FEC543A}"/>
    <cellStyle name="40% - Akzent4 64" xfId="7641" xr:uid="{258940C5-6BBE-41F6-B87A-0D1DA6F16311}"/>
    <cellStyle name="40% - Akzent4 64 2" xfId="7642" xr:uid="{1358CEF2-D2B1-4249-B773-F3FCC2DF357C}"/>
    <cellStyle name="40% - Akzent4 64 2 2" xfId="27079" xr:uid="{472F682E-B1FE-47FD-B142-66416A5375D9}"/>
    <cellStyle name="40% - Akzent4 64 3" xfId="27078" xr:uid="{96024B5C-C459-4CB6-9920-23E0D4318D1C}"/>
    <cellStyle name="40% - Akzent4 65" xfId="7643" xr:uid="{BA36FE04-3593-4B51-B1B1-665157BDEA73}"/>
    <cellStyle name="40% - Akzent4 65 2" xfId="7644" xr:uid="{689D7D6C-C377-4489-B3CF-534000AFD15F}"/>
    <cellStyle name="40% - Akzent4 65 2 2" xfId="27081" xr:uid="{5F91DF4B-0C5A-4569-B287-7DC5967C90EE}"/>
    <cellStyle name="40% - Akzent4 65 3" xfId="27080" xr:uid="{F49C7424-F137-4506-9B11-2680404566D9}"/>
    <cellStyle name="40% - Akzent4 66" xfId="7645" xr:uid="{55406368-8E30-4440-A54D-91E006C4F53C}"/>
    <cellStyle name="40% - Akzent4 66 2" xfId="7646" xr:uid="{7DB3FC6F-0664-4A09-9048-6FD31C964A1A}"/>
    <cellStyle name="40% - Akzent4 66 2 2" xfId="27083" xr:uid="{EDA49616-2A09-4F5A-8B92-F1212F1CB89D}"/>
    <cellStyle name="40% - Akzent4 66 3" xfId="27082" xr:uid="{AADA15E1-F389-43C8-A929-2BF305C51B94}"/>
    <cellStyle name="40% - Akzent4 67" xfId="7647" xr:uid="{1798A030-8D6B-40C9-8C0F-34796AA46804}"/>
    <cellStyle name="40% - Akzent4 67 2" xfId="7648" xr:uid="{FD03F86E-9E59-450F-936A-4026BADAA1D6}"/>
    <cellStyle name="40% - Akzent4 67 2 2" xfId="27085" xr:uid="{4035DBAE-7CED-4AF0-BAAD-9E0F1875526E}"/>
    <cellStyle name="40% - Akzent4 67 3" xfId="27084" xr:uid="{F6BC195E-0F89-4298-B754-2BE489233FF1}"/>
    <cellStyle name="40% - Akzent4 68" xfId="7649" xr:uid="{DBFC9EEE-9479-449C-BA72-BA8E928B049F}"/>
    <cellStyle name="40% - Akzent4 68 2" xfId="7650" xr:uid="{E12F619A-CD2D-420D-9419-C0EF556FD2A7}"/>
    <cellStyle name="40% - Akzent4 68 2 2" xfId="27087" xr:uid="{B4730F7A-D92A-4681-B89D-27429218F43C}"/>
    <cellStyle name="40% - Akzent4 68 3" xfId="27086" xr:uid="{67950954-FE51-421E-B8F8-F12ADBFC1DAF}"/>
    <cellStyle name="40% - Akzent4 69" xfId="7651" xr:uid="{AE6EFA3D-844C-473A-B618-FC42D28229B3}"/>
    <cellStyle name="40% - Akzent4 69 2" xfId="7652" xr:uid="{B76E833B-F782-437C-8FC3-6D079FFA9CF5}"/>
    <cellStyle name="40% - Akzent4 69 2 2" xfId="27089" xr:uid="{89CDB6C7-C79F-4604-ADD6-E93AFBF37C8C}"/>
    <cellStyle name="40% - Akzent4 69 3" xfId="27088" xr:uid="{A64A124A-C483-4D1B-A45F-D8ABF457BE3A}"/>
    <cellStyle name="40% - Akzent4 7" xfId="7653" xr:uid="{6C8EB059-9032-4EED-8299-E1FE46F36683}"/>
    <cellStyle name="40% - Akzent4 7 10" xfId="7654" xr:uid="{E5A3210F-DDCE-4D30-98BE-0C06709AAD63}"/>
    <cellStyle name="40% - Akzent4 7 10 2" xfId="7655" xr:uid="{94F28C08-31F5-4265-9945-8C3918DB80EF}"/>
    <cellStyle name="40% - Akzent4 7 10 2 2" xfId="27092" xr:uid="{0C2CF24B-E889-448C-A7A8-99959D8C2445}"/>
    <cellStyle name="40% - Akzent4 7 10 3" xfId="27091" xr:uid="{9FA99AB9-3792-43A1-A1DC-EDE896A39F5E}"/>
    <cellStyle name="40% - Akzent4 7 11" xfId="7656" xr:uid="{DE375728-C640-4AB6-A01F-5F9CD766835A}"/>
    <cellStyle name="40% - Akzent4 7 11 2" xfId="7657" xr:uid="{C575D29E-0263-472F-B45E-66364C9822D2}"/>
    <cellStyle name="40% - Akzent4 7 11 2 2" xfId="27094" xr:uid="{37AFF93E-EB52-4C3A-A6DB-BE57903D40EB}"/>
    <cellStyle name="40% - Akzent4 7 11 3" xfId="27093" xr:uid="{20D3310B-41B0-4EF5-99C7-80842C217F83}"/>
    <cellStyle name="40% - Akzent4 7 12" xfId="7658" xr:uid="{165791EA-3DFE-48C2-9237-D2FBF7DD0DEC}"/>
    <cellStyle name="40% - Akzent4 7 12 2" xfId="7659" xr:uid="{8DD071CB-5761-4536-B109-BB32057E0392}"/>
    <cellStyle name="40% - Akzent4 7 12 2 2" xfId="27096" xr:uid="{7F3CEA95-4CE7-45F0-BCB8-98A66F8161AF}"/>
    <cellStyle name="40% - Akzent4 7 12 3" xfId="27095" xr:uid="{105B66F4-3167-4525-AD51-AC1D181E8C53}"/>
    <cellStyle name="40% - Akzent4 7 13" xfId="7660" xr:uid="{51349F95-AB05-44AD-AB7F-71992002C00B}"/>
    <cellStyle name="40% - Akzent4 7 13 2" xfId="7661" xr:uid="{27089F53-060B-4E7B-AA93-8EDA4DCB48EF}"/>
    <cellStyle name="40% - Akzent4 7 13 2 2" xfId="27098" xr:uid="{1E7CB8C5-D7D2-43C3-94C7-E255440A1D49}"/>
    <cellStyle name="40% - Akzent4 7 13 3" xfId="27097" xr:uid="{40B6EEC0-C9C3-4BAA-ADF8-C148CFFA9ACA}"/>
    <cellStyle name="40% - Akzent4 7 14" xfId="7662" xr:uid="{0AFE7EDD-3DC1-499C-8FE7-69D805F174F1}"/>
    <cellStyle name="40% - Akzent4 7 14 2" xfId="7663" xr:uid="{8B502FF7-E3D3-4D68-A682-9C8D1F151466}"/>
    <cellStyle name="40% - Akzent4 7 14 2 2" xfId="27100" xr:uid="{AA889E3B-BC77-49D3-AC4B-841470A9874F}"/>
    <cellStyle name="40% - Akzent4 7 14 3" xfId="27099" xr:uid="{9551A60E-472C-4960-8C6D-2A5F77696B01}"/>
    <cellStyle name="40% - Akzent4 7 15" xfId="7664" xr:uid="{F1804FA0-BD2D-4927-BC30-6A4DC7065AE4}"/>
    <cellStyle name="40% - Akzent4 7 15 2" xfId="7665" xr:uid="{6C31D78C-D01E-4330-9B9F-D9DA8B1723D5}"/>
    <cellStyle name="40% - Akzent4 7 15 2 2" xfId="27102" xr:uid="{382CDF51-DC1F-44F8-BBE7-A67781105C0D}"/>
    <cellStyle name="40% - Akzent4 7 15 3" xfId="27101" xr:uid="{F36A3BC7-5AF8-4411-AED8-EC7903132438}"/>
    <cellStyle name="40% - Akzent4 7 16" xfId="7666" xr:uid="{85BCF405-A53A-4118-8263-95B3E62CD36C}"/>
    <cellStyle name="40% - Akzent4 7 16 2" xfId="7667" xr:uid="{17038639-0208-47C9-BA9E-FE0DB9242105}"/>
    <cellStyle name="40% - Akzent4 7 16 2 2" xfId="27104" xr:uid="{CCCD97A4-44CA-43EF-8B44-ACE4D21EF95D}"/>
    <cellStyle name="40% - Akzent4 7 16 3" xfId="27103" xr:uid="{56F7F192-DA14-4C43-8B16-09E1AF1CF127}"/>
    <cellStyle name="40% - Akzent4 7 17" xfId="7668" xr:uid="{31475FCD-73B9-4184-9614-ABBAB863FA36}"/>
    <cellStyle name="40% - Akzent4 7 17 2" xfId="7669" xr:uid="{3521CD8D-7662-4FC9-9A48-C109D2985BB9}"/>
    <cellStyle name="40% - Akzent4 7 17 2 2" xfId="27106" xr:uid="{A3777368-5045-41B1-B195-965660E11D5C}"/>
    <cellStyle name="40% - Akzent4 7 17 3" xfId="27105" xr:uid="{DFA74B1F-BF63-4697-96CD-14D48BBD66EB}"/>
    <cellStyle name="40% - Akzent4 7 18" xfId="7670" xr:uid="{C9AA1747-A60B-436C-88B0-9A06C4364F42}"/>
    <cellStyle name="40% - Akzent4 7 18 2" xfId="7671" xr:uid="{38191D60-8DAE-49F7-96CA-2187636FF80F}"/>
    <cellStyle name="40% - Akzent4 7 18 2 2" xfId="27108" xr:uid="{32845D8A-345A-46F8-BD1C-A553229712C5}"/>
    <cellStyle name="40% - Akzent4 7 18 3" xfId="27107" xr:uid="{F9762B76-E76A-45D2-9043-B501FA3E3674}"/>
    <cellStyle name="40% - Akzent4 7 19" xfId="7672" xr:uid="{6DA228FD-3D3F-4D99-A1D5-501B01663019}"/>
    <cellStyle name="40% - Akzent4 7 19 2" xfId="7673" xr:uid="{C60AA029-FA95-4097-8030-7F131F56991F}"/>
    <cellStyle name="40% - Akzent4 7 19 2 2" xfId="27110" xr:uid="{7433F7A8-86A3-4F48-BD90-93FB60F193D8}"/>
    <cellStyle name="40% - Akzent4 7 19 3" xfId="27109" xr:uid="{1FB3DFF4-1820-4E98-9012-2D1046380950}"/>
    <cellStyle name="40% - Akzent4 7 2" xfId="7674" xr:uid="{D3EC8845-D96B-46C3-B1A8-3DEE54E50D57}"/>
    <cellStyle name="40% - Akzent4 7 2 2" xfId="7675" xr:uid="{77183BE4-7BBE-4AAE-9FAC-AA0479B6A013}"/>
    <cellStyle name="40% - Akzent4 7 2 2 2" xfId="27112" xr:uid="{634DE11A-263C-4012-BEA4-BA2D2A778CC2}"/>
    <cellStyle name="40% - Akzent4 7 2 3" xfId="27111" xr:uid="{AECDCFC9-9F39-4D4E-B1D1-F8B18FBF546A}"/>
    <cellStyle name="40% - Akzent4 7 20" xfId="7676" xr:uid="{D5277C99-AA21-45EC-951B-C23B59BE0C4B}"/>
    <cellStyle name="40% - Akzent4 7 20 2" xfId="7677" xr:uid="{029547FB-8BE0-4FD0-BFCF-13FFB9F00A49}"/>
    <cellStyle name="40% - Akzent4 7 20 2 2" xfId="27114" xr:uid="{B278E2E3-5331-4ECD-A541-A028FE1123B6}"/>
    <cellStyle name="40% - Akzent4 7 20 3" xfId="27113" xr:uid="{7285EB39-976A-478A-A4DC-CD16D4FD00F2}"/>
    <cellStyle name="40% - Akzent4 7 21" xfId="7678" xr:uid="{55748199-3730-4530-820B-E3FB71429C2F}"/>
    <cellStyle name="40% - Akzent4 7 21 2" xfId="7679" xr:uid="{6078B04A-1EFD-4620-ACB5-0380720EE4C1}"/>
    <cellStyle name="40% - Akzent4 7 21 2 2" xfId="27116" xr:uid="{976FFDBC-2D84-4E27-924A-1D03E65A2730}"/>
    <cellStyle name="40% - Akzent4 7 21 3" xfId="27115" xr:uid="{1B0FFA26-EECD-403B-AC05-6B741033298F}"/>
    <cellStyle name="40% - Akzent4 7 22" xfId="7680" xr:uid="{460391C2-F91A-42DC-B19E-0EEA25FDF499}"/>
    <cellStyle name="40% - Akzent4 7 22 2" xfId="27117" xr:uid="{23E9BEF0-5238-44B5-88A7-CE7553659471}"/>
    <cellStyle name="40% - Akzent4 7 23" xfId="27090" xr:uid="{11387D20-34BD-4D7A-A6C3-DF02B4850D6F}"/>
    <cellStyle name="40% - Akzent4 7 3" xfId="7681" xr:uid="{EEB90CDE-7A32-41D9-BBEE-8706C5B6E4C9}"/>
    <cellStyle name="40% - Akzent4 7 3 2" xfId="7682" xr:uid="{4AD0CE1E-9CCE-48A5-BADF-0B0CD5504292}"/>
    <cellStyle name="40% - Akzent4 7 3 2 2" xfId="27119" xr:uid="{2C85057E-158E-422C-BB97-9B76C9295AB5}"/>
    <cellStyle name="40% - Akzent4 7 3 3" xfId="27118" xr:uid="{99838A3A-AD91-471D-8ED1-9DF42B5F2592}"/>
    <cellStyle name="40% - Akzent4 7 4" xfId="7683" xr:uid="{862C78BE-F873-4024-9E51-86F8F8FDB64F}"/>
    <cellStyle name="40% - Akzent4 7 4 2" xfId="7684" xr:uid="{91B9C846-748F-4C5F-898B-FF7F4A7CBDEB}"/>
    <cellStyle name="40% - Akzent4 7 4 2 2" xfId="27121" xr:uid="{96A96906-F472-478C-B5F0-E01E8B4A2A1D}"/>
    <cellStyle name="40% - Akzent4 7 4 3" xfId="27120" xr:uid="{DBC69B74-556E-4E5E-B67C-AADDFD3BCEE1}"/>
    <cellStyle name="40% - Akzent4 7 5" xfId="7685" xr:uid="{F9963F8E-C8CA-4B4E-890C-D3D79FDAC1CD}"/>
    <cellStyle name="40% - Akzent4 7 5 2" xfId="7686" xr:uid="{6B6A1A20-D048-48C4-9051-37EE9AA6F4F0}"/>
    <cellStyle name="40% - Akzent4 7 5 2 2" xfId="27123" xr:uid="{35E1D3CC-1803-4FF8-AB47-5EDFA9B94D95}"/>
    <cellStyle name="40% - Akzent4 7 5 3" xfId="27122" xr:uid="{66356951-F500-493F-9629-309D26DB322E}"/>
    <cellStyle name="40% - Akzent4 7 6" xfId="7687" xr:uid="{9968BFE2-5D2D-4865-AE80-41BC6B3EF169}"/>
    <cellStyle name="40% - Akzent4 7 6 2" xfId="7688" xr:uid="{22AF74A5-3701-4AE6-94DD-AB6009BD732D}"/>
    <cellStyle name="40% - Akzent4 7 6 2 2" xfId="27125" xr:uid="{4C66F63B-A3C1-43B9-A249-AE73B67E14AB}"/>
    <cellStyle name="40% - Akzent4 7 6 3" xfId="27124" xr:uid="{72F78968-1CCA-4C7D-9B84-5078C06B065D}"/>
    <cellStyle name="40% - Akzent4 7 7" xfId="7689" xr:uid="{A65A6CA0-9C88-48CA-8976-4EF7B10290B5}"/>
    <cellStyle name="40% - Akzent4 7 7 2" xfId="7690" xr:uid="{90C94E33-03D4-4B54-B502-1ECF65FC6D8A}"/>
    <cellStyle name="40% - Akzent4 7 7 2 2" xfId="27127" xr:uid="{F3A7275D-7C42-4E1A-88E5-2073C7769B48}"/>
    <cellStyle name="40% - Akzent4 7 7 3" xfId="27126" xr:uid="{13E33335-1AE2-4C04-80EF-D7BE60AC412C}"/>
    <cellStyle name="40% - Akzent4 7 8" xfId="7691" xr:uid="{84D8FB02-F8A6-4127-B335-C5FA9C1CF3E4}"/>
    <cellStyle name="40% - Akzent4 7 8 2" xfId="7692" xr:uid="{8D689412-E68A-4390-AAFF-4BA63F1B9952}"/>
    <cellStyle name="40% - Akzent4 7 8 2 2" xfId="27129" xr:uid="{C6974E34-D71B-4ED8-B8A6-B48777F29EA7}"/>
    <cellStyle name="40% - Akzent4 7 8 3" xfId="27128" xr:uid="{6258E705-517D-402A-A1E1-BA40048E3451}"/>
    <cellStyle name="40% - Akzent4 7 9" xfId="7693" xr:uid="{E21AF830-1ECF-44CA-A293-5F5BFDE7481F}"/>
    <cellStyle name="40% - Akzent4 7 9 2" xfId="7694" xr:uid="{8FAC2FA9-2E58-47E3-897D-9F6DF77F94D6}"/>
    <cellStyle name="40% - Akzent4 7 9 2 2" xfId="27131" xr:uid="{1A128DE0-4535-437F-98DA-7B7D1722F847}"/>
    <cellStyle name="40% - Akzent4 7 9 3" xfId="27130" xr:uid="{302C79D9-B047-4288-9602-6122D2C3783D}"/>
    <cellStyle name="40% - Akzent4 70" xfId="7695" xr:uid="{FA12DAEE-4396-40A0-A2F6-CDD459EB81B5}"/>
    <cellStyle name="40% - Akzent4 70 2" xfId="27132" xr:uid="{5A7AD38A-CE3D-40E5-88C2-757940EC16A5}"/>
    <cellStyle name="40% - Akzent4 71" xfId="26457" xr:uid="{B1A39A3A-86D7-4876-893F-3852CC52660A}"/>
    <cellStyle name="40% - Akzent4 72" xfId="7020" xr:uid="{D975F1E4-11AF-4872-AE37-1BC43D620CC7}"/>
    <cellStyle name="40% - Akzent4 8" xfId="7696" xr:uid="{EF160BA4-FA2A-4CF1-8ADF-B253178A8D3F}"/>
    <cellStyle name="40% - Akzent4 8 10" xfId="7697" xr:uid="{8B06CE3E-EBB9-41A3-A9F2-2FD02D7D7CB2}"/>
    <cellStyle name="40% - Akzent4 8 10 2" xfId="7698" xr:uid="{2C5C4E53-846C-468C-B8A2-708CCB1E747C}"/>
    <cellStyle name="40% - Akzent4 8 10 2 2" xfId="27135" xr:uid="{872A1065-E0EB-4348-8F50-D3244BD43559}"/>
    <cellStyle name="40% - Akzent4 8 10 3" xfId="27134" xr:uid="{9211710C-70DB-45C8-BF1A-A5E191958FDF}"/>
    <cellStyle name="40% - Akzent4 8 11" xfId="7699" xr:uid="{03A4EA62-D0E7-4152-9A3C-D37C847153C7}"/>
    <cellStyle name="40% - Akzent4 8 11 2" xfId="7700" xr:uid="{605B3048-7965-4214-B4CD-E3CB81F067E8}"/>
    <cellStyle name="40% - Akzent4 8 11 2 2" xfId="27137" xr:uid="{72C2459A-3432-401C-BCDE-AF84F8154674}"/>
    <cellStyle name="40% - Akzent4 8 11 3" xfId="27136" xr:uid="{C32A511D-60D1-4DFD-ADEA-8537327D173F}"/>
    <cellStyle name="40% - Akzent4 8 12" xfId="7701" xr:uid="{100EDF7B-954C-4EAD-A938-CFB64F228FB7}"/>
    <cellStyle name="40% - Akzent4 8 12 2" xfId="7702" xr:uid="{2130539C-FE60-414C-9E46-52A92F9740F1}"/>
    <cellStyle name="40% - Akzent4 8 12 2 2" xfId="27139" xr:uid="{3439B9A2-D57C-4717-AF19-011E8C414FCC}"/>
    <cellStyle name="40% - Akzent4 8 12 3" xfId="27138" xr:uid="{E9CD7B25-B1C1-4C3D-8A43-D90E0123F282}"/>
    <cellStyle name="40% - Akzent4 8 13" xfId="7703" xr:uid="{10DE071F-5B72-4EBF-AA7C-9738EEFFC926}"/>
    <cellStyle name="40% - Akzent4 8 13 2" xfId="7704" xr:uid="{347BADBD-5D20-4C54-8AEC-9479E48FC5CF}"/>
    <cellStyle name="40% - Akzent4 8 13 2 2" xfId="27141" xr:uid="{31A47830-2555-4BC0-94A8-24FB6FF60981}"/>
    <cellStyle name="40% - Akzent4 8 13 3" xfId="27140" xr:uid="{97B8B2F7-0444-49EE-B73C-F90EE1507D2E}"/>
    <cellStyle name="40% - Akzent4 8 14" xfId="7705" xr:uid="{F0228019-A38F-4921-8047-90B305D0C9B1}"/>
    <cellStyle name="40% - Akzent4 8 14 2" xfId="7706" xr:uid="{EAE33CB1-9F17-4ACF-94FE-1D291EEC5363}"/>
    <cellStyle name="40% - Akzent4 8 14 2 2" xfId="27143" xr:uid="{0678752E-EFE1-4A35-A261-A404D2374DF9}"/>
    <cellStyle name="40% - Akzent4 8 14 3" xfId="27142" xr:uid="{47FCC41C-49C9-43AC-9F58-C93322D8F0F8}"/>
    <cellStyle name="40% - Akzent4 8 15" xfId="7707" xr:uid="{4F33AEE9-6FD3-4BBA-96A3-765C8E168425}"/>
    <cellStyle name="40% - Akzent4 8 15 2" xfId="7708" xr:uid="{9FB288F4-E9B7-4A2F-A459-5B1273037703}"/>
    <cellStyle name="40% - Akzent4 8 15 2 2" xfId="27145" xr:uid="{E1A6A333-3286-474E-BE71-2CAEE40DC6AC}"/>
    <cellStyle name="40% - Akzent4 8 15 3" xfId="27144" xr:uid="{5874D4EF-14F2-4A5D-94AA-CF8D95B2EC6F}"/>
    <cellStyle name="40% - Akzent4 8 16" xfId="7709" xr:uid="{8C225BC8-9E57-4456-A9F0-6EF20C9A32A8}"/>
    <cellStyle name="40% - Akzent4 8 16 2" xfId="7710" xr:uid="{635B8D95-2FC6-41DC-917E-0E878D8D39E6}"/>
    <cellStyle name="40% - Akzent4 8 16 2 2" xfId="27147" xr:uid="{58D06B58-DD7E-4482-8EC4-DAD5563B5DE5}"/>
    <cellStyle name="40% - Akzent4 8 16 3" xfId="27146" xr:uid="{D34A27CD-1605-4608-9320-773FC217E294}"/>
    <cellStyle name="40% - Akzent4 8 17" xfId="7711" xr:uid="{040BEF1B-2B19-4E22-8B24-A32B7D1E797B}"/>
    <cellStyle name="40% - Akzent4 8 17 2" xfId="7712" xr:uid="{1492204B-E242-4C4A-BC38-BF8467533EC6}"/>
    <cellStyle name="40% - Akzent4 8 17 2 2" xfId="27149" xr:uid="{DF9BA73B-AD8F-41B5-B2A2-13E29342F575}"/>
    <cellStyle name="40% - Akzent4 8 17 3" xfId="27148" xr:uid="{4A16D33F-F7FB-482F-8986-A55312D80AB5}"/>
    <cellStyle name="40% - Akzent4 8 18" xfId="7713" xr:uid="{510A515B-A542-4081-B2CF-E8A7F422C0D3}"/>
    <cellStyle name="40% - Akzent4 8 18 2" xfId="7714" xr:uid="{48D7C68F-43E0-46A3-8F57-6B4242D67476}"/>
    <cellStyle name="40% - Akzent4 8 18 2 2" xfId="27151" xr:uid="{09926124-9AB3-400C-91BA-4ADC9420D34E}"/>
    <cellStyle name="40% - Akzent4 8 18 3" xfId="27150" xr:uid="{F4C7F5F8-DCD9-4DE9-B720-3D9D419FD684}"/>
    <cellStyle name="40% - Akzent4 8 19" xfId="7715" xr:uid="{42CE1DF5-CF7F-47D1-815B-26B56CF33E1F}"/>
    <cellStyle name="40% - Akzent4 8 19 2" xfId="7716" xr:uid="{33F7E8E2-3663-48D6-9E19-54FC392C58BF}"/>
    <cellStyle name="40% - Akzent4 8 19 2 2" xfId="27153" xr:uid="{387BAF50-4851-4D0E-8FB7-316132B755FE}"/>
    <cellStyle name="40% - Akzent4 8 19 3" xfId="27152" xr:uid="{1C71080A-4F78-4AA5-AA49-4B93BE2C11BA}"/>
    <cellStyle name="40% - Akzent4 8 2" xfId="7717" xr:uid="{DF2A4276-C965-4AEF-A13A-C84AEAC1A435}"/>
    <cellStyle name="40% - Akzent4 8 2 2" xfId="7718" xr:uid="{4F859E29-E9C2-4825-A149-E8DA3DCC097B}"/>
    <cellStyle name="40% - Akzent4 8 2 2 2" xfId="27155" xr:uid="{B52901B8-021B-4641-A8A0-74D3D2224457}"/>
    <cellStyle name="40% - Akzent4 8 2 3" xfId="27154" xr:uid="{1E006C58-80D4-45F5-A006-18DEEC99A7B7}"/>
    <cellStyle name="40% - Akzent4 8 20" xfId="7719" xr:uid="{D447CC17-5990-4518-A861-7AB887CC3A1F}"/>
    <cellStyle name="40% - Akzent4 8 20 2" xfId="7720" xr:uid="{D4DA57A2-87EA-4428-8F16-A7725A2E82A6}"/>
    <cellStyle name="40% - Akzent4 8 20 2 2" xfId="27157" xr:uid="{0CCE0115-369B-4B43-8786-07688461C5B1}"/>
    <cellStyle name="40% - Akzent4 8 20 3" xfId="27156" xr:uid="{3A8E5A23-B91C-48CA-8F79-754E80597C0C}"/>
    <cellStyle name="40% - Akzent4 8 21" xfId="7721" xr:uid="{F4DDAB0C-43F5-4464-A6EB-24C288583299}"/>
    <cellStyle name="40% - Akzent4 8 21 2" xfId="7722" xr:uid="{05B14677-08B1-457F-8D95-5FE43B4CBE27}"/>
    <cellStyle name="40% - Akzent4 8 21 2 2" xfId="27159" xr:uid="{C1A0A93F-E73A-4777-8AF8-2F10D260D633}"/>
    <cellStyle name="40% - Akzent4 8 21 3" xfId="27158" xr:uid="{318B2E09-5015-4114-BCE3-89A4BF1D0612}"/>
    <cellStyle name="40% - Akzent4 8 22" xfId="7723" xr:uid="{00DA53BE-6644-498C-B060-52EC37C1FC27}"/>
    <cellStyle name="40% - Akzent4 8 22 2" xfId="27160" xr:uid="{84EC60E1-862B-4100-8CB6-1D1183CED305}"/>
    <cellStyle name="40% - Akzent4 8 23" xfId="27133" xr:uid="{8193B8FA-3FCF-4131-B881-2C349194696F}"/>
    <cellStyle name="40% - Akzent4 8 3" xfId="7724" xr:uid="{E7E186E1-F368-479B-A47D-2871EAFB9D06}"/>
    <cellStyle name="40% - Akzent4 8 3 2" xfId="7725" xr:uid="{4DF1A7CB-C3B4-4F54-8013-06B383386CB8}"/>
    <cellStyle name="40% - Akzent4 8 3 2 2" xfId="27162" xr:uid="{30FF83E1-9BA8-40A5-AC64-5778FA0AC50F}"/>
    <cellStyle name="40% - Akzent4 8 3 3" xfId="27161" xr:uid="{DB5DEC1F-CB90-4AC2-A657-F62078E15F33}"/>
    <cellStyle name="40% - Akzent4 8 4" xfId="7726" xr:uid="{CD5D9DFA-6B36-4BB7-90B1-63A2BE88A19A}"/>
    <cellStyle name="40% - Akzent4 8 4 2" xfId="7727" xr:uid="{2B3EFE09-72F0-4AB8-A5D6-6A4BD388DB95}"/>
    <cellStyle name="40% - Akzent4 8 4 2 2" xfId="27164" xr:uid="{660A21C8-2385-49E7-BCF9-EDD7AC2FFE69}"/>
    <cellStyle name="40% - Akzent4 8 4 3" xfId="27163" xr:uid="{F88E6596-270E-4E60-8B59-A45BBBB1396E}"/>
    <cellStyle name="40% - Akzent4 8 5" xfId="7728" xr:uid="{43BC2BCF-150B-4FBF-84E5-ED2B3AA24B15}"/>
    <cellStyle name="40% - Akzent4 8 5 2" xfId="7729" xr:uid="{D2184FE9-E2CB-44F1-A3D7-2FFABFD9A7AB}"/>
    <cellStyle name="40% - Akzent4 8 5 2 2" xfId="27166" xr:uid="{78311B82-5B52-4D9A-AA3B-CA564C921774}"/>
    <cellStyle name="40% - Akzent4 8 5 3" xfId="27165" xr:uid="{10776CF7-A967-4816-BC3C-DD1B3B352731}"/>
    <cellStyle name="40% - Akzent4 8 6" xfId="7730" xr:uid="{AA74CF7C-8228-48AE-A220-CB6FD80F8A4C}"/>
    <cellStyle name="40% - Akzent4 8 6 2" xfId="7731" xr:uid="{087B4035-0945-4A8B-9B6F-6042E5B47572}"/>
    <cellStyle name="40% - Akzent4 8 6 2 2" xfId="27168" xr:uid="{E557008D-8CDD-4F46-8444-7F9AE8ED4733}"/>
    <cellStyle name="40% - Akzent4 8 6 3" xfId="27167" xr:uid="{CD206B62-76F8-4D0F-84AD-BABBA126CEA7}"/>
    <cellStyle name="40% - Akzent4 8 7" xfId="7732" xr:uid="{FEC1F385-5314-4816-B09C-D3D590834CEB}"/>
    <cellStyle name="40% - Akzent4 8 7 2" xfId="7733" xr:uid="{71B52AA0-92B7-4F89-955C-19A9567F6343}"/>
    <cellStyle name="40% - Akzent4 8 7 2 2" xfId="27170" xr:uid="{C2C55CB4-3ED7-47A3-B9B2-FDA4EC200500}"/>
    <cellStyle name="40% - Akzent4 8 7 3" xfId="27169" xr:uid="{0384353F-344D-4094-B1DC-3CBE99FF0732}"/>
    <cellStyle name="40% - Akzent4 8 8" xfId="7734" xr:uid="{3550F6DF-061B-4675-AAE6-7FD3401F69E3}"/>
    <cellStyle name="40% - Akzent4 8 8 2" xfId="7735" xr:uid="{E12410AE-4EF4-495B-A19B-3018D6B678BF}"/>
    <cellStyle name="40% - Akzent4 8 8 2 2" xfId="27172" xr:uid="{504D8E22-39A4-49CB-A601-E56844FFAB05}"/>
    <cellStyle name="40% - Akzent4 8 8 3" xfId="27171" xr:uid="{70C68118-25AB-4FC7-958D-B605FD81877D}"/>
    <cellStyle name="40% - Akzent4 8 9" xfId="7736" xr:uid="{51B97885-2ADA-428D-A881-A9781910692C}"/>
    <cellStyle name="40% - Akzent4 8 9 2" xfId="7737" xr:uid="{88D5D057-9A14-4C6E-A114-DBB791126E56}"/>
    <cellStyle name="40% - Akzent4 8 9 2 2" xfId="27174" xr:uid="{61C40BC3-450E-4602-9F9A-BFA1F12DDFE3}"/>
    <cellStyle name="40% - Akzent4 8 9 3" xfId="27173" xr:uid="{A3070007-04D9-4DC4-B6B9-446F47C89FAE}"/>
    <cellStyle name="40% - Akzent4 9" xfId="7738" xr:uid="{37B1D5F0-6D9A-48BF-850B-9DFC086D68DB}"/>
    <cellStyle name="40% - Akzent4 9 10" xfId="7739" xr:uid="{53ED7D83-1BC5-43DC-82AE-0FF8B9307976}"/>
    <cellStyle name="40% - Akzent4 9 10 2" xfId="7740" xr:uid="{519F9970-52EA-4383-9B85-65F850F1DA2B}"/>
    <cellStyle name="40% - Akzent4 9 10 2 2" xfId="27177" xr:uid="{88B39ECA-D602-4B0B-90F7-6D56C2557C5B}"/>
    <cellStyle name="40% - Akzent4 9 10 3" xfId="27176" xr:uid="{E520447F-52A0-4A20-A0FD-DEBA2C6D0CBF}"/>
    <cellStyle name="40% - Akzent4 9 11" xfId="7741" xr:uid="{4CE7AB81-4F30-4328-8BB4-D42F854D3395}"/>
    <cellStyle name="40% - Akzent4 9 11 2" xfId="7742" xr:uid="{BDA7E2EA-A9C5-4E85-82F3-E01A88A490A9}"/>
    <cellStyle name="40% - Akzent4 9 11 2 2" xfId="27179" xr:uid="{F18E005F-E3B3-4AD7-8BE0-C574056B94AF}"/>
    <cellStyle name="40% - Akzent4 9 11 3" xfId="27178" xr:uid="{C2194309-181F-4620-9FB3-C6A2D845F35F}"/>
    <cellStyle name="40% - Akzent4 9 12" xfId="7743" xr:uid="{6246876B-621F-486A-9BAC-B97FA5614706}"/>
    <cellStyle name="40% - Akzent4 9 12 2" xfId="7744" xr:uid="{73577755-6BF4-4F3B-AEFA-AA484666A986}"/>
    <cellStyle name="40% - Akzent4 9 12 2 2" xfId="27181" xr:uid="{2120BEAC-C5A0-4428-98C4-87F4EA72D2F5}"/>
    <cellStyle name="40% - Akzent4 9 12 3" xfId="27180" xr:uid="{4ECEABA3-F29B-48DA-929B-674A26F1664F}"/>
    <cellStyle name="40% - Akzent4 9 13" xfId="7745" xr:uid="{127DA8D5-CA8C-42D0-8314-C9F5C68EA6B3}"/>
    <cellStyle name="40% - Akzent4 9 13 2" xfId="7746" xr:uid="{5F3A1634-0226-447D-BDBB-3EDEDD89EDB5}"/>
    <cellStyle name="40% - Akzent4 9 13 2 2" xfId="27183" xr:uid="{0DF1EFA2-5079-44A9-8856-0783A92746BF}"/>
    <cellStyle name="40% - Akzent4 9 13 3" xfId="27182" xr:uid="{D46B3121-C1CF-40FD-8B1F-0FF3716E0304}"/>
    <cellStyle name="40% - Akzent4 9 14" xfId="7747" xr:uid="{663A4187-E7A1-4718-9D5E-4307EB0C72FA}"/>
    <cellStyle name="40% - Akzent4 9 14 2" xfId="7748" xr:uid="{1107404B-E678-4934-BC73-3B47D11FCDC1}"/>
    <cellStyle name="40% - Akzent4 9 14 2 2" xfId="27185" xr:uid="{F0A49F99-CA0D-47EF-944B-CB809EB43639}"/>
    <cellStyle name="40% - Akzent4 9 14 3" xfId="27184" xr:uid="{27D12B98-4EBA-4F23-8A28-30357373A584}"/>
    <cellStyle name="40% - Akzent4 9 15" xfId="7749" xr:uid="{4C0081C9-D284-431D-9035-5A38FDB6BD3C}"/>
    <cellStyle name="40% - Akzent4 9 15 2" xfId="7750" xr:uid="{65827BDF-726F-457D-BE23-C04D7C03FB0A}"/>
    <cellStyle name="40% - Akzent4 9 15 2 2" xfId="27187" xr:uid="{BA411865-5C58-4553-A020-D242B2361948}"/>
    <cellStyle name="40% - Akzent4 9 15 3" xfId="27186" xr:uid="{D2C7676C-3D0D-4342-99E3-7B1FEDCAB357}"/>
    <cellStyle name="40% - Akzent4 9 16" xfId="7751" xr:uid="{050C04A1-F376-4333-896B-E8D4FF6A91FE}"/>
    <cellStyle name="40% - Akzent4 9 16 2" xfId="7752" xr:uid="{C2BD791F-60CB-4A21-98B2-8B3FC4476F12}"/>
    <cellStyle name="40% - Akzent4 9 16 2 2" xfId="27189" xr:uid="{F24AE04B-55D9-4C2F-897D-7ADFD8BF3914}"/>
    <cellStyle name="40% - Akzent4 9 16 3" xfId="27188" xr:uid="{D8ED4276-CA8E-4EF0-BDE2-3B8D935BFD43}"/>
    <cellStyle name="40% - Akzent4 9 17" xfId="7753" xr:uid="{8FA75FC5-C001-4B2B-B3D5-A54A56CE0723}"/>
    <cellStyle name="40% - Akzent4 9 17 2" xfId="7754" xr:uid="{10584F54-0D99-4CB0-9546-A30F98617C4F}"/>
    <cellStyle name="40% - Akzent4 9 17 2 2" xfId="27191" xr:uid="{53C1CA65-581B-4052-BA29-37FCA6C90454}"/>
    <cellStyle name="40% - Akzent4 9 17 3" xfId="27190" xr:uid="{80DED3AD-BE2A-43BE-8866-6EFC1B9A64A6}"/>
    <cellStyle name="40% - Akzent4 9 18" xfId="7755" xr:uid="{668B43C6-B110-43AF-A1AC-EC586C2BC8A5}"/>
    <cellStyle name="40% - Akzent4 9 18 2" xfId="7756" xr:uid="{F263393A-BCEF-4B59-A2CC-E0DC22DB53EC}"/>
    <cellStyle name="40% - Akzent4 9 18 2 2" xfId="27193" xr:uid="{E10E693F-A0F7-4515-8EEF-78B0B10D868C}"/>
    <cellStyle name="40% - Akzent4 9 18 3" xfId="27192" xr:uid="{02E95EE4-936A-4981-9216-2974FC5BF144}"/>
    <cellStyle name="40% - Akzent4 9 19" xfId="7757" xr:uid="{BD81CBF2-37D1-479C-8CDB-BBDA2126341C}"/>
    <cellStyle name="40% - Akzent4 9 19 2" xfId="7758" xr:uid="{72CD2131-4577-4CBE-8FCC-57F59EA7F2C3}"/>
    <cellStyle name="40% - Akzent4 9 19 2 2" xfId="27195" xr:uid="{F37F6272-26B8-45ED-BE71-5BDCE86F447D}"/>
    <cellStyle name="40% - Akzent4 9 19 3" xfId="27194" xr:uid="{37F4FB0A-3347-4707-88C9-EC872EC150AF}"/>
    <cellStyle name="40% - Akzent4 9 2" xfId="7759" xr:uid="{AB185B7E-516B-4DBC-B115-4064CCB6BF10}"/>
    <cellStyle name="40% - Akzent4 9 2 2" xfId="7760" xr:uid="{758C7397-A5A1-44C8-BF0D-5777FDD511BA}"/>
    <cellStyle name="40% - Akzent4 9 2 2 2" xfId="27197" xr:uid="{E547E8FF-8A5A-43C2-B465-5CCB96FF6ACE}"/>
    <cellStyle name="40% - Akzent4 9 2 3" xfId="27196" xr:uid="{C2E777E8-2546-4835-AC7C-88A956B2785A}"/>
    <cellStyle name="40% - Akzent4 9 20" xfId="7761" xr:uid="{3E0887E5-490E-4B18-BB65-AFF8A2461071}"/>
    <cellStyle name="40% - Akzent4 9 20 2" xfId="7762" xr:uid="{A43194C3-8AE2-46F7-8FBF-4D684C0E57E1}"/>
    <cellStyle name="40% - Akzent4 9 20 2 2" xfId="27199" xr:uid="{7C467C7C-010C-4F1A-BA7F-9EF510DF140F}"/>
    <cellStyle name="40% - Akzent4 9 20 3" xfId="27198" xr:uid="{E65C3ABC-8D1F-473A-8FA4-5E7E560A0C3A}"/>
    <cellStyle name="40% - Akzent4 9 21" xfId="7763" xr:uid="{B9858338-EAF9-4CAF-96FD-58EC1EB7AF00}"/>
    <cellStyle name="40% - Akzent4 9 21 2" xfId="7764" xr:uid="{60DF3DF7-CE72-4108-9DA9-A8331A42DF68}"/>
    <cellStyle name="40% - Akzent4 9 21 2 2" xfId="27201" xr:uid="{40144E3B-CF5A-41B8-8817-56596DE4F3A6}"/>
    <cellStyle name="40% - Akzent4 9 21 3" xfId="27200" xr:uid="{841B79CD-722C-4DEA-BC4B-98A08099C929}"/>
    <cellStyle name="40% - Akzent4 9 22" xfId="7765" xr:uid="{21509F43-B2EC-4E22-A7EE-72DD794B095F}"/>
    <cellStyle name="40% - Akzent4 9 22 2" xfId="27202" xr:uid="{011E904A-7E6E-43D0-B1F9-EA74EE7EC3A9}"/>
    <cellStyle name="40% - Akzent4 9 23" xfId="27175" xr:uid="{1CA3C3BC-3D67-462F-A0BE-F6357BF092F2}"/>
    <cellStyle name="40% - Akzent4 9 3" xfId="7766" xr:uid="{41084FDB-D3F4-4949-9893-3E92DCE62FDC}"/>
    <cellStyle name="40% - Akzent4 9 3 2" xfId="7767" xr:uid="{0F4AD922-1175-4628-BE16-37C0569F03A8}"/>
    <cellStyle name="40% - Akzent4 9 3 2 2" xfId="27204" xr:uid="{272F1AF2-9537-4036-AE1F-3E689A39C035}"/>
    <cellStyle name="40% - Akzent4 9 3 3" xfId="27203" xr:uid="{3FB9C7AA-8274-4F08-B712-21C7D968D400}"/>
    <cellStyle name="40% - Akzent4 9 4" xfId="7768" xr:uid="{466C1988-98EF-42C9-B9F8-B15196B985AF}"/>
    <cellStyle name="40% - Akzent4 9 4 2" xfId="7769" xr:uid="{0106129B-BF4B-4B5D-ACEF-67F923821A13}"/>
    <cellStyle name="40% - Akzent4 9 4 2 2" xfId="27206" xr:uid="{55ECD343-06FB-49A4-BEDD-8E5371030855}"/>
    <cellStyle name="40% - Akzent4 9 4 3" xfId="27205" xr:uid="{582FDC23-A30F-4F88-9750-5B23F6C83D48}"/>
    <cellStyle name="40% - Akzent4 9 5" xfId="7770" xr:uid="{839BB43F-E2FC-4387-95CC-C6168A3956F7}"/>
    <cellStyle name="40% - Akzent4 9 5 2" xfId="7771" xr:uid="{F1FFA428-34CA-498F-B03E-B6A386E49A18}"/>
    <cellStyle name="40% - Akzent4 9 5 2 2" xfId="27208" xr:uid="{EB089D4A-C879-4BC9-86F3-51DAB31695AC}"/>
    <cellStyle name="40% - Akzent4 9 5 3" xfId="27207" xr:uid="{989C5ABC-E9AA-4417-B4CE-3D29E8AD5410}"/>
    <cellStyle name="40% - Akzent4 9 6" xfId="7772" xr:uid="{007CA21D-7EDA-49B6-8CC7-2FBC8EB36FC0}"/>
    <cellStyle name="40% - Akzent4 9 6 2" xfId="7773" xr:uid="{4DC84882-D153-496C-95DD-6522DCB13FB7}"/>
    <cellStyle name="40% - Akzent4 9 6 2 2" xfId="27210" xr:uid="{7A65FBBA-68A6-4BF2-BDB6-3D4CEBE25D6A}"/>
    <cellStyle name="40% - Akzent4 9 6 3" xfId="27209" xr:uid="{56DD73BD-1022-466D-9F2C-6D0B6C4B20B7}"/>
    <cellStyle name="40% - Akzent4 9 7" xfId="7774" xr:uid="{DD6B687D-5B5E-4110-BDEB-C60E28848E96}"/>
    <cellStyle name="40% - Akzent4 9 7 2" xfId="7775" xr:uid="{27E9377E-2641-447F-9DD3-1EBC2646AA4F}"/>
    <cellStyle name="40% - Akzent4 9 7 2 2" xfId="27212" xr:uid="{6A820C27-D759-4B00-B393-A6D1BC92DDFC}"/>
    <cellStyle name="40% - Akzent4 9 7 3" xfId="27211" xr:uid="{A642CDEB-7B17-45BF-8E31-E2E99C334A39}"/>
    <cellStyle name="40% - Akzent4 9 8" xfId="7776" xr:uid="{EDC38A7D-BAF3-4D55-98EE-D4DB66B2F2A9}"/>
    <cellStyle name="40% - Akzent4 9 8 2" xfId="7777" xr:uid="{CE6CF48C-89D9-42AF-98CF-2AEDB2155020}"/>
    <cellStyle name="40% - Akzent4 9 8 2 2" xfId="27214" xr:uid="{F09DE60C-F619-42C8-BA58-CDCAA3FC6B69}"/>
    <cellStyle name="40% - Akzent4 9 8 3" xfId="27213" xr:uid="{16008EE3-152E-439B-9689-FFA33FF3C3F2}"/>
    <cellStyle name="40% - Akzent4 9 9" xfId="7778" xr:uid="{5F0F0336-0402-4E0E-B4B7-6D36128FA7AE}"/>
    <cellStyle name="40% - Akzent4 9 9 2" xfId="7779" xr:uid="{F89F5E3F-C70F-4C09-A235-D7FD586E0469}"/>
    <cellStyle name="40% - Akzent4 9 9 2 2" xfId="27216" xr:uid="{EC0CA079-DACF-4391-90FF-053716B8C8E7}"/>
    <cellStyle name="40% - Akzent4 9 9 3" xfId="27215" xr:uid="{A2AF7AC4-3038-4F62-9EFD-CDAFB3836C55}"/>
    <cellStyle name="40% - Akzent5 10" xfId="7781" xr:uid="{D041DC07-8269-4BDD-8003-77DDE2A0EE56}"/>
    <cellStyle name="40% - Akzent5 10 10" xfId="7782" xr:uid="{28929494-19C7-4EAE-80A0-45CCBC54DED8}"/>
    <cellStyle name="40% - Akzent5 10 10 2" xfId="7783" xr:uid="{1757C4DF-3C85-4EDF-ACBF-6E7B64C06B94}"/>
    <cellStyle name="40% - Akzent5 10 10 2 2" xfId="27220" xr:uid="{352340E3-C818-415C-B221-3EBD14B86BC8}"/>
    <cellStyle name="40% - Akzent5 10 10 3" xfId="27219" xr:uid="{E822749F-BC9E-4B4B-8222-0A3575EDCDB0}"/>
    <cellStyle name="40% - Akzent5 10 11" xfId="7784" xr:uid="{E4A9077D-5920-4CF8-8A61-6DD8BAA8B017}"/>
    <cellStyle name="40% - Akzent5 10 11 2" xfId="7785" xr:uid="{01D5B877-D062-4BB4-AA46-A833D22DBCAD}"/>
    <cellStyle name="40% - Akzent5 10 11 2 2" xfId="27222" xr:uid="{BBFAE2E8-19A0-4C3C-B55B-8C70CCA9A779}"/>
    <cellStyle name="40% - Akzent5 10 11 3" xfId="27221" xr:uid="{82AF79DD-E5F1-4F1F-9FB9-2F2BE849F070}"/>
    <cellStyle name="40% - Akzent5 10 12" xfId="7786" xr:uid="{F17EC2E8-7425-46BC-9835-A9D111D8D71A}"/>
    <cellStyle name="40% - Akzent5 10 12 2" xfId="7787" xr:uid="{6E5881FD-A504-4342-9FD0-49F94ED41FA4}"/>
    <cellStyle name="40% - Akzent5 10 12 2 2" xfId="27224" xr:uid="{476A141B-143C-4698-B456-0D920F132422}"/>
    <cellStyle name="40% - Akzent5 10 12 3" xfId="27223" xr:uid="{FB8A7E88-E827-459D-A193-46A4E67CEBFA}"/>
    <cellStyle name="40% - Akzent5 10 13" xfId="7788" xr:uid="{7ACC39FE-05BF-4F70-A3FA-3449A50B91FB}"/>
    <cellStyle name="40% - Akzent5 10 13 2" xfId="7789" xr:uid="{4395D8E4-EE1E-4016-AD56-CA02CD02B9AC}"/>
    <cellStyle name="40% - Akzent5 10 13 2 2" xfId="27226" xr:uid="{F4FFBA75-6E66-4D68-BB32-26912F102ED7}"/>
    <cellStyle name="40% - Akzent5 10 13 3" xfId="27225" xr:uid="{098720DE-908D-4089-84B8-DE4F3B0F4B6B}"/>
    <cellStyle name="40% - Akzent5 10 14" xfId="7790" xr:uid="{A945CAEB-3D1B-401F-8C7B-C9D05140BAFD}"/>
    <cellStyle name="40% - Akzent5 10 14 2" xfId="7791" xr:uid="{519AF940-7C9E-4FF0-9F1E-851A063D3CF9}"/>
    <cellStyle name="40% - Akzent5 10 14 2 2" xfId="27228" xr:uid="{05142E79-C16A-4FBE-91A5-18DF8B7372DB}"/>
    <cellStyle name="40% - Akzent5 10 14 3" xfId="27227" xr:uid="{C53FCB3B-96D1-483C-A191-A2BB9CD95446}"/>
    <cellStyle name="40% - Akzent5 10 15" xfId="7792" xr:uid="{FEFE0FA6-6C6F-4C47-916C-77D84B2CAC27}"/>
    <cellStyle name="40% - Akzent5 10 15 2" xfId="7793" xr:uid="{46C6397C-245B-4362-BA81-7A1774A1AFD9}"/>
    <cellStyle name="40% - Akzent5 10 15 2 2" xfId="27230" xr:uid="{00A01148-621E-4EA3-8F35-E7C3A54FC47F}"/>
    <cellStyle name="40% - Akzent5 10 15 3" xfId="27229" xr:uid="{4C7C493D-FACC-4276-9191-ACFAAAF55B8B}"/>
    <cellStyle name="40% - Akzent5 10 16" xfId="7794" xr:uid="{BEA31406-121F-4BF7-A1D6-6CF03BEC462E}"/>
    <cellStyle name="40% - Akzent5 10 16 2" xfId="7795" xr:uid="{D755AF0B-C1AA-498F-B325-2096295E1970}"/>
    <cellStyle name="40% - Akzent5 10 16 2 2" xfId="27232" xr:uid="{8B6662E2-64AD-4EE9-903A-F652DCDEA8BE}"/>
    <cellStyle name="40% - Akzent5 10 16 3" xfId="27231" xr:uid="{9F977AF5-3CA6-40CB-BFC8-5EB66F45C4D8}"/>
    <cellStyle name="40% - Akzent5 10 17" xfId="7796" xr:uid="{BF06E9FD-7AF1-468F-B257-03C25C496DE8}"/>
    <cellStyle name="40% - Akzent5 10 17 2" xfId="7797" xr:uid="{49B65461-943B-4598-81E5-D28E2F04C729}"/>
    <cellStyle name="40% - Akzent5 10 17 2 2" xfId="27234" xr:uid="{4853AF7E-3B1A-4639-B2C0-2990C9541EAA}"/>
    <cellStyle name="40% - Akzent5 10 17 3" xfId="27233" xr:uid="{228F74E0-0970-4766-A547-56904CADA8F9}"/>
    <cellStyle name="40% - Akzent5 10 18" xfId="7798" xr:uid="{366D0424-B141-413D-B3E9-F006D4E19598}"/>
    <cellStyle name="40% - Akzent5 10 18 2" xfId="7799" xr:uid="{114C409A-5244-414F-8676-6DDAE475FF40}"/>
    <cellStyle name="40% - Akzent5 10 18 2 2" xfId="27236" xr:uid="{5C69E35E-6759-44AE-BE8F-5B31F9B68320}"/>
    <cellStyle name="40% - Akzent5 10 18 3" xfId="27235" xr:uid="{633094E0-C8B1-45DD-8866-EA223BB0F3A8}"/>
    <cellStyle name="40% - Akzent5 10 19" xfId="7800" xr:uid="{3C84F387-C8CC-4F82-8A19-B05564DCF2FF}"/>
    <cellStyle name="40% - Akzent5 10 19 2" xfId="7801" xr:uid="{ED514164-3477-401C-A59F-E24CC1CD1D71}"/>
    <cellStyle name="40% - Akzent5 10 19 2 2" xfId="27238" xr:uid="{2B7D7229-B72F-47F4-A5EC-BA60E4E099CC}"/>
    <cellStyle name="40% - Akzent5 10 19 3" xfId="27237" xr:uid="{5A2732FE-3B5C-465F-8455-1F36C22D25D1}"/>
    <cellStyle name="40% - Akzent5 10 2" xfId="7802" xr:uid="{3A9821B8-396C-4721-8ADF-B8F6F1AF9276}"/>
    <cellStyle name="40% - Akzent5 10 2 2" xfId="7803" xr:uid="{88623906-F2C6-45C9-B32F-DA9BA0CAF260}"/>
    <cellStyle name="40% - Akzent5 10 2 2 2" xfId="27240" xr:uid="{99648B15-997E-4C55-B29E-099D3FE004B7}"/>
    <cellStyle name="40% - Akzent5 10 2 3" xfId="27239" xr:uid="{6A82DF19-43C1-4074-8387-F76EA6449E8D}"/>
    <cellStyle name="40% - Akzent5 10 20" xfId="7804" xr:uid="{CF6B301C-9A93-4DF6-AB61-699FE2FA65C3}"/>
    <cellStyle name="40% - Akzent5 10 20 2" xfId="7805" xr:uid="{2BB6C8D5-D0A3-4750-9B05-78AC09735694}"/>
    <cellStyle name="40% - Akzent5 10 20 2 2" xfId="27242" xr:uid="{10CE0573-9D8B-4278-9B01-9B8A73678820}"/>
    <cellStyle name="40% - Akzent5 10 20 3" xfId="27241" xr:uid="{4EA4E984-226E-4B77-B875-A80B74951B28}"/>
    <cellStyle name="40% - Akzent5 10 21" xfId="7806" xr:uid="{E47CF3ED-92D1-4AB5-B547-675A62CDAC28}"/>
    <cellStyle name="40% - Akzent5 10 21 2" xfId="7807" xr:uid="{AF5D0A43-24A2-4AE4-8323-9FCECD483D32}"/>
    <cellStyle name="40% - Akzent5 10 21 2 2" xfId="27244" xr:uid="{890A2423-8585-41E1-9707-1DF3D2AD1F34}"/>
    <cellStyle name="40% - Akzent5 10 21 3" xfId="27243" xr:uid="{13B0AAFD-D029-41B3-AA17-667FAACF7293}"/>
    <cellStyle name="40% - Akzent5 10 22" xfId="7808" xr:uid="{A0986568-C42F-4AE1-928B-D5441B3084BF}"/>
    <cellStyle name="40% - Akzent5 10 22 2" xfId="27245" xr:uid="{493FA960-C365-4C67-9991-AE1D62B3874C}"/>
    <cellStyle name="40% - Akzent5 10 23" xfId="27218" xr:uid="{DB66E871-D79D-496A-AEC0-FF9D484DB1DE}"/>
    <cellStyle name="40% - Akzent5 10 3" xfId="7809" xr:uid="{B90FD7BA-9BFB-4FBB-9C62-162B171B3BC6}"/>
    <cellStyle name="40% - Akzent5 10 3 2" xfId="7810" xr:uid="{03646114-498D-4DC0-98CF-E4A95863E4BB}"/>
    <cellStyle name="40% - Akzent5 10 3 2 2" xfId="27247" xr:uid="{0A277896-86BB-4F6E-B4F1-6BEA7088CF98}"/>
    <cellStyle name="40% - Akzent5 10 3 3" xfId="27246" xr:uid="{B42694DD-391D-43C6-A5CA-F0A34E7A0335}"/>
    <cellStyle name="40% - Akzent5 10 4" xfId="7811" xr:uid="{3D2DD546-E525-4C62-879C-111C078A4D0A}"/>
    <cellStyle name="40% - Akzent5 10 4 2" xfId="7812" xr:uid="{0B44AD8D-23CA-4C0A-953A-2E10759D9B19}"/>
    <cellStyle name="40% - Akzent5 10 4 2 2" xfId="27249" xr:uid="{191B0071-57A8-48D4-B09A-10A7992044F8}"/>
    <cellStyle name="40% - Akzent5 10 4 3" xfId="27248" xr:uid="{26DF272D-81D0-4AE1-95EF-1CCE761A03F9}"/>
    <cellStyle name="40% - Akzent5 10 5" xfId="7813" xr:uid="{4FB352AD-9EB6-4517-9F07-D4B4C472F720}"/>
    <cellStyle name="40% - Akzent5 10 5 2" xfId="7814" xr:uid="{0E0166A7-9D7F-4846-8FDA-DB41C7482C0E}"/>
    <cellStyle name="40% - Akzent5 10 5 2 2" xfId="27251" xr:uid="{895FF5B3-B74F-41AF-AE30-230821474CC9}"/>
    <cellStyle name="40% - Akzent5 10 5 3" xfId="27250" xr:uid="{76E99E7D-743A-4019-96D3-71D8A0BBCAD5}"/>
    <cellStyle name="40% - Akzent5 10 6" xfId="7815" xr:uid="{DA7CC68D-83BA-4E9E-BAF8-09C1264DED8C}"/>
    <cellStyle name="40% - Akzent5 10 6 2" xfId="7816" xr:uid="{FFF22C46-1105-416E-9AB7-3DFA06EE2A73}"/>
    <cellStyle name="40% - Akzent5 10 6 2 2" xfId="27253" xr:uid="{6C1183DB-A01D-415B-9419-D41676276FC1}"/>
    <cellStyle name="40% - Akzent5 10 6 3" xfId="27252" xr:uid="{BFDD4444-D494-4336-8941-2715127F793D}"/>
    <cellStyle name="40% - Akzent5 10 7" xfId="7817" xr:uid="{6C9CE464-5BDD-4B6A-8258-BF4A68A74616}"/>
    <cellStyle name="40% - Akzent5 10 7 2" xfId="7818" xr:uid="{ACCACDA8-DB9F-44BB-A26B-AAA4DA65D951}"/>
    <cellStyle name="40% - Akzent5 10 7 2 2" xfId="27255" xr:uid="{FC0DC2A5-9188-40CF-99EE-366A6907D3CF}"/>
    <cellStyle name="40% - Akzent5 10 7 3" xfId="27254" xr:uid="{495CC1D0-BED9-4DDD-B74C-CCB23F0BFBB7}"/>
    <cellStyle name="40% - Akzent5 10 8" xfId="7819" xr:uid="{43C786A9-CBEE-4E93-BB27-CC3C1A694336}"/>
    <cellStyle name="40% - Akzent5 10 8 2" xfId="7820" xr:uid="{5FF8948D-07E6-442A-9991-8A391D6E4EC5}"/>
    <cellStyle name="40% - Akzent5 10 8 2 2" xfId="27257" xr:uid="{B284F0F7-D42C-4D25-8277-F93AA484DDB1}"/>
    <cellStyle name="40% - Akzent5 10 8 3" xfId="27256" xr:uid="{6C3D17C0-3004-4A82-B878-DCBFA6067026}"/>
    <cellStyle name="40% - Akzent5 10 9" xfId="7821" xr:uid="{AA901636-5D0E-4B1B-86D7-6AB8AFC4CCD6}"/>
    <cellStyle name="40% - Akzent5 10 9 2" xfId="7822" xr:uid="{4341F2B2-D0C0-49E5-8819-85A887287777}"/>
    <cellStyle name="40% - Akzent5 10 9 2 2" xfId="27259" xr:uid="{875F95CD-35B3-4FD2-8944-0C4C8DC4E871}"/>
    <cellStyle name="40% - Akzent5 10 9 3" xfId="27258" xr:uid="{737F67AB-C831-4493-BE60-FF79D78F9F97}"/>
    <cellStyle name="40% - Akzent5 11" xfId="7823" xr:uid="{F1B98AE5-1217-431A-86AA-D503390CC001}"/>
    <cellStyle name="40% - Akzent5 11 10" xfId="7824" xr:uid="{2F9D3EE6-A389-4B68-8E51-8CFD9C248CDB}"/>
    <cellStyle name="40% - Akzent5 11 10 2" xfId="7825" xr:uid="{FD982851-0F59-405F-8231-FD8A7D49A696}"/>
    <cellStyle name="40% - Akzent5 11 10 2 2" xfId="27262" xr:uid="{627DD011-E7B9-4761-BDC0-52847C1CD3B2}"/>
    <cellStyle name="40% - Akzent5 11 10 3" xfId="27261" xr:uid="{0C08C9BF-490C-48A4-9377-575BB64A2240}"/>
    <cellStyle name="40% - Akzent5 11 11" xfId="7826" xr:uid="{38A6FE46-711A-4021-80DF-15B9489555FB}"/>
    <cellStyle name="40% - Akzent5 11 11 2" xfId="7827" xr:uid="{485D30C1-6D80-4217-9C86-799ABC2A15A8}"/>
    <cellStyle name="40% - Akzent5 11 11 2 2" xfId="27264" xr:uid="{843E3FA0-7431-46E6-BB14-0A2A56232DBF}"/>
    <cellStyle name="40% - Akzent5 11 11 3" xfId="27263" xr:uid="{A75CB1F0-98F9-4A0B-8BBF-B8858E2DCD2A}"/>
    <cellStyle name="40% - Akzent5 11 12" xfId="7828" xr:uid="{EADAB08A-26D3-4F23-8095-98F8ACF40FAD}"/>
    <cellStyle name="40% - Akzent5 11 12 2" xfId="7829" xr:uid="{C0966640-7DBA-41B1-9989-EC9C892E87FA}"/>
    <cellStyle name="40% - Akzent5 11 12 2 2" xfId="27266" xr:uid="{FD9AF31F-6F59-43AD-91AD-CE1C07797B76}"/>
    <cellStyle name="40% - Akzent5 11 12 3" xfId="27265" xr:uid="{889760BE-4D64-4E45-B4DE-FD8BF19FE1DC}"/>
    <cellStyle name="40% - Akzent5 11 13" xfId="7830" xr:uid="{15CFCD63-239F-4AFB-9393-EDC6D5828202}"/>
    <cellStyle name="40% - Akzent5 11 13 2" xfId="7831" xr:uid="{9AC2F572-3B87-42C4-9854-64AA35240955}"/>
    <cellStyle name="40% - Akzent5 11 13 2 2" xfId="27268" xr:uid="{D41C95F3-D573-42C5-8DAF-E3A103AFBB45}"/>
    <cellStyle name="40% - Akzent5 11 13 3" xfId="27267" xr:uid="{C428F05C-872F-4469-BFA9-7DC42AA447CC}"/>
    <cellStyle name="40% - Akzent5 11 14" xfId="7832" xr:uid="{7B34FA42-EA8E-45B1-8D7F-957972DD924E}"/>
    <cellStyle name="40% - Akzent5 11 14 2" xfId="7833" xr:uid="{76B3F2C6-E49E-4483-854A-2ED229C825E8}"/>
    <cellStyle name="40% - Akzent5 11 14 2 2" xfId="27270" xr:uid="{8F6627AB-F8C9-464A-A541-09AEFC1342E4}"/>
    <cellStyle name="40% - Akzent5 11 14 3" xfId="27269" xr:uid="{2B7552DC-D8E1-4083-9160-428A13C2D498}"/>
    <cellStyle name="40% - Akzent5 11 15" xfId="7834" xr:uid="{1DA22BD2-1CB7-4658-86A7-860E2C044B39}"/>
    <cellStyle name="40% - Akzent5 11 15 2" xfId="7835" xr:uid="{D41D4F46-22E3-4C1F-BAAA-96488E1B40D2}"/>
    <cellStyle name="40% - Akzent5 11 15 2 2" xfId="27272" xr:uid="{D4F6390A-6D83-40FA-BB02-72363EF4E736}"/>
    <cellStyle name="40% - Akzent5 11 15 3" xfId="27271" xr:uid="{57677BB0-EC16-47DB-983C-4A916A1FDCE4}"/>
    <cellStyle name="40% - Akzent5 11 16" xfId="7836" xr:uid="{FD7A3397-A4F2-43C9-A39E-010A636101CF}"/>
    <cellStyle name="40% - Akzent5 11 16 2" xfId="7837" xr:uid="{6D598C4C-258D-4838-BE8F-9D04E925C265}"/>
    <cellStyle name="40% - Akzent5 11 16 2 2" xfId="27274" xr:uid="{E32418FD-5E9D-4420-A12B-3DDBA86AAB25}"/>
    <cellStyle name="40% - Akzent5 11 16 3" xfId="27273" xr:uid="{2693D1E1-2448-4480-8D18-90B8FF7A0850}"/>
    <cellStyle name="40% - Akzent5 11 17" xfId="7838" xr:uid="{26FE0A2E-BF73-4012-B36F-7E86A546A40A}"/>
    <cellStyle name="40% - Akzent5 11 17 2" xfId="7839" xr:uid="{7A3D8AD0-E75A-4316-AAA3-A971DF3BD951}"/>
    <cellStyle name="40% - Akzent5 11 17 2 2" xfId="27276" xr:uid="{02EF19C4-93B0-42F4-A45F-80FE12939948}"/>
    <cellStyle name="40% - Akzent5 11 17 3" xfId="27275" xr:uid="{35674860-2F96-46AD-A569-4C5398091ABD}"/>
    <cellStyle name="40% - Akzent5 11 18" xfId="7840" xr:uid="{0D4D034F-8540-444E-B6D2-C2094531C9C9}"/>
    <cellStyle name="40% - Akzent5 11 18 2" xfId="7841" xr:uid="{44515BE8-BABD-44E5-BBE1-4B62B5D62469}"/>
    <cellStyle name="40% - Akzent5 11 18 2 2" xfId="27278" xr:uid="{5A0BD3C3-805A-434A-8447-04DB1B15604B}"/>
    <cellStyle name="40% - Akzent5 11 18 3" xfId="27277" xr:uid="{77ECCA2F-153D-4502-B7B8-E5FD59B97A57}"/>
    <cellStyle name="40% - Akzent5 11 19" xfId="7842" xr:uid="{8A1F91E1-F0EA-48AC-AEE0-F08769DD9362}"/>
    <cellStyle name="40% - Akzent5 11 19 2" xfId="7843" xr:uid="{153D0913-6980-4DAA-A937-B90479D4E67D}"/>
    <cellStyle name="40% - Akzent5 11 19 2 2" xfId="27280" xr:uid="{D15035F6-6449-4A4D-A2E8-C486C68766EC}"/>
    <cellStyle name="40% - Akzent5 11 19 3" xfId="27279" xr:uid="{37C8850C-8131-41F8-B75A-FAF6C7517CB3}"/>
    <cellStyle name="40% - Akzent5 11 2" xfId="7844" xr:uid="{C637EC91-E041-4181-9378-3B234AA048D6}"/>
    <cellStyle name="40% - Akzent5 11 2 2" xfId="7845" xr:uid="{B494F22C-D12F-4B18-8CCD-69E9A721ADB3}"/>
    <cellStyle name="40% - Akzent5 11 2 2 2" xfId="27282" xr:uid="{7BE44761-9A63-4B1E-8882-9D51A9805542}"/>
    <cellStyle name="40% - Akzent5 11 2 3" xfId="27281" xr:uid="{15F49278-79B0-49CF-B93F-5B872855D514}"/>
    <cellStyle name="40% - Akzent5 11 20" xfId="7846" xr:uid="{0253E2F6-464E-4864-A70E-C4D3A2ADA9C8}"/>
    <cellStyle name="40% - Akzent5 11 20 2" xfId="7847" xr:uid="{F638CF75-64E3-4C71-A16F-A9C2C09AB0EA}"/>
    <cellStyle name="40% - Akzent5 11 20 2 2" xfId="27284" xr:uid="{C2EAF328-B637-4FAD-8B70-66B98DCC1E30}"/>
    <cellStyle name="40% - Akzent5 11 20 3" xfId="27283" xr:uid="{3CA8E087-E211-41E8-8CB3-8394BD81E2C9}"/>
    <cellStyle name="40% - Akzent5 11 21" xfId="7848" xr:uid="{91E86158-8ACC-41CB-BC6F-B973C0F8FC00}"/>
    <cellStyle name="40% - Akzent5 11 21 2" xfId="7849" xr:uid="{2F7C2203-490C-423F-8F31-49C3597F35CA}"/>
    <cellStyle name="40% - Akzent5 11 21 2 2" xfId="27286" xr:uid="{A4B108DA-6B5F-4484-A5BC-0D4B676A8EDD}"/>
    <cellStyle name="40% - Akzent5 11 21 3" xfId="27285" xr:uid="{49AEB978-7A1D-4C42-B8CB-A603CE6BAD1E}"/>
    <cellStyle name="40% - Akzent5 11 22" xfId="7850" xr:uid="{4EFA2F4F-126C-458D-83C2-9DC4FEB4DDA4}"/>
    <cellStyle name="40% - Akzent5 11 22 2" xfId="27287" xr:uid="{F28C7610-FE14-44CD-8387-4B1B55D6AC30}"/>
    <cellStyle name="40% - Akzent5 11 23" xfId="27260" xr:uid="{E5A006E9-E145-4AFC-B5D8-4C99FC3E5702}"/>
    <cellStyle name="40% - Akzent5 11 3" xfId="7851" xr:uid="{2FAD64BB-1596-4461-8002-5D15AD155409}"/>
    <cellStyle name="40% - Akzent5 11 3 2" xfId="7852" xr:uid="{2A35BF85-8E7A-4F29-9CC9-E562B9D0FD36}"/>
    <cellStyle name="40% - Akzent5 11 3 2 2" xfId="27289" xr:uid="{D9DB312B-3B60-4B01-980C-799F0FF381BF}"/>
    <cellStyle name="40% - Akzent5 11 3 3" xfId="27288" xr:uid="{5D94AC80-21AA-4917-B263-9B91057D4EFF}"/>
    <cellStyle name="40% - Akzent5 11 4" xfId="7853" xr:uid="{BC7AE4E8-C8BA-40B4-B641-3F900AD7DBB8}"/>
    <cellStyle name="40% - Akzent5 11 4 2" xfId="7854" xr:uid="{55663E44-8A4F-46B5-9816-F97D962E6D16}"/>
    <cellStyle name="40% - Akzent5 11 4 2 2" xfId="27291" xr:uid="{084345F9-FDB9-4F17-8926-82FCA05D62C1}"/>
    <cellStyle name="40% - Akzent5 11 4 3" xfId="27290" xr:uid="{7BB110DB-A0B8-4E9E-8C40-90FA8A247DEC}"/>
    <cellStyle name="40% - Akzent5 11 5" xfId="7855" xr:uid="{7B1C0514-F824-41D2-AD4F-FDEA942331D1}"/>
    <cellStyle name="40% - Akzent5 11 5 2" xfId="7856" xr:uid="{4DE85F97-9E3F-4DD5-80BB-57DA7C08A863}"/>
    <cellStyle name="40% - Akzent5 11 5 2 2" xfId="27293" xr:uid="{26738435-30EE-4CE7-A733-6DAB2CFBD3A5}"/>
    <cellStyle name="40% - Akzent5 11 5 3" xfId="27292" xr:uid="{E8D1A2D4-F2A3-4031-A6FD-A85D530DD068}"/>
    <cellStyle name="40% - Akzent5 11 6" xfId="7857" xr:uid="{0920ED3C-10A0-4787-92FF-625AAFF2DBDF}"/>
    <cellStyle name="40% - Akzent5 11 6 2" xfId="7858" xr:uid="{06D58AF8-7628-49FC-9E46-45EA6BB02C27}"/>
    <cellStyle name="40% - Akzent5 11 6 2 2" xfId="27295" xr:uid="{5B8309B1-F803-41CD-A7AF-5CEF400DC701}"/>
    <cellStyle name="40% - Akzent5 11 6 3" xfId="27294" xr:uid="{4D04E1C0-2A58-4C76-9CF2-56F4759A052F}"/>
    <cellStyle name="40% - Akzent5 11 7" xfId="7859" xr:uid="{71E9145B-08C0-48ED-9B0D-212EBC2BBFB2}"/>
    <cellStyle name="40% - Akzent5 11 7 2" xfId="7860" xr:uid="{D172F764-50B7-49CB-87E1-D467EC5F3AF7}"/>
    <cellStyle name="40% - Akzent5 11 7 2 2" xfId="27297" xr:uid="{97A772CF-23B2-4C3C-BE47-1102A10266AF}"/>
    <cellStyle name="40% - Akzent5 11 7 3" xfId="27296" xr:uid="{A77CC9A6-7176-4A62-8CB8-E0943C777885}"/>
    <cellStyle name="40% - Akzent5 11 8" xfId="7861" xr:uid="{FF548D5B-265D-4E8D-B669-CB8AC576A786}"/>
    <cellStyle name="40% - Akzent5 11 8 2" xfId="7862" xr:uid="{88F3EE26-4FB1-4DD2-A7A9-E03F32481390}"/>
    <cellStyle name="40% - Akzent5 11 8 2 2" xfId="27299" xr:uid="{C0F1FC43-EB23-4F3B-BF51-BF03428705C7}"/>
    <cellStyle name="40% - Akzent5 11 8 3" xfId="27298" xr:uid="{9B38E4CA-B097-4FB8-9317-E9D164BB531C}"/>
    <cellStyle name="40% - Akzent5 11 9" xfId="7863" xr:uid="{B54202AA-852E-4BAD-A7AE-D7F8A39EA688}"/>
    <cellStyle name="40% - Akzent5 11 9 2" xfId="7864" xr:uid="{6763A268-71EE-461B-8C5B-B2850E77F73C}"/>
    <cellStyle name="40% - Akzent5 11 9 2 2" xfId="27301" xr:uid="{F7819158-6852-458A-8C36-DC84D5E46B73}"/>
    <cellStyle name="40% - Akzent5 11 9 3" xfId="27300" xr:uid="{6B908BF1-4B65-47D6-B955-CF217C06D75A}"/>
    <cellStyle name="40% - Akzent5 12" xfId="7865" xr:uid="{6EAB1063-7DFF-4040-A692-3A8F70FBA9E1}"/>
    <cellStyle name="40% - Akzent5 12 10" xfId="7866" xr:uid="{EA6FAF16-4A85-4897-AE96-22F5F3E36515}"/>
    <cellStyle name="40% - Akzent5 12 10 2" xfId="7867" xr:uid="{FA185CE4-3EB6-40C9-B0FF-6036CDD688E0}"/>
    <cellStyle name="40% - Akzent5 12 10 2 2" xfId="27304" xr:uid="{D67AAE5D-D80B-482D-BF25-0FFB6B88533D}"/>
    <cellStyle name="40% - Akzent5 12 10 3" xfId="27303" xr:uid="{F9DC725B-EB9C-4BBA-9D28-85AFB8CA282C}"/>
    <cellStyle name="40% - Akzent5 12 11" xfId="7868" xr:uid="{867F6DA1-6AEC-4B52-A29F-F6C39866D84E}"/>
    <cellStyle name="40% - Akzent5 12 11 2" xfId="7869" xr:uid="{F8C2387C-5777-404A-A5B6-C68620ABF87D}"/>
    <cellStyle name="40% - Akzent5 12 11 2 2" xfId="27306" xr:uid="{D5263F48-D4AB-460D-A721-BD0994EAB353}"/>
    <cellStyle name="40% - Akzent5 12 11 3" xfId="27305" xr:uid="{1C171524-E2E0-4967-8DCE-E9A0BB791EAB}"/>
    <cellStyle name="40% - Akzent5 12 12" xfId="7870" xr:uid="{59838AC4-2666-4CE7-9190-8FD4085340DD}"/>
    <cellStyle name="40% - Akzent5 12 12 2" xfId="7871" xr:uid="{820F7DA5-8A97-4A16-BC86-431278C8682C}"/>
    <cellStyle name="40% - Akzent5 12 12 2 2" xfId="27308" xr:uid="{75279C75-F3D0-40F8-B2B4-8C78493D2823}"/>
    <cellStyle name="40% - Akzent5 12 12 3" xfId="27307" xr:uid="{51654180-B489-40CA-A2CD-1D1A7ED61633}"/>
    <cellStyle name="40% - Akzent5 12 13" xfId="7872" xr:uid="{C47B5C0B-9033-490D-83C0-505580B89375}"/>
    <cellStyle name="40% - Akzent5 12 13 2" xfId="7873" xr:uid="{A6C75D26-50A9-40E5-BD15-9815F2144DF9}"/>
    <cellStyle name="40% - Akzent5 12 13 2 2" xfId="27310" xr:uid="{477138E9-2E1B-4EC5-BC81-8CFEF6959D23}"/>
    <cellStyle name="40% - Akzent5 12 13 3" xfId="27309" xr:uid="{03CA0268-43FF-436B-8A81-75F6BFD47695}"/>
    <cellStyle name="40% - Akzent5 12 14" xfId="7874" xr:uid="{582DF5F0-2DD7-4C5F-9499-64EF52BB8518}"/>
    <cellStyle name="40% - Akzent5 12 14 2" xfId="7875" xr:uid="{E88F4AB5-FA8F-4713-9547-F62CE01C7926}"/>
    <cellStyle name="40% - Akzent5 12 14 2 2" xfId="27312" xr:uid="{040BAEC8-17F1-4122-810C-3634953344C4}"/>
    <cellStyle name="40% - Akzent5 12 14 3" xfId="27311" xr:uid="{039B5E5E-E3AB-4DED-872B-FDD134FA2847}"/>
    <cellStyle name="40% - Akzent5 12 15" xfId="7876" xr:uid="{7ECC30CB-8923-42B8-9A27-9A9182A67F32}"/>
    <cellStyle name="40% - Akzent5 12 15 2" xfId="7877" xr:uid="{B37568B4-6E02-4DBA-B869-CE16B6ACC6C7}"/>
    <cellStyle name="40% - Akzent5 12 15 2 2" xfId="27314" xr:uid="{D013C36B-47BA-4D5A-83D9-F584FF7AAF8A}"/>
    <cellStyle name="40% - Akzent5 12 15 3" xfId="27313" xr:uid="{AD511B0B-59CA-48E7-99D6-325C6D149A6B}"/>
    <cellStyle name="40% - Akzent5 12 16" xfId="7878" xr:uid="{326F7E73-37D5-490E-A975-C084EE33DFF4}"/>
    <cellStyle name="40% - Akzent5 12 16 2" xfId="7879" xr:uid="{AB928145-8509-423E-A37E-550005FEF81D}"/>
    <cellStyle name="40% - Akzent5 12 16 2 2" xfId="27316" xr:uid="{5B7463A3-6A5E-4645-BFB0-067727AA6083}"/>
    <cellStyle name="40% - Akzent5 12 16 3" xfId="27315" xr:uid="{E7CE5E42-0351-4CFB-AD70-F88156414EA4}"/>
    <cellStyle name="40% - Akzent5 12 17" xfId="7880" xr:uid="{EB8B15A7-DF65-40F1-838F-236896EF0620}"/>
    <cellStyle name="40% - Akzent5 12 17 2" xfId="7881" xr:uid="{8F2C9A3B-311E-4E66-A0FE-9F41C9EDF59E}"/>
    <cellStyle name="40% - Akzent5 12 17 2 2" xfId="27318" xr:uid="{189164DF-99B0-4390-9D75-2637443ADA08}"/>
    <cellStyle name="40% - Akzent5 12 17 3" xfId="27317" xr:uid="{964C3709-F6CF-40EE-A807-A651C9B58A8B}"/>
    <cellStyle name="40% - Akzent5 12 18" xfId="7882" xr:uid="{40ACC785-052E-4581-A2AF-7B796982FDCF}"/>
    <cellStyle name="40% - Akzent5 12 18 2" xfId="7883" xr:uid="{D320B77A-8F63-405F-A8B5-F398F41F41C6}"/>
    <cellStyle name="40% - Akzent5 12 18 2 2" xfId="27320" xr:uid="{C32D56B2-2824-4E74-BFAB-EA9FFC29603C}"/>
    <cellStyle name="40% - Akzent5 12 18 3" xfId="27319" xr:uid="{BDF816D2-5C16-45D1-89AA-002F8F473B02}"/>
    <cellStyle name="40% - Akzent5 12 19" xfId="7884" xr:uid="{7C7337C8-3DF9-4384-B6DA-3E4CB0EAE96A}"/>
    <cellStyle name="40% - Akzent5 12 19 2" xfId="7885" xr:uid="{DBC6D02D-6B96-47DB-82FF-FEE82368D506}"/>
    <cellStyle name="40% - Akzent5 12 19 2 2" xfId="27322" xr:uid="{468A4969-634E-471E-AF11-DBD9E53C7D24}"/>
    <cellStyle name="40% - Akzent5 12 19 3" xfId="27321" xr:uid="{A959B116-EDE7-4301-82E2-EEB8D5572D6E}"/>
    <cellStyle name="40% - Akzent5 12 2" xfId="7886" xr:uid="{C2B78FEC-5251-4F60-AF82-1B0000D7AFBC}"/>
    <cellStyle name="40% - Akzent5 12 2 2" xfId="7887" xr:uid="{7936B661-A772-43D8-8D3B-4753A29C9DDD}"/>
    <cellStyle name="40% - Akzent5 12 2 2 2" xfId="27324" xr:uid="{49884AB4-E83F-48D8-8BE5-4A0BA07D3588}"/>
    <cellStyle name="40% - Akzent5 12 2 3" xfId="27323" xr:uid="{05026FDB-EB5D-4437-A7E6-920BBE20037D}"/>
    <cellStyle name="40% - Akzent5 12 20" xfId="7888" xr:uid="{B40C7A5C-992B-4FB9-A05A-34C3775346CB}"/>
    <cellStyle name="40% - Akzent5 12 20 2" xfId="7889" xr:uid="{5A30C9B3-E079-4C40-9B44-AAAB16FDA18B}"/>
    <cellStyle name="40% - Akzent5 12 20 2 2" xfId="27326" xr:uid="{8CA1526A-6B60-4A27-B060-6426041C9A63}"/>
    <cellStyle name="40% - Akzent5 12 20 3" xfId="27325" xr:uid="{9929DCF5-9152-4950-89E7-8352CCB27679}"/>
    <cellStyle name="40% - Akzent5 12 21" xfId="7890" xr:uid="{5F6171AE-5E62-4F64-9926-A628C3DB11CB}"/>
    <cellStyle name="40% - Akzent5 12 21 2" xfId="7891" xr:uid="{700C6FC1-49BE-4FFC-8EC4-EF8999EDA7EF}"/>
    <cellStyle name="40% - Akzent5 12 21 2 2" xfId="27328" xr:uid="{B86355E4-2154-4927-B0B6-F44B89A90BD5}"/>
    <cellStyle name="40% - Akzent5 12 21 3" xfId="27327" xr:uid="{D0243BB9-5966-4C5B-BEA0-EC40CC0BCF30}"/>
    <cellStyle name="40% - Akzent5 12 22" xfId="7892" xr:uid="{B574EC31-4B11-4F61-8797-2A90C84F3893}"/>
    <cellStyle name="40% - Akzent5 12 22 2" xfId="27329" xr:uid="{144BBF13-F174-406C-BB33-BD3E811F9478}"/>
    <cellStyle name="40% - Akzent5 12 23" xfId="27302" xr:uid="{8F3A26DC-4935-4C7A-B587-215787EBB0D0}"/>
    <cellStyle name="40% - Akzent5 12 3" xfId="7893" xr:uid="{AF5B67E3-EC48-449C-B90E-37F97785282E}"/>
    <cellStyle name="40% - Akzent5 12 3 2" xfId="7894" xr:uid="{AC174D67-CEDC-4BC9-A365-A896D7BDED48}"/>
    <cellStyle name="40% - Akzent5 12 3 2 2" xfId="27331" xr:uid="{104AD316-E06C-4C25-9E44-84364340BC7C}"/>
    <cellStyle name="40% - Akzent5 12 3 3" xfId="27330" xr:uid="{531D4ED9-8BEB-4D4F-B918-E3E1EEE7E585}"/>
    <cellStyle name="40% - Akzent5 12 4" xfId="7895" xr:uid="{18A5ACB5-2DF1-4761-A539-20CE6EA4A190}"/>
    <cellStyle name="40% - Akzent5 12 4 2" xfId="7896" xr:uid="{2190185B-6136-40D6-91AE-D4ED16DD6C73}"/>
    <cellStyle name="40% - Akzent5 12 4 2 2" xfId="27333" xr:uid="{ADB19276-8010-4239-94C3-2131F7EFF80A}"/>
    <cellStyle name="40% - Akzent5 12 4 3" xfId="27332" xr:uid="{05EE11CD-15C7-4DD3-BAE1-3EC22808772F}"/>
    <cellStyle name="40% - Akzent5 12 5" xfId="7897" xr:uid="{393C4E7C-2746-4A04-A941-4537DD46E804}"/>
    <cellStyle name="40% - Akzent5 12 5 2" xfId="7898" xr:uid="{94F94D11-7261-43FF-B64C-958EBF162D72}"/>
    <cellStyle name="40% - Akzent5 12 5 2 2" xfId="27335" xr:uid="{92122AE3-C746-4116-A5D0-5DDA456E8B3C}"/>
    <cellStyle name="40% - Akzent5 12 5 3" xfId="27334" xr:uid="{390E701D-2DF3-4F41-85B9-857E4FA2585C}"/>
    <cellStyle name="40% - Akzent5 12 6" xfId="7899" xr:uid="{8A064D53-1B8B-4729-AF9E-2352E06C4A14}"/>
    <cellStyle name="40% - Akzent5 12 6 2" xfId="7900" xr:uid="{8CB0E403-2A35-47BB-8784-A06AD9BB16FF}"/>
    <cellStyle name="40% - Akzent5 12 6 2 2" xfId="27337" xr:uid="{1D12C4E2-EE69-4440-8E99-EDF0BA40EF03}"/>
    <cellStyle name="40% - Akzent5 12 6 3" xfId="27336" xr:uid="{6F809E18-EC4C-443C-8740-8245BE2BDD90}"/>
    <cellStyle name="40% - Akzent5 12 7" xfId="7901" xr:uid="{F255C766-5810-462F-BB6F-1E8A57654D2B}"/>
    <cellStyle name="40% - Akzent5 12 7 2" xfId="7902" xr:uid="{2E8CA0DA-0CC0-4FA8-88C1-58840FEE624E}"/>
    <cellStyle name="40% - Akzent5 12 7 2 2" xfId="27339" xr:uid="{CBD0C419-FC5B-43FF-BB67-F9645A2BF99A}"/>
    <cellStyle name="40% - Akzent5 12 7 3" xfId="27338" xr:uid="{B2618603-90B6-49D2-9CC6-D95315E4CCB5}"/>
    <cellStyle name="40% - Akzent5 12 8" xfId="7903" xr:uid="{1753E81A-BF98-439F-9F49-7FF4017FAB1F}"/>
    <cellStyle name="40% - Akzent5 12 8 2" xfId="7904" xr:uid="{8D3D5434-2A81-4419-93B0-65C5D7043196}"/>
    <cellStyle name="40% - Akzent5 12 8 2 2" xfId="27341" xr:uid="{9ED15CA8-DF4F-4164-B7FB-561A8F8D7F54}"/>
    <cellStyle name="40% - Akzent5 12 8 3" xfId="27340" xr:uid="{89E12254-BC6E-4736-A35B-42A145CDB4EF}"/>
    <cellStyle name="40% - Akzent5 12 9" xfId="7905" xr:uid="{33DAC2C2-C96F-4301-992F-7D5DFEB43173}"/>
    <cellStyle name="40% - Akzent5 12 9 2" xfId="7906" xr:uid="{AAFA9F6C-E040-4AAE-A20B-C26034C6C49B}"/>
    <cellStyle name="40% - Akzent5 12 9 2 2" xfId="27343" xr:uid="{E05B37FC-1FB0-4A2F-9BE9-8DB293F0A1FF}"/>
    <cellStyle name="40% - Akzent5 12 9 3" xfId="27342" xr:uid="{D95234F0-A540-43F7-829E-B437889A7872}"/>
    <cellStyle name="40% - Akzent5 13" xfId="7907" xr:uid="{4AACC8AC-B777-46C6-A830-9A83DE349F8C}"/>
    <cellStyle name="40% - Akzent5 13 10" xfId="7908" xr:uid="{B480D7CE-08AA-4AB7-8D89-97B0CE3D8D5E}"/>
    <cellStyle name="40% - Akzent5 13 10 2" xfId="7909" xr:uid="{5FDCC003-3BE0-4A10-9489-CA806360D7B6}"/>
    <cellStyle name="40% - Akzent5 13 10 2 2" xfId="27346" xr:uid="{956561A3-7736-4B63-8CAA-5C73AD26F871}"/>
    <cellStyle name="40% - Akzent5 13 10 3" xfId="27345" xr:uid="{35C174B8-2D25-453B-B8D2-2F927E9926A5}"/>
    <cellStyle name="40% - Akzent5 13 11" xfId="7910" xr:uid="{1F34201B-29A0-4281-960D-7D5CEB51417D}"/>
    <cellStyle name="40% - Akzent5 13 11 2" xfId="7911" xr:uid="{96BCC460-0FAB-4718-A1F0-0BD39DDC2774}"/>
    <cellStyle name="40% - Akzent5 13 11 2 2" xfId="27348" xr:uid="{09767C73-E6EB-4EB8-B07F-CE34FA9EF1A8}"/>
    <cellStyle name="40% - Akzent5 13 11 3" xfId="27347" xr:uid="{469E92A9-CDDC-4A27-A7FF-3B71AE309FF4}"/>
    <cellStyle name="40% - Akzent5 13 12" xfId="7912" xr:uid="{5873D330-0077-4437-AF61-FF208C82B903}"/>
    <cellStyle name="40% - Akzent5 13 12 2" xfId="7913" xr:uid="{5D7E9E00-1122-4E9C-9721-243F9F703BB6}"/>
    <cellStyle name="40% - Akzent5 13 12 2 2" xfId="27350" xr:uid="{36706DD2-1DC4-4228-9845-5A1AF30F1A6C}"/>
    <cellStyle name="40% - Akzent5 13 12 3" xfId="27349" xr:uid="{7A5661EE-93EF-447B-85DF-9F8520D92082}"/>
    <cellStyle name="40% - Akzent5 13 13" xfId="7914" xr:uid="{DB8218EB-6023-468C-B65B-EF7B00D53E01}"/>
    <cellStyle name="40% - Akzent5 13 13 2" xfId="7915" xr:uid="{52F583A8-07AA-42F2-9BFF-308ADFD0438C}"/>
    <cellStyle name="40% - Akzent5 13 13 2 2" xfId="27352" xr:uid="{309EB26C-D86B-4775-8E1D-033D341F2FA8}"/>
    <cellStyle name="40% - Akzent5 13 13 3" xfId="27351" xr:uid="{D929C52D-7B22-4F8F-9425-CC45D6345700}"/>
    <cellStyle name="40% - Akzent5 13 14" xfId="7916" xr:uid="{29456A67-1027-4F02-ACC8-5D8BA243824F}"/>
    <cellStyle name="40% - Akzent5 13 14 2" xfId="27353" xr:uid="{98122048-A4DA-4958-8577-8F48794DFA79}"/>
    <cellStyle name="40% - Akzent5 13 15" xfId="27344" xr:uid="{D3580941-F7F7-45C5-8EB0-59A1C77D55AA}"/>
    <cellStyle name="40% - Akzent5 13 2" xfId="7917" xr:uid="{CBD05E28-3E28-4BC8-AF20-6E4AA98C8174}"/>
    <cellStyle name="40% - Akzent5 13 2 2" xfId="7918" xr:uid="{57307075-5860-4201-98BD-BEC78F04EA19}"/>
    <cellStyle name="40% - Akzent5 13 2 2 2" xfId="27355" xr:uid="{D421DF98-382C-4E65-9860-0453B4FE12B0}"/>
    <cellStyle name="40% - Akzent5 13 2 3" xfId="27354" xr:uid="{F3F99EA5-8539-42AB-9CCE-45B7156E1DE6}"/>
    <cellStyle name="40% - Akzent5 13 3" xfId="7919" xr:uid="{30DF926F-6A21-4B0F-9026-7DFDEF4923E2}"/>
    <cellStyle name="40% - Akzent5 13 3 2" xfId="7920" xr:uid="{A23ED2E3-44E2-48AB-B10B-BFF576E60B85}"/>
    <cellStyle name="40% - Akzent5 13 3 2 2" xfId="27357" xr:uid="{928CE5D1-B9E3-4249-9442-E10B6593B971}"/>
    <cellStyle name="40% - Akzent5 13 3 3" xfId="27356" xr:uid="{5B719A4D-C38B-4A5F-A8A0-E586CB554E6B}"/>
    <cellStyle name="40% - Akzent5 13 4" xfId="7921" xr:uid="{19F8686F-333B-443F-88E8-F001BDDC77D8}"/>
    <cellStyle name="40% - Akzent5 13 4 2" xfId="7922" xr:uid="{B11F62E6-69A3-4B3B-B0D6-7FF6329FA2C0}"/>
    <cellStyle name="40% - Akzent5 13 4 2 2" xfId="27359" xr:uid="{99FEC295-9671-4A94-9705-73A63328A56C}"/>
    <cellStyle name="40% - Akzent5 13 4 3" xfId="27358" xr:uid="{4267EAB5-9B61-448B-8239-F52A5EF7A2DC}"/>
    <cellStyle name="40% - Akzent5 13 5" xfId="7923" xr:uid="{005A9888-9587-40E2-820F-346F40F5B0C0}"/>
    <cellStyle name="40% - Akzent5 13 5 2" xfId="7924" xr:uid="{1317E1BD-CDA8-41EF-B08D-4608F1659B01}"/>
    <cellStyle name="40% - Akzent5 13 5 2 2" xfId="27361" xr:uid="{4D0703AB-0088-415D-B6F7-1EDACA347F6D}"/>
    <cellStyle name="40% - Akzent5 13 5 3" xfId="27360" xr:uid="{868D53CC-EA13-47C1-ABA8-73BE2E9EA2F0}"/>
    <cellStyle name="40% - Akzent5 13 6" xfId="7925" xr:uid="{AD709D37-0D25-4B48-A905-64D5D281D019}"/>
    <cellStyle name="40% - Akzent5 13 6 2" xfId="7926" xr:uid="{E8E4F022-018F-4A92-B870-8072BEB5186B}"/>
    <cellStyle name="40% - Akzent5 13 6 2 2" xfId="27363" xr:uid="{019E041C-823C-4BD7-82E2-C7C2E21C7232}"/>
    <cellStyle name="40% - Akzent5 13 6 3" xfId="27362" xr:uid="{A05F0973-C586-4C10-931C-C9B1C073F687}"/>
    <cellStyle name="40% - Akzent5 13 7" xfId="7927" xr:uid="{003D9380-9CDE-4645-8475-67F5DB0AA0AA}"/>
    <cellStyle name="40% - Akzent5 13 7 2" xfId="7928" xr:uid="{B9CDB6DF-8975-48A5-AC96-A94AF96C8A23}"/>
    <cellStyle name="40% - Akzent5 13 7 2 2" xfId="27365" xr:uid="{262AD35A-E728-4E79-9FA1-677A77DB523B}"/>
    <cellStyle name="40% - Akzent5 13 7 3" xfId="27364" xr:uid="{9389F7CD-69D3-433D-8CD0-1FD9BDF41A45}"/>
    <cellStyle name="40% - Akzent5 13 8" xfId="7929" xr:uid="{E6D48617-DD15-4E9E-B9DE-5072B0BD6891}"/>
    <cellStyle name="40% - Akzent5 13 8 2" xfId="7930" xr:uid="{9F23D7B9-E872-4BCE-8716-409E29457E9A}"/>
    <cellStyle name="40% - Akzent5 13 8 2 2" xfId="27367" xr:uid="{E8841F41-1CEC-41B0-ABD7-56AD33A882AA}"/>
    <cellStyle name="40% - Akzent5 13 8 3" xfId="27366" xr:uid="{625D1F92-CDE6-4E9F-8930-1C541A378A7D}"/>
    <cellStyle name="40% - Akzent5 13 9" xfId="7931" xr:uid="{E4308485-9A4F-427C-9519-72C54F91E8F9}"/>
    <cellStyle name="40% - Akzent5 13 9 2" xfId="7932" xr:uid="{B94CFC01-05F2-4590-85E8-413BF900DF60}"/>
    <cellStyle name="40% - Akzent5 13 9 2 2" xfId="27369" xr:uid="{76AC4A75-22F1-4EF4-8D35-38E2895B32FB}"/>
    <cellStyle name="40% - Akzent5 13 9 3" xfId="27368" xr:uid="{D1459F8E-8AC1-49F3-9151-C136CC80424D}"/>
    <cellStyle name="40% - Akzent5 14" xfId="7933" xr:uid="{ED5D1D33-17D8-473E-83E3-50A85B218DCB}"/>
    <cellStyle name="40% - Akzent5 14 2" xfId="7934" xr:uid="{C255B9F8-E733-40C5-A8EE-9E0DD9AC9C45}"/>
    <cellStyle name="40% - Akzent5 14 2 2" xfId="27371" xr:uid="{EA09BAC7-EFF3-4CF9-8A7E-D1B96AEA94AF}"/>
    <cellStyle name="40% - Akzent5 14 3" xfId="7935" xr:uid="{C61A7B99-EB65-4F99-8BD2-4645D06AF73D}"/>
    <cellStyle name="40% - Akzent5 14 3 2" xfId="27372" xr:uid="{24FF0484-0A91-4A3F-B9DD-4B582CE92A38}"/>
    <cellStyle name="40% - Akzent5 14 4" xfId="27370" xr:uid="{0E568BFC-227B-480A-9AE1-3F2036790A83}"/>
    <cellStyle name="40% - Akzent5 15" xfId="7936" xr:uid="{B454C2AA-4DB0-484D-BC9E-112265E118CD}"/>
    <cellStyle name="40% - Akzent5 15 2" xfId="7937" xr:uid="{AF4A5D60-7DFD-46DF-A240-C66420B2CF1E}"/>
    <cellStyle name="40% - Akzent5 15 2 2" xfId="27374" xr:uid="{A3F407E7-8810-49C2-8E41-F450FCE8BBAF}"/>
    <cellStyle name="40% - Akzent5 15 3" xfId="7938" xr:uid="{9351C90B-6801-4E85-8248-9F15AC9157DC}"/>
    <cellStyle name="40% - Akzent5 15 3 2" xfId="27375" xr:uid="{32883786-4A44-45D8-9E84-083F21A24A43}"/>
    <cellStyle name="40% - Akzent5 15 4" xfId="27373" xr:uid="{F578A293-196C-463D-9D69-B07238C348E0}"/>
    <cellStyle name="40% - Akzent5 16" xfId="7939" xr:uid="{EE9B65AB-1CA5-49C8-BBF9-426A4D14EDFA}"/>
    <cellStyle name="40% - Akzent5 16 2" xfId="7940" xr:uid="{7787C08D-CFF8-4BFF-8B26-DA55D19F3CBA}"/>
    <cellStyle name="40% - Akzent5 16 2 2" xfId="27377" xr:uid="{34743E6F-AEE4-414D-B8C6-801ED90406EF}"/>
    <cellStyle name="40% - Akzent5 16 3" xfId="7941" xr:uid="{FE3C5F76-70B9-4D93-A775-EFC4646F8648}"/>
    <cellStyle name="40% - Akzent5 16 3 2" xfId="27378" xr:uid="{576AA0B7-EEA4-43E9-BEF3-FD0045DCC7B0}"/>
    <cellStyle name="40% - Akzent5 16 4" xfId="27376" xr:uid="{6F1A681E-099A-44AC-8B2F-5CE325701ABC}"/>
    <cellStyle name="40% - Akzent5 17" xfId="7942" xr:uid="{4EABF486-8240-42B8-87A1-1D441C9D2809}"/>
    <cellStyle name="40% - Akzent5 17 2" xfId="7943" xr:uid="{D93FDD54-6D31-4922-ADA1-81542AFC1FB1}"/>
    <cellStyle name="40% - Akzent5 17 2 2" xfId="27380" xr:uid="{08B2EB88-6E08-43DC-94E3-D1ACFC8F879B}"/>
    <cellStyle name="40% - Akzent5 17 3" xfId="7944" xr:uid="{5600A0B7-D62A-43C0-A17A-B52414024BE9}"/>
    <cellStyle name="40% - Akzent5 17 3 2" xfId="27381" xr:uid="{66DBBCC6-16F7-4C60-9949-F4038E9239D2}"/>
    <cellStyle name="40% - Akzent5 17 4" xfId="27379" xr:uid="{330C08E5-BE4A-4AB8-A697-C16937DA78BC}"/>
    <cellStyle name="40% - Akzent5 18" xfId="7945" xr:uid="{002956A3-D32A-44CF-971B-DB4AB7C8C4F7}"/>
    <cellStyle name="40% - Akzent5 18 2" xfId="7946" xr:uid="{2D05AD55-D2DE-4CBD-AB10-01A6655FBDAF}"/>
    <cellStyle name="40% - Akzent5 18 2 2" xfId="27383" xr:uid="{D04F8C65-CAE8-4494-BDEB-9C5FB590E391}"/>
    <cellStyle name="40% - Akzent5 18 3" xfId="7947" xr:uid="{C51CD81B-FCDC-4AEE-9942-8190FDF22AD3}"/>
    <cellStyle name="40% - Akzent5 18 3 2" xfId="27384" xr:uid="{4035D6BF-A94C-42FC-9240-7E6F101305F4}"/>
    <cellStyle name="40% - Akzent5 18 4" xfId="27382" xr:uid="{436251AC-57D0-42FD-B58C-866D526FE9DA}"/>
    <cellStyle name="40% - Akzent5 19" xfId="7948" xr:uid="{71B687A6-D71B-4895-9A0B-FB4062594896}"/>
    <cellStyle name="40% - Akzent5 19 2" xfId="7949" xr:uid="{0B5EB449-E644-4020-A52B-BCED3C620E80}"/>
    <cellStyle name="40% - Akzent5 19 2 2" xfId="27386" xr:uid="{07B9E29D-133D-49D4-A3FA-8BEA59881E18}"/>
    <cellStyle name="40% - Akzent5 19 3" xfId="7950" xr:uid="{1DC59BBF-D7C9-4A44-B574-D73C1C469286}"/>
    <cellStyle name="40% - Akzent5 19 3 2" xfId="27387" xr:uid="{757FEF1B-A547-4222-8038-6FE68D6F0DAB}"/>
    <cellStyle name="40% - Akzent5 19 4" xfId="27385" xr:uid="{3D27E9C2-133B-472A-8935-3F6148336335}"/>
    <cellStyle name="40% - Akzent5 2" xfId="106" xr:uid="{EF581008-3AB0-4A7E-A511-4CE46283E4DC}"/>
    <cellStyle name="40% - Akzent5 2 10" xfId="7952" xr:uid="{360ECA62-DAC5-4746-9BBD-B1FA60077E43}"/>
    <cellStyle name="40% - Akzent5 2 10 2" xfId="7953" xr:uid="{275E9E0F-11F6-4E46-9D08-80A448FA25AC}"/>
    <cellStyle name="40% - Akzent5 2 10 2 2" xfId="27390" xr:uid="{32759D8B-E587-4C77-850D-D263CEF6CC78}"/>
    <cellStyle name="40% - Akzent5 2 10 3" xfId="27389" xr:uid="{CAAA5907-EAFD-40C5-A691-78F1AD9F917D}"/>
    <cellStyle name="40% - Akzent5 2 11" xfId="7954" xr:uid="{F0245B61-EAE5-4892-BDE4-9429CCC42D39}"/>
    <cellStyle name="40% - Akzent5 2 11 2" xfId="7955" xr:uid="{DD2E4489-C923-4C3B-B7CA-E178C3479A2A}"/>
    <cellStyle name="40% - Akzent5 2 11 2 2" xfId="27392" xr:uid="{344D35E2-5EA2-4E10-9B46-6576AC9C8478}"/>
    <cellStyle name="40% - Akzent5 2 11 3" xfId="27391" xr:uid="{732A0916-99DD-4C12-95D6-AF1FB4471A87}"/>
    <cellStyle name="40% - Akzent5 2 12" xfId="7956" xr:uid="{6D668E47-C379-43ED-B567-D99B96105FFC}"/>
    <cellStyle name="40% - Akzent5 2 12 2" xfId="7957" xr:uid="{7DE38086-B579-4BA9-9A99-DAD6ED27AB95}"/>
    <cellStyle name="40% - Akzent5 2 12 2 2" xfId="27394" xr:uid="{B606EA97-2E56-4806-995D-6F37912BCD28}"/>
    <cellStyle name="40% - Akzent5 2 12 3" xfId="27393" xr:uid="{FC8332B3-40A4-444C-BA4E-3D7AAD1FBB75}"/>
    <cellStyle name="40% - Akzent5 2 13" xfId="7958" xr:uid="{3891A5AB-5320-4DFF-8351-2D3B81CB984C}"/>
    <cellStyle name="40% - Akzent5 2 13 2" xfId="7959" xr:uid="{845AC4DD-0BFA-4B94-B575-C557FC7DF116}"/>
    <cellStyle name="40% - Akzent5 2 13 2 2" xfId="27396" xr:uid="{FD3ED277-14FA-49D5-905E-51016C8C70F1}"/>
    <cellStyle name="40% - Akzent5 2 13 3" xfId="27395" xr:uid="{8F7CAD93-110C-42D0-8B03-7DCA8332FC17}"/>
    <cellStyle name="40% - Akzent5 2 14" xfId="7960" xr:uid="{EBB6247C-4388-4E6F-B30B-56535F894AFC}"/>
    <cellStyle name="40% - Akzent5 2 14 2" xfId="7961" xr:uid="{93E34071-FFFD-4351-AD8C-B9E6DF4798B9}"/>
    <cellStyle name="40% - Akzent5 2 14 2 2" xfId="27398" xr:uid="{F744951C-00C7-4513-80E0-9FB7E4F114D9}"/>
    <cellStyle name="40% - Akzent5 2 14 3" xfId="27397" xr:uid="{E9756507-3751-4405-B566-A5B5F93BC563}"/>
    <cellStyle name="40% - Akzent5 2 15" xfId="7962" xr:uid="{55BE3D3F-F539-46B2-A765-94CAB3FBBD1F}"/>
    <cellStyle name="40% - Akzent5 2 15 2" xfId="7963" xr:uid="{D786590A-81A5-4422-AB7B-00300FA77B93}"/>
    <cellStyle name="40% - Akzent5 2 15 2 2" xfId="27400" xr:uid="{A73C3952-EAD1-4EBC-8053-59346E372C27}"/>
    <cellStyle name="40% - Akzent5 2 15 3" xfId="27399" xr:uid="{118CC939-869E-4EEC-995A-9D8F0A02EF70}"/>
    <cellStyle name="40% - Akzent5 2 16" xfId="7964" xr:uid="{BFC12F51-14DE-43B1-B4EC-85967326F8E2}"/>
    <cellStyle name="40% - Akzent5 2 16 2" xfId="7965" xr:uid="{1A3E39DA-7DB0-491F-B6F7-1F5A88B5377F}"/>
    <cellStyle name="40% - Akzent5 2 16 2 2" xfId="27402" xr:uid="{F42C90FF-F0FD-444B-B842-C4158EEA8947}"/>
    <cellStyle name="40% - Akzent5 2 16 3" xfId="27401" xr:uid="{CAC711F6-8830-4903-A6D0-29CA86651558}"/>
    <cellStyle name="40% - Akzent5 2 17" xfId="7966" xr:uid="{1B8AB602-0214-4C32-BF6D-E26AC27E613F}"/>
    <cellStyle name="40% - Akzent5 2 17 2" xfId="7967" xr:uid="{D887D62A-4166-402E-A45E-A6BFF0F928B7}"/>
    <cellStyle name="40% - Akzent5 2 17 2 2" xfId="27404" xr:uid="{92F17563-EBA0-4765-AD76-31DC1BA93B0B}"/>
    <cellStyle name="40% - Akzent5 2 17 3" xfId="27403" xr:uid="{C354500E-C5B9-4F2A-BC52-6B896769921E}"/>
    <cellStyle name="40% - Akzent5 2 18" xfId="7968" xr:uid="{B19A17C1-ADDA-482C-AD27-BCD3B332CECE}"/>
    <cellStyle name="40% - Akzent5 2 18 2" xfId="7969" xr:uid="{C1E4962E-7286-4976-B839-E8562F823F3A}"/>
    <cellStyle name="40% - Akzent5 2 18 2 2" xfId="27406" xr:uid="{A65D0C12-ACFF-4600-90BD-63D7E33CD56A}"/>
    <cellStyle name="40% - Akzent5 2 18 3" xfId="27405" xr:uid="{E7237920-18F3-4C70-9BA7-72E8DDAD3EE6}"/>
    <cellStyle name="40% - Akzent5 2 19" xfId="7970" xr:uid="{BC2B55EE-5537-455B-900B-966E29357533}"/>
    <cellStyle name="40% - Akzent5 2 19 2" xfId="7971" xr:uid="{BCDE0EFB-8B88-4FFB-AE63-CF8C5C948097}"/>
    <cellStyle name="40% - Akzent5 2 19 2 2" xfId="27408" xr:uid="{F65AE7EF-3F00-46F1-97FA-89CF44F70A0A}"/>
    <cellStyle name="40% - Akzent5 2 19 3" xfId="27407" xr:uid="{20C731C3-3389-4EB9-B577-407555B81C3A}"/>
    <cellStyle name="40% - Akzent5 2 2" xfId="7972" xr:uid="{47EEF07D-9445-487E-9CB1-51DA63F9C329}"/>
    <cellStyle name="40% - Akzent5 2 2 10" xfId="7973" xr:uid="{D7FA7E98-48BE-4F8C-AAB7-52AFCC35892A}"/>
    <cellStyle name="40% - Akzent5 2 2 10 2" xfId="27410" xr:uid="{8CB5CB3B-D503-4A74-828B-44BA701CA098}"/>
    <cellStyle name="40% - Akzent5 2 2 11" xfId="7974" xr:uid="{D84EDD1E-8BA5-4831-977D-AFB9B31A59A3}"/>
    <cellStyle name="40% - Akzent5 2 2 11 2" xfId="27411" xr:uid="{2C7AAAA0-0CE1-44DB-A090-C024D855D492}"/>
    <cellStyle name="40% - Akzent5 2 2 12" xfId="7975" xr:uid="{578E2C70-481E-4FB6-9885-F5A95E8D93DE}"/>
    <cellStyle name="40% - Akzent5 2 2 12 2" xfId="27412" xr:uid="{BB96B00D-9A78-4A75-98F9-8DC0C748334C}"/>
    <cellStyle name="40% - Akzent5 2 2 13" xfId="7976" xr:uid="{4FE04ADE-B758-450D-B4D3-6D1BEEE70ECF}"/>
    <cellStyle name="40% - Akzent5 2 2 13 2" xfId="7977" xr:uid="{2DC8F366-13CB-45EC-A863-7F5E4BDAB842}"/>
    <cellStyle name="40% - Akzent5 2 2 13 2 2" xfId="27414" xr:uid="{1A838244-940F-4CF3-BF39-FA0818E3E274}"/>
    <cellStyle name="40% - Akzent5 2 2 13 3" xfId="27413" xr:uid="{E12A502B-0115-48EA-A33C-2C3D765A2D8F}"/>
    <cellStyle name="40% - Akzent5 2 2 14" xfId="7978" xr:uid="{BFA17C4E-55B1-445A-BADF-4FF43E240A17}"/>
    <cellStyle name="40% - Akzent5 2 2 14 2" xfId="7979" xr:uid="{C0D17A9E-3416-4EE9-BFF8-2ED9630602A0}"/>
    <cellStyle name="40% - Akzent5 2 2 14 2 2" xfId="27416" xr:uid="{BCD6118D-8BE7-4B27-A3F4-6DF087F2B386}"/>
    <cellStyle name="40% - Akzent5 2 2 14 3" xfId="27415" xr:uid="{8FE7CE75-CD81-48C2-93F9-CD0BAE66FCBA}"/>
    <cellStyle name="40% - Akzent5 2 2 15" xfId="7980" xr:uid="{CAD3C342-9D99-45EB-908F-F5EFAB0FC597}"/>
    <cellStyle name="40% - Akzent5 2 2 15 2" xfId="7981" xr:uid="{BBA04CF8-A5B8-4865-A719-9357ECB02E87}"/>
    <cellStyle name="40% - Akzent5 2 2 15 2 2" xfId="27418" xr:uid="{B019A800-C2D3-445A-A7C1-67F5D870DFEC}"/>
    <cellStyle name="40% - Akzent5 2 2 15 3" xfId="27417" xr:uid="{826E5A55-16B6-4933-94B2-773CF016F07A}"/>
    <cellStyle name="40% - Akzent5 2 2 16" xfId="7982" xr:uid="{3642B5FD-49DD-4BB6-867B-FB7BA69DAE17}"/>
    <cellStyle name="40% - Akzent5 2 2 16 2" xfId="7983" xr:uid="{64DE3DA4-B203-4614-9AAE-E41CE4F672A3}"/>
    <cellStyle name="40% - Akzent5 2 2 16 2 2" xfId="27420" xr:uid="{26A4ED12-A7C8-41B8-98F9-E2C7035422F8}"/>
    <cellStyle name="40% - Akzent5 2 2 16 3" xfId="27419" xr:uid="{A571D0FD-C156-44AB-ABAD-CA2EE6BF44F8}"/>
    <cellStyle name="40% - Akzent5 2 2 17" xfId="7984" xr:uid="{2F216DE3-E43F-4ADC-AA76-31E4AD884B30}"/>
    <cellStyle name="40% - Akzent5 2 2 17 2" xfId="7985" xr:uid="{66AC2C31-F63E-4CDD-A0E0-95B96A877D68}"/>
    <cellStyle name="40% - Akzent5 2 2 17 2 2" xfId="27422" xr:uid="{57B92BB8-7B21-41EA-81EC-DA8843F616F0}"/>
    <cellStyle name="40% - Akzent5 2 2 17 3" xfId="27421" xr:uid="{779307DC-143F-475F-ABD9-188A9EACDF0B}"/>
    <cellStyle name="40% - Akzent5 2 2 18" xfId="7986" xr:uid="{3088C25C-6590-4733-B2EF-AA5ECA374243}"/>
    <cellStyle name="40% - Akzent5 2 2 18 2" xfId="7987" xr:uid="{866ACE0B-FC5A-4EF4-87EF-B3D90B72AEBA}"/>
    <cellStyle name="40% - Akzent5 2 2 18 2 2" xfId="27424" xr:uid="{B017C7D1-87BE-42F8-A8D1-45A2615D1151}"/>
    <cellStyle name="40% - Akzent5 2 2 18 3" xfId="27423" xr:uid="{D2454DE9-C478-4DFC-8F2E-7C38396F7D51}"/>
    <cellStyle name="40% - Akzent5 2 2 19" xfId="7988" xr:uid="{1C35BF8A-F739-47AB-8FAE-66CB4E76CD78}"/>
    <cellStyle name="40% - Akzent5 2 2 19 2" xfId="7989" xr:uid="{96E69E13-5B4D-47A8-97C7-46AD1CB3EABE}"/>
    <cellStyle name="40% - Akzent5 2 2 19 2 2" xfId="27426" xr:uid="{978F18E9-8A84-478A-A951-D55229775615}"/>
    <cellStyle name="40% - Akzent5 2 2 19 3" xfId="27425" xr:uid="{92FC5AF3-D70B-4963-BAA4-5F95C174005C}"/>
    <cellStyle name="40% - Akzent5 2 2 2" xfId="7990" xr:uid="{F06F4D99-19AB-47B8-8E33-68DD4582013C}"/>
    <cellStyle name="40% - Akzent5 2 2 2 10" xfId="7991" xr:uid="{F4FFCC5D-0C4A-42B6-B4DC-7D04AC6FDBA2}"/>
    <cellStyle name="40% - Akzent5 2 2 2 10 2" xfId="7992" xr:uid="{11A90FDE-6B8C-4433-8668-410371DB5CC9}"/>
    <cellStyle name="40% - Akzent5 2 2 2 10 2 2" xfId="27429" xr:uid="{F80EC346-2DCA-451E-B698-488206AB0FF1}"/>
    <cellStyle name="40% - Akzent5 2 2 2 10 3" xfId="27428" xr:uid="{B9ED9299-ABF8-4EBB-A9E2-D28BF52A1FF4}"/>
    <cellStyle name="40% - Akzent5 2 2 2 11" xfId="7993" xr:uid="{1F725AFC-4219-4EB6-9FD9-191E3DD6FF01}"/>
    <cellStyle name="40% - Akzent5 2 2 2 11 2" xfId="27430" xr:uid="{648F100D-70A1-4255-AACA-1C53E7118D77}"/>
    <cellStyle name="40% - Akzent5 2 2 2 12" xfId="27427" xr:uid="{E18B7F30-95CB-498B-9662-05AC26A6DE7D}"/>
    <cellStyle name="40% - Akzent5 2 2 2 13" xfId="39961" xr:uid="{86D5A12C-8201-48C5-91FA-F723FE27B05A}"/>
    <cellStyle name="40% - Akzent5 2 2 2 2" xfId="7994" xr:uid="{74036158-3785-4A30-A3E0-0D447C37A7D0}"/>
    <cellStyle name="40% - Akzent5 2 2 2 2 10" xfId="40907" xr:uid="{77F882D0-93F4-45B0-A3CB-DA5E93FA8E9A}"/>
    <cellStyle name="40% - Akzent5 2 2 2 2 2" xfId="7995" xr:uid="{5FCFB29B-6277-4750-9ED1-BF83A61B2A94}"/>
    <cellStyle name="40% - Akzent5 2 2 2 2 2 10" xfId="27432" xr:uid="{14FFEC85-347B-4186-834D-3D627CC715E9}"/>
    <cellStyle name="40% - Akzent5 2 2 2 2 2 2" xfId="7996" xr:uid="{D1BCA17F-591D-4A97-83C1-19CB203297B6}"/>
    <cellStyle name="40% - Akzent5 2 2 2 2 2 2 2" xfId="7997" xr:uid="{FAD9A664-FA6C-41CD-A0E7-D5430A1EF5AB}"/>
    <cellStyle name="40% - Akzent5 2 2 2 2 2 2 2 2" xfId="7998" xr:uid="{D64B8D24-612A-46A5-ADA9-E37B67AB2DD9}"/>
    <cellStyle name="40% - Akzent5 2 2 2 2 2 2 2 2 2" xfId="27435" xr:uid="{A0E64D2F-F74E-400F-9F03-3DF3D742B5E1}"/>
    <cellStyle name="40% - Akzent5 2 2 2 2 2 2 2 3" xfId="27434" xr:uid="{870646DD-82AC-4BCE-9DA5-945A9FE70596}"/>
    <cellStyle name="40% - Akzent5 2 2 2 2 2 2 3" xfId="27433" xr:uid="{01F4FA51-DAD5-466A-BBAF-857183098B8B}"/>
    <cellStyle name="40% - Akzent5 2 2 2 2 2 3" xfId="7999" xr:uid="{F867B519-2541-4895-AE42-4370070186FE}"/>
    <cellStyle name="40% - Akzent5 2 2 2 2 2 3 2" xfId="8000" xr:uid="{D7BFA5C4-A6A7-4C11-A103-020869D384CE}"/>
    <cellStyle name="40% - Akzent5 2 2 2 2 2 3 2 2" xfId="27437" xr:uid="{40D500AA-6C02-41BE-9380-096B17691BCA}"/>
    <cellStyle name="40% - Akzent5 2 2 2 2 2 3 3" xfId="27436" xr:uid="{B62D4BA6-0DF0-4ED7-8986-148429713A81}"/>
    <cellStyle name="40% - Akzent5 2 2 2 2 2 4" xfId="8001" xr:uid="{0E2417D8-4634-4179-B265-A126714FD448}"/>
    <cellStyle name="40% - Akzent5 2 2 2 2 2 4 2" xfId="8002" xr:uid="{57BA3C69-BFC9-49F4-A169-5263F8854706}"/>
    <cellStyle name="40% - Akzent5 2 2 2 2 2 4 2 2" xfId="27439" xr:uid="{C1E5CAA5-BDA1-4630-B81B-7DF511F22B0D}"/>
    <cellStyle name="40% - Akzent5 2 2 2 2 2 4 3" xfId="27438" xr:uid="{881FB465-0BA6-4DC3-B0D9-C69AC983AA30}"/>
    <cellStyle name="40% - Akzent5 2 2 2 2 2 5" xfId="8003" xr:uid="{EFC4E16E-2A5C-4B02-A033-01FC92FB9CB5}"/>
    <cellStyle name="40% - Akzent5 2 2 2 2 2 5 2" xfId="8004" xr:uid="{FD7E48C4-CDF7-4482-987D-744E374599F8}"/>
    <cellStyle name="40% - Akzent5 2 2 2 2 2 5 2 2" xfId="27441" xr:uid="{759BEA94-B5D3-4080-9C5B-25F0E17D09F9}"/>
    <cellStyle name="40% - Akzent5 2 2 2 2 2 5 3" xfId="27440" xr:uid="{B6730BC7-4525-4214-87D1-B6E19139F871}"/>
    <cellStyle name="40% - Akzent5 2 2 2 2 2 6" xfId="8005" xr:uid="{6BF7FB95-9201-42C7-9F74-D8FD8934A0A9}"/>
    <cellStyle name="40% - Akzent5 2 2 2 2 2 6 2" xfId="8006" xr:uid="{D552EFE5-E947-484D-AAE6-A1DDF5BB989E}"/>
    <cellStyle name="40% - Akzent5 2 2 2 2 2 6 2 2" xfId="27443" xr:uid="{51D232D6-F972-4778-A890-2D7E5214B912}"/>
    <cellStyle name="40% - Akzent5 2 2 2 2 2 6 3" xfId="27442" xr:uid="{E9957CF9-C56E-4573-BAFA-BE27FC704107}"/>
    <cellStyle name="40% - Akzent5 2 2 2 2 2 7" xfId="8007" xr:uid="{8777C1ED-2862-4479-8817-88E764D21C82}"/>
    <cellStyle name="40% - Akzent5 2 2 2 2 2 7 2" xfId="8008" xr:uid="{5EDF54D3-9BF0-464B-956E-987043E537AC}"/>
    <cellStyle name="40% - Akzent5 2 2 2 2 2 7 2 2" xfId="27445" xr:uid="{C922AD1F-157B-436A-BCE1-E13E505C18A7}"/>
    <cellStyle name="40% - Akzent5 2 2 2 2 2 7 3" xfId="27444" xr:uid="{B66A986F-8E6A-44CA-89DB-9C4327F5602D}"/>
    <cellStyle name="40% - Akzent5 2 2 2 2 2 8" xfId="8009" xr:uid="{CC839BFA-0C73-4784-99FB-324BD78F8DD5}"/>
    <cellStyle name="40% - Akzent5 2 2 2 2 2 8 2" xfId="8010" xr:uid="{3CEEF43A-0D19-42B4-A891-C010F610EA85}"/>
    <cellStyle name="40% - Akzent5 2 2 2 2 2 8 2 2" xfId="27447" xr:uid="{5D6EAD84-BA16-4312-A874-7520FDC5F0D3}"/>
    <cellStyle name="40% - Akzent5 2 2 2 2 2 8 3" xfId="27446" xr:uid="{3395E0FC-AF24-4F51-BAE5-64166B2CBAA7}"/>
    <cellStyle name="40% - Akzent5 2 2 2 2 2 9" xfId="8011" xr:uid="{19A5FE12-D475-43C7-886F-1CCB0C8D4810}"/>
    <cellStyle name="40% - Akzent5 2 2 2 2 2 9 2" xfId="27448" xr:uid="{E648D439-981F-4070-9C97-9A9F1277687C}"/>
    <cellStyle name="40% - Akzent5 2 2 2 2 3" xfId="8012" xr:uid="{F292BCFC-4A38-4863-AC12-AAB91DCD8BA8}"/>
    <cellStyle name="40% - Akzent5 2 2 2 2 3 2" xfId="8013" xr:uid="{F53D61B9-5B1E-4961-95F1-39F56A167BB6}"/>
    <cellStyle name="40% - Akzent5 2 2 2 2 3 2 2" xfId="27450" xr:uid="{84197990-D63D-428B-A6A7-60A2CB756D19}"/>
    <cellStyle name="40% - Akzent5 2 2 2 2 3 3" xfId="8014" xr:uid="{964CEC23-8ED9-4C54-868F-34B923F01893}"/>
    <cellStyle name="40% - Akzent5 2 2 2 2 3 3 2" xfId="27451" xr:uid="{4EA49E5B-559B-4281-982A-317C536A1672}"/>
    <cellStyle name="40% - Akzent5 2 2 2 2 3 4" xfId="27449" xr:uid="{18A368BD-5B35-4B33-816D-08E27B084A47}"/>
    <cellStyle name="40% - Akzent5 2 2 2 2 4" xfId="8015" xr:uid="{3A105764-B4E1-4261-A2FF-CF2B41E530C1}"/>
    <cellStyle name="40% - Akzent5 2 2 2 2 4 2" xfId="27452" xr:uid="{A7CAA9C7-7101-45D3-B09B-604FCAFF880F}"/>
    <cellStyle name="40% - Akzent5 2 2 2 2 5" xfId="8016" xr:uid="{56FB65BD-CE31-4A2C-A847-E3454613135E}"/>
    <cellStyle name="40% - Akzent5 2 2 2 2 5 2" xfId="27453" xr:uid="{A17F9DAF-F058-4065-9827-A36429272D29}"/>
    <cellStyle name="40% - Akzent5 2 2 2 2 6" xfId="8017" xr:uid="{361743AC-685B-443E-8506-AD4CC94610EA}"/>
    <cellStyle name="40% - Akzent5 2 2 2 2 6 2" xfId="27454" xr:uid="{6F3D5F92-568F-4A65-9226-127C9487975A}"/>
    <cellStyle name="40% - Akzent5 2 2 2 2 7" xfId="8018" xr:uid="{9F7F9280-0EA3-4057-BA51-01DB00496F81}"/>
    <cellStyle name="40% - Akzent5 2 2 2 2 7 2" xfId="27455" xr:uid="{30E95FCB-B834-42EF-A7DA-7B889045DA47}"/>
    <cellStyle name="40% - Akzent5 2 2 2 2 8" xfId="8019" xr:uid="{8DAF3938-1B8E-4B6D-94F9-0D1DC94C09CA}"/>
    <cellStyle name="40% - Akzent5 2 2 2 2 8 2" xfId="27456" xr:uid="{BA986232-3935-4495-98A7-AC94A75EECED}"/>
    <cellStyle name="40% - Akzent5 2 2 2 2 9" xfId="27431" xr:uid="{D0788E40-992D-45B1-A29F-CC2D8BB83042}"/>
    <cellStyle name="40% - Akzent5 2 2 2 3" xfId="8020" xr:uid="{5AE8506F-F97C-4E1F-832F-E2CBAF44537C}"/>
    <cellStyle name="40% - Akzent5 2 2 2 3 2" xfId="8021" xr:uid="{F76919DF-960C-4F85-9B16-A66EDEC6D985}"/>
    <cellStyle name="40% - Akzent5 2 2 2 3 2 2" xfId="27458" xr:uid="{DBB61149-DF35-49C7-A35B-34B32F3DBBF1}"/>
    <cellStyle name="40% - Akzent5 2 2 2 3 3" xfId="27457" xr:uid="{B7250EE4-BB7B-40DA-9A34-FC9784D0CFFE}"/>
    <cellStyle name="40% - Akzent5 2 2 2 3 4" xfId="41767" xr:uid="{AA409669-47CA-4D98-AF3E-E3DCC7D56DCC}"/>
    <cellStyle name="40% - Akzent5 2 2 2 4" xfId="8022" xr:uid="{A32D2598-4E4D-4AA8-AEB7-EBF74AE18F8B}"/>
    <cellStyle name="40% - Akzent5 2 2 2 4 2" xfId="8023" xr:uid="{399D66F8-FC7D-48D9-A0D2-EAE9C4009A3A}"/>
    <cellStyle name="40% - Akzent5 2 2 2 4 2 2" xfId="27460" xr:uid="{2CCF433A-EF01-4572-9BBE-043F14BA0D77}"/>
    <cellStyle name="40% - Akzent5 2 2 2 4 3" xfId="27459" xr:uid="{03409C7E-4C3E-4F77-8654-07F13FFDE220}"/>
    <cellStyle name="40% - Akzent5 2 2 2 5" xfId="8024" xr:uid="{70A6CA2B-2977-46A8-A9AB-DD5B1F84F818}"/>
    <cellStyle name="40% - Akzent5 2 2 2 5 2" xfId="8025" xr:uid="{39472038-DA2A-4C06-BE1E-6FB71DD0818E}"/>
    <cellStyle name="40% - Akzent5 2 2 2 5 2 2" xfId="8026" xr:uid="{2EC5596A-B43E-466E-818F-FD12AE95889D}"/>
    <cellStyle name="40% - Akzent5 2 2 2 5 2 2 2" xfId="27463" xr:uid="{D7DCE680-E4E5-4D34-8BB6-49A701B26EE2}"/>
    <cellStyle name="40% - Akzent5 2 2 2 5 2 3" xfId="27462" xr:uid="{14143E81-17AB-432F-97CC-697390087BF4}"/>
    <cellStyle name="40% - Akzent5 2 2 2 5 3" xfId="27461" xr:uid="{988363EF-1C6C-4473-AE4A-338E9E5182D0}"/>
    <cellStyle name="40% - Akzent5 2 2 2 6" xfId="8027" xr:uid="{C172DBED-F903-4C7C-9078-3EC91AD785BE}"/>
    <cellStyle name="40% - Akzent5 2 2 2 6 2" xfId="8028" xr:uid="{AF2F8F15-32B4-4EDD-936B-D98A4ECA8CF1}"/>
    <cellStyle name="40% - Akzent5 2 2 2 6 2 2" xfId="27465" xr:uid="{D680D03E-97D5-4429-9E06-BFE2031138D0}"/>
    <cellStyle name="40% - Akzent5 2 2 2 6 3" xfId="27464" xr:uid="{4D57AD90-6659-4290-AA6B-30B3160AA027}"/>
    <cellStyle name="40% - Akzent5 2 2 2 7" xfId="8029" xr:uid="{DEDE09DE-1D77-46AA-8253-168AB2D4B35B}"/>
    <cellStyle name="40% - Akzent5 2 2 2 7 2" xfId="8030" xr:uid="{E47749BB-E155-44F5-85F9-56CEA4AB6400}"/>
    <cellStyle name="40% - Akzent5 2 2 2 7 2 2" xfId="27467" xr:uid="{7DB41625-AD1A-42EA-9C13-FDEEF6B85EA1}"/>
    <cellStyle name="40% - Akzent5 2 2 2 7 3" xfId="27466" xr:uid="{DA62EADC-4AD2-411A-9B95-6CAE97420593}"/>
    <cellStyle name="40% - Akzent5 2 2 2 8" xfId="8031" xr:uid="{70F6ED66-5C86-425E-9241-BED9E22E2444}"/>
    <cellStyle name="40% - Akzent5 2 2 2 8 2" xfId="8032" xr:uid="{469196DF-F9A8-404B-A079-624BEACF7DB5}"/>
    <cellStyle name="40% - Akzent5 2 2 2 8 2 2" xfId="27469" xr:uid="{7B695DB5-ED7D-4789-A174-EE12859755F5}"/>
    <cellStyle name="40% - Akzent5 2 2 2 8 3" xfId="27468" xr:uid="{368B05A4-BEA4-4F03-9F8B-0DE1D1C1293F}"/>
    <cellStyle name="40% - Akzent5 2 2 2 9" xfId="8033" xr:uid="{AE1525DB-3804-4F49-859D-15AA8F42F314}"/>
    <cellStyle name="40% - Akzent5 2 2 2 9 2" xfId="8034" xr:uid="{57BDAA46-D8C3-44E3-B3EC-4AA82785F4BF}"/>
    <cellStyle name="40% - Akzent5 2 2 2 9 2 2" xfId="27471" xr:uid="{465F90B1-1E91-436E-A86B-BB918D08EA5F}"/>
    <cellStyle name="40% - Akzent5 2 2 2 9 3" xfId="27470" xr:uid="{5479DE75-CC6C-42FF-BFDC-D3AD854686B3}"/>
    <cellStyle name="40% - Akzent5 2 2 20" xfId="8035" xr:uid="{98C2BE29-1524-474D-BB2A-815F2B5E94B2}"/>
    <cellStyle name="40% - Akzent5 2 2 20 2" xfId="8036" xr:uid="{5EAA942C-3AC6-4826-A696-6D9E8FCE195C}"/>
    <cellStyle name="40% - Akzent5 2 2 20 2 2" xfId="27473" xr:uid="{234AEF97-0F72-4C18-8B1C-2B5B0DDB36FC}"/>
    <cellStyle name="40% - Akzent5 2 2 20 3" xfId="27472" xr:uid="{95F4C679-BD4A-435C-84BD-D74B7369E30B}"/>
    <cellStyle name="40% - Akzent5 2 2 21" xfId="8037" xr:uid="{DFA73B91-4E4F-4775-AF2A-AC72220DFD5F}"/>
    <cellStyle name="40% - Akzent5 2 2 21 2" xfId="8038" xr:uid="{7D6AF55E-3BF8-4D92-9B93-8E45EBE58404}"/>
    <cellStyle name="40% - Akzent5 2 2 21 2 2" xfId="27475" xr:uid="{7B2A5828-DC72-47A2-9684-320DF50CFD42}"/>
    <cellStyle name="40% - Akzent5 2 2 21 3" xfId="27474" xr:uid="{FF71716C-E9EF-483A-B340-1140DCB02ACE}"/>
    <cellStyle name="40% - Akzent5 2 2 22" xfId="8039" xr:uid="{B122745A-3895-4B4A-8A24-50736ABD0F7F}"/>
    <cellStyle name="40% - Akzent5 2 2 22 2" xfId="27476" xr:uid="{5B4A044E-22BC-4CA7-ADFD-1F5BF2D65179}"/>
    <cellStyle name="40% - Akzent5 2 2 23" xfId="27409" xr:uid="{6F9F6214-2E4A-43F7-A4B9-BE7B3D838C1F}"/>
    <cellStyle name="40% - Akzent5 2 2 24" xfId="39328" xr:uid="{A003EEB3-3D7F-445C-849E-83DBB53529CA}"/>
    <cellStyle name="40% - Akzent5 2 2 3" xfId="8040" xr:uid="{A3C6DD6D-B3F2-4A11-9650-B8865C586A0D}"/>
    <cellStyle name="40% - Akzent5 2 2 3 2" xfId="8041" xr:uid="{E14822A3-AE74-48B4-85C6-36C8F9BDC0A7}"/>
    <cellStyle name="40% - Akzent5 2 2 3 2 2" xfId="27478" xr:uid="{86508E58-4262-4DE7-ACC3-518442CA152E}"/>
    <cellStyle name="40% - Akzent5 2 2 3 3" xfId="27477" xr:uid="{287EB079-8972-491C-9EEF-D317C80E1354}"/>
    <cellStyle name="40% - Akzent5 2 2 3 4" xfId="40471" xr:uid="{A531C2E2-136E-4D6B-A280-F05BDCB6AF71}"/>
    <cellStyle name="40% - Akzent5 2 2 4" xfId="8042" xr:uid="{E05AD728-7845-4A25-BC2F-A4D3E3D776D2}"/>
    <cellStyle name="40% - Akzent5 2 2 4 2" xfId="8043" xr:uid="{72143D83-BF36-41FA-9F7A-E4C676BA2EFD}"/>
    <cellStyle name="40% - Akzent5 2 2 4 2 2" xfId="27480" xr:uid="{16887631-8325-4D91-BB1B-4F307FDF84B8}"/>
    <cellStyle name="40% - Akzent5 2 2 4 3" xfId="27479" xr:uid="{E1BA85D2-8893-4B6C-9962-082FC36B46FA}"/>
    <cellStyle name="40% - Akzent5 2 2 4 4" xfId="41331" xr:uid="{2CAD562D-110D-4A08-974B-345C2E70B02E}"/>
    <cellStyle name="40% - Akzent5 2 2 5" xfId="8044" xr:uid="{9F886387-364D-4A01-98F9-A5FA1D9687C3}"/>
    <cellStyle name="40% - Akzent5 2 2 5 2" xfId="8045" xr:uid="{D94887D6-3FB7-44CF-B678-ADA9B9ED5228}"/>
    <cellStyle name="40% - Akzent5 2 2 5 2 2" xfId="27482" xr:uid="{43DF37F2-581A-4ADB-8780-3AA5B5E3B19F}"/>
    <cellStyle name="40% - Akzent5 2 2 5 3" xfId="8046" xr:uid="{4E314325-28BE-4EEC-96E6-9BBEE0607B03}"/>
    <cellStyle name="40% - Akzent5 2 2 5 3 2" xfId="27483" xr:uid="{5D73A1EE-1CF9-4D19-A1BC-0FA04067A6BD}"/>
    <cellStyle name="40% - Akzent5 2 2 5 4" xfId="27481" xr:uid="{ECC2DD1A-CDA1-49BC-B014-96299D41C292}"/>
    <cellStyle name="40% - Akzent5 2 2 6" xfId="8047" xr:uid="{20E4064D-6D9A-47BE-8773-C8270BE9E1BA}"/>
    <cellStyle name="40% - Akzent5 2 2 6 2" xfId="27484" xr:uid="{1FBF80ED-B7DE-407E-A218-3C78837C7CDC}"/>
    <cellStyle name="40% - Akzent5 2 2 7" xfId="8048" xr:uid="{3319C8F7-AC02-4036-9CA3-EB848C629636}"/>
    <cellStyle name="40% - Akzent5 2 2 7 2" xfId="8049" xr:uid="{EAC60F2D-EFA8-4773-8B81-E9FC41DD5A94}"/>
    <cellStyle name="40% - Akzent5 2 2 7 2 2" xfId="27486" xr:uid="{8DA09A09-9EEF-4D5B-89C4-9F846E29C20F}"/>
    <cellStyle name="40% - Akzent5 2 2 7 3" xfId="8050" xr:uid="{1D50AC33-84D5-4838-B68A-3DD77ED2ED4C}"/>
    <cellStyle name="40% - Akzent5 2 2 7 3 2" xfId="27487" xr:uid="{FD711584-956C-46E9-8412-DAFB2640CE54}"/>
    <cellStyle name="40% - Akzent5 2 2 7 4" xfId="27485" xr:uid="{768C98A1-8AD2-408A-A9B5-BA93A004FD4C}"/>
    <cellStyle name="40% - Akzent5 2 2 8" xfId="8051" xr:uid="{0571D180-9CD1-4D12-9FD9-CDBD7F3EC84F}"/>
    <cellStyle name="40% - Akzent5 2 2 8 2" xfId="27488" xr:uid="{64D52D3C-A630-40EC-9E29-5DE1AB4E7767}"/>
    <cellStyle name="40% - Akzent5 2 2 9" xfId="8052" xr:uid="{EE4C7083-02E4-4F37-AB3C-0EC1D236FB26}"/>
    <cellStyle name="40% - Akzent5 2 2 9 2" xfId="27489" xr:uid="{45F6F2C1-70EF-4992-AA02-5D1AD3BB58D7}"/>
    <cellStyle name="40% - Akzent5 2 20" xfId="8053" xr:uid="{502B1871-5415-4135-A54C-1CB00EEF28DA}"/>
    <cellStyle name="40% - Akzent5 2 20 2" xfId="8054" xr:uid="{8F2F14A8-3C06-49C0-9780-F38A264E76B5}"/>
    <cellStyle name="40% - Akzent5 2 20 2 2" xfId="27491" xr:uid="{7107A2D3-C799-41DE-A7A8-F644897E736D}"/>
    <cellStyle name="40% - Akzent5 2 20 3" xfId="27490" xr:uid="{7E6D5968-4CD9-4B42-BB4C-99E083632638}"/>
    <cellStyle name="40% - Akzent5 2 21" xfId="8055" xr:uid="{776350E7-425D-4ABC-87E7-FA5C7C3F9003}"/>
    <cellStyle name="40% - Akzent5 2 21 2" xfId="8056" xr:uid="{EB813E41-E75A-4671-A673-D628AB260D34}"/>
    <cellStyle name="40% - Akzent5 2 21 2 2" xfId="27493" xr:uid="{C11D0E43-B3FB-48B4-9D81-9C1D3B00522C}"/>
    <cellStyle name="40% - Akzent5 2 21 3" xfId="27492" xr:uid="{1E0D7D69-9AB4-423B-8B84-DD2720E8D927}"/>
    <cellStyle name="40% - Akzent5 2 22" xfId="8057" xr:uid="{D359BB30-5E92-44A2-8B17-C6B5A4193307}"/>
    <cellStyle name="40% - Akzent5 2 22 2" xfId="8058" xr:uid="{57E5995D-9853-4E07-8A94-0CB4A703494F}"/>
    <cellStyle name="40% - Akzent5 2 22 2 2" xfId="27495" xr:uid="{6F92F9EC-2A9C-4BB3-8A99-83E67E642F3D}"/>
    <cellStyle name="40% - Akzent5 2 22 3" xfId="27494" xr:uid="{7ADF83EB-6FD2-4C01-B75C-018842F852D0}"/>
    <cellStyle name="40% - Akzent5 2 23" xfId="8059" xr:uid="{C94B7C4F-FFCF-46A6-B9D8-907429D9C5FD}"/>
    <cellStyle name="40% - Akzent5 2 23 2" xfId="8060" xr:uid="{99601CB3-AA17-4118-9FC6-602E4A9BDB6E}"/>
    <cellStyle name="40% - Akzent5 2 23 2 2" xfId="27497" xr:uid="{C0CC0048-AF3D-4635-9527-9F4ADB2998BB}"/>
    <cellStyle name="40% - Akzent5 2 23 3" xfId="27496" xr:uid="{A5F26A66-3F06-452C-B5B4-3B820C27D2FA}"/>
    <cellStyle name="40% - Akzent5 2 24" xfId="8061" xr:uid="{B0BC038D-91A5-4571-BD3A-9A4CF61609E1}"/>
    <cellStyle name="40% - Akzent5 2 24 2" xfId="27498" xr:uid="{E84802C0-30EE-4F86-B5B8-6DE5BDD016F9}"/>
    <cellStyle name="40% - Akzent5 2 25" xfId="27388" xr:uid="{CD16F647-DEFA-476B-83E3-6B3292190814}"/>
    <cellStyle name="40% - Akzent5 2 26" xfId="39327" xr:uid="{BA9E7F24-2C18-4CA6-99D8-2074ACCEA0C9}"/>
    <cellStyle name="40% - Akzent5 2 27" xfId="7951" xr:uid="{5205D512-C4AC-4550-B636-ACCB93C64C7E}"/>
    <cellStyle name="40% - Akzent5 2 3" xfId="8062" xr:uid="{A5FD28E5-C0B1-48BA-94E7-F8D1B48E8EF8}"/>
    <cellStyle name="40% - Akzent5 2 3 10" xfId="8063" xr:uid="{80566632-0B84-4C39-A4D2-6797ACE150B4}"/>
    <cellStyle name="40% - Akzent5 2 3 10 2" xfId="8064" xr:uid="{07BEBEDE-7DC0-4D96-BCAE-6092EE466E4D}"/>
    <cellStyle name="40% - Akzent5 2 3 10 2 2" xfId="27501" xr:uid="{0FF1602C-AA86-4990-A906-A618AB0DCBAB}"/>
    <cellStyle name="40% - Akzent5 2 3 10 3" xfId="27500" xr:uid="{712E9CD0-1ED7-4897-A97B-2200CCB7C039}"/>
    <cellStyle name="40% - Akzent5 2 3 11" xfId="8065" xr:uid="{EA28CA76-AB1A-4056-8082-ECDEFF4B3F28}"/>
    <cellStyle name="40% - Akzent5 2 3 11 2" xfId="8066" xr:uid="{75A57090-1D0F-4030-B4AB-65340622CA63}"/>
    <cellStyle name="40% - Akzent5 2 3 11 2 2" xfId="27503" xr:uid="{A85F75BE-C9F0-4E5B-8F47-87A3B486838C}"/>
    <cellStyle name="40% - Akzent5 2 3 11 3" xfId="27502" xr:uid="{0595F4C5-5308-48A0-9B56-D4D4DAC938D1}"/>
    <cellStyle name="40% - Akzent5 2 3 12" xfId="8067" xr:uid="{7B6AA688-0644-49F0-AFC8-48C8E476012D}"/>
    <cellStyle name="40% - Akzent5 2 3 12 2" xfId="8068" xr:uid="{E1DDF327-7F62-4398-9A1F-2A1DE8CCA31E}"/>
    <cellStyle name="40% - Akzent5 2 3 12 2 2" xfId="27505" xr:uid="{D83C0BA6-9C71-49ED-928D-AA10E7BF319B}"/>
    <cellStyle name="40% - Akzent5 2 3 12 3" xfId="27504" xr:uid="{AD2EDBBE-1D22-4E8A-B13D-C80DCA3CBE49}"/>
    <cellStyle name="40% - Akzent5 2 3 13" xfId="8069" xr:uid="{1C649718-5330-437A-88E8-BFAA80CAD92B}"/>
    <cellStyle name="40% - Akzent5 2 3 13 2" xfId="8070" xr:uid="{23C0BB13-7A8B-4174-8A5C-E7F7EB51413C}"/>
    <cellStyle name="40% - Akzent5 2 3 13 2 2" xfId="27507" xr:uid="{B5915265-F936-4FED-86EF-A66467D83091}"/>
    <cellStyle name="40% - Akzent5 2 3 13 3" xfId="27506" xr:uid="{4EA48DF9-8F2E-432E-807D-D5A7C187B593}"/>
    <cellStyle name="40% - Akzent5 2 3 14" xfId="8071" xr:uid="{109E96D4-88D1-4C00-BC70-A8F6F26B5E8D}"/>
    <cellStyle name="40% - Akzent5 2 3 14 2" xfId="8072" xr:uid="{B26A75F1-B86D-45CF-86CE-439402BDAC81}"/>
    <cellStyle name="40% - Akzent5 2 3 14 2 2" xfId="27509" xr:uid="{CB831BF2-4030-4B26-A5E9-E5978E29C962}"/>
    <cellStyle name="40% - Akzent5 2 3 14 3" xfId="27508" xr:uid="{18DDC923-9C6F-47E1-9BB2-D663E612B292}"/>
    <cellStyle name="40% - Akzent5 2 3 15" xfId="8073" xr:uid="{E2903527-8477-465F-A853-BEEEDA6F9D81}"/>
    <cellStyle name="40% - Akzent5 2 3 15 2" xfId="8074" xr:uid="{ADA0F4BF-242B-4F0A-AD87-9CA0E3C64F8C}"/>
    <cellStyle name="40% - Akzent5 2 3 15 2 2" xfId="27511" xr:uid="{43B733A5-72DA-4D62-9891-69575D4CB264}"/>
    <cellStyle name="40% - Akzent5 2 3 15 3" xfId="27510" xr:uid="{F4A2EA39-8F75-4279-8C61-CDC56E4B0F75}"/>
    <cellStyle name="40% - Akzent5 2 3 16" xfId="8075" xr:uid="{C9E711E6-229C-44E8-B812-EDF77E0AB931}"/>
    <cellStyle name="40% - Akzent5 2 3 16 2" xfId="8076" xr:uid="{D5F639CF-F3DE-4ACF-A956-7D05D5B61179}"/>
    <cellStyle name="40% - Akzent5 2 3 16 2 2" xfId="27513" xr:uid="{1AB31AC8-291E-470A-BE0B-36C51DDBE5AB}"/>
    <cellStyle name="40% - Akzent5 2 3 16 3" xfId="27512" xr:uid="{1DC59C94-8C09-4A0E-B758-B217D8A5422F}"/>
    <cellStyle name="40% - Akzent5 2 3 17" xfId="8077" xr:uid="{8B7DABF9-88AF-4983-BEEC-F0F771968F91}"/>
    <cellStyle name="40% - Akzent5 2 3 17 2" xfId="8078" xr:uid="{9046CEDA-816B-436F-A50D-8E59F65604D1}"/>
    <cellStyle name="40% - Akzent5 2 3 17 2 2" xfId="27515" xr:uid="{81B2B326-0560-4F98-9432-E6C07A4878C6}"/>
    <cellStyle name="40% - Akzent5 2 3 17 3" xfId="27514" xr:uid="{FBA16A4D-D63A-45A1-A71E-4696B7A9E007}"/>
    <cellStyle name="40% - Akzent5 2 3 18" xfId="8079" xr:uid="{FB51F9E6-5290-47A9-800B-49FB11B00960}"/>
    <cellStyle name="40% - Akzent5 2 3 18 2" xfId="8080" xr:uid="{64D9732F-2947-40E6-AC28-1E04D02F2BB2}"/>
    <cellStyle name="40% - Akzent5 2 3 18 2 2" xfId="27517" xr:uid="{12EE6257-A212-40DE-9FCD-BA64957ADD14}"/>
    <cellStyle name="40% - Akzent5 2 3 18 3" xfId="27516" xr:uid="{7D92F565-855F-428E-B305-544A46F4517C}"/>
    <cellStyle name="40% - Akzent5 2 3 19" xfId="8081" xr:uid="{966A7A6F-0174-4F18-8B9B-31B7B4A59248}"/>
    <cellStyle name="40% - Akzent5 2 3 19 2" xfId="8082" xr:uid="{B0765758-AEB2-47FB-BD83-0F860437B23E}"/>
    <cellStyle name="40% - Akzent5 2 3 19 2 2" xfId="27519" xr:uid="{04421A72-76CC-4E11-901D-014690172D97}"/>
    <cellStyle name="40% - Akzent5 2 3 19 3" xfId="27518" xr:uid="{3C807CF1-3AC5-423B-97B1-E76DF710FD53}"/>
    <cellStyle name="40% - Akzent5 2 3 2" xfId="8083" xr:uid="{7B9D601F-779F-40A2-9D1A-E8CCD3CC3133}"/>
    <cellStyle name="40% - Akzent5 2 3 2 2" xfId="8084" xr:uid="{73A40818-417F-4CE7-9690-C0D8050C0EDA}"/>
    <cellStyle name="40% - Akzent5 2 3 2 2 2" xfId="27521" xr:uid="{799B430B-AEA8-43C1-A53E-59C809BF48FA}"/>
    <cellStyle name="40% - Akzent5 2 3 2 3" xfId="27520" xr:uid="{3BA5BCEF-3D62-40A1-A048-7E2BB3992F82}"/>
    <cellStyle name="40% - Akzent5 2 3 2 4" xfId="40906" xr:uid="{B063827E-016D-40ED-8112-0448B48EBFF6}"/>
    <cellStyle name="40% - Akzent5 2 3 20" xfId="8085" xr:uid="{3D660EB7-341A-4BA7-9796-BAC35C72C535}"/>
    <cellStyle name="40% - Akzent5 2 3 20 2" xfId="8086" xr:uid="{585D3C50-FBE4-4783-A67A-BB6BA2F5D20D}"/>
    <cellStyle name="40% - Akzent5 2 3 20 2 2" xfId="27523" xr:uid="{BBFCD190-DADF-43DB-9582-355EE57FA146}"/>
    <cellStyle name="40% - Akzent5 2 3 20 3" xfId="27522" xr:uid="{4CB6D47C-0D47-4E15-AA9D-57D8D55D7CAB}"/>
    <cellStyle name="40% - Akzent5 2 3 21" xfId="8087" xr:uid="{5267F4B7-DA3C-4579-9E4B-A102B0E66C52}"/>
    <cellStyle name="40% - Akzent5 2 3 21 2" xfId="8088" xr:uid="{7B6F6E86-A9F3-48AA-9500-A1DC3C5B0BFE}"/>
    <cellStyle name="40% - Akzent5 2 3 21 2 2" xfId="27525" xr:uid="{C737C03B-2477-4B5B-814A-36AD73140C4C}"/>
    <cellStyle name="40% - Akzent5 2 3 21 3" xfId="27524" xr:uid="{CF4F3A97-C641-4A2F-A69A-DE4143D441E6}"/>
    <cellStyle name="40% - Akzent5 2 3 22" xfId="8089" xr:uid="{E8C58199-2A95-4F21-902A-DEDADA960024}"/>
    <cellStyle name="40% - Akzent5 2 3 22 2" xfId="27526" xr:uid="{52223C9E-09ED-4EEA-A800-96F247EAEB45}"/>
    <cellStyle name="40% - Akzent5 2 3 23" xfId="27499" xr:uid="{471E335F-88B2-4475-946B-24412F72C13B}"/>
    <cellStyle name="40% - Akzent5 2 3 24" xfId="39960" xr:uid="{F8AA64FB-F145-4023-8F91-D4FE1C2E102F}"/>
    <cellStyle name="40% - Akzent5 2 3 3" xfId="8090" xr:uid="{1590139A-13D9-4C88-AE5D-EAADF15FA291}"/>
    <cellStyle name="40% - Akzent5 2 3 3 2" xfId="8091" xr:uid="{F2179219-BDA2-49FF-8188-02678570388E}"/>
    <cellStyle name="40% - Akzent5 2 3 3 2 2" xfId="27528" xr:uid="{A6F4F26D-DB1C-4E76-AD73-2C1C72F83657}"/>
    <cellStyle name="40% - Akzent5 2 3 3 3" xfId="27527" xr:uid="{B42EC4FB-F405-4793-B0D5-7AF3E9285FF8}"/>
    <cellStyle name="40% - Akzent5 2 3 3 4" xfId="41766" xr:uid="{E7CC212F-741B-45CA-B8E9-0A9994A483A4}"/>
    <cellStyle name="40% - Akzent5 2 3 4" xfId="8092" xr:uid="{F6E59073-F9CC-4DBB-8901-6C7460609F5D}"/>
    <cellStyle name="40% - Akzent5 2 3 4 2" xfId="8093" xr:uid="{6CBC201A-DBB9-4E76-823A-7B17B48CAD6E}"/>
    <cellStyle name="40% - Akzent5 2 3 4 2 2" xfId="27530" xr:uid="{A1249639-AABC-4A81-ADFD-9AE09F241BF7}"/>
    <cellStyle name="40% - Akzent5 2 3 4 3" xfId="27529" xr:uid="{8F38AC70-E8D9-4A06-8969-7248B4DFDE22}"/>
    <cellStyle name="40% - Akzent5 2 3 5" xfId="8094" xr:uid="{E3A5D501-98E8-437A-893D-0C1EF26D9E13}"/>
    <cellStyle name="40% - Akzent5 2 3 5 2" xfId="8095" xr:uid="{E443D9C8-1509-48B2-A0E4-D3C10D019F8A}"/>
    <cellStyle name="40% - Akzent5 2 3 5 2 2" xfId="27532" xr:uid="{BA7CC077-491A-4B1A-83B4-7A364FE5FCB8}"/>
    <cellStyle name="40% - Akzent5 2 3 5 3" xfId="27531" xr:uid="{FD24B5E1-09BE-4022-9848-58B8B03729E2}"/>
    <cellStyle name="40% - Akzent5 2 3 6" xfId="8096" xr:uid="{E45B1DED-5AC0-40A8-8E49-06D913FD6EEC}"/>
    <cellStyle name="40% - Akzent5 2 3 6 2" xfId="8097" xr:uid="{5C76AB6A-14DD-4C17-8145-D4CCF1346B2F}"/>
    <cellStyle name="40% - Akzent5 2 3 6 2 2" xfId="27534" xr:uid="{1D2C6719-3920-4454-AC3E-F25994573E0A}"/>
    <cellStyle name="40% - Akzent5 2 3 6 3" xfId="27533" xr:uid="{B778BB71-6B5B-45F9-93B9-E9AB732C51D8}"/>
    <cellStyle name="40% - Akzent5 2 3 7" xfId="8098" xr:uid="{36F11DC9-6153-48C3-93EF-50D77D15E603}"/>
    <cellStyle name="40% - Akzent5 2 3 7 2" xfId="8099" xr:uid="{AC810D93-C712-4F5E-9505-08638161CDB1}"/>
    <cellStyle name="40% - Akzent5 2 3 7 2 2" xfId="27536" xr:uid="{F31D9775-76BA-45F6-93A2-9E031F06FBB2}"/>
    <cellStyle name="40% - Akzent5 2 3 7 3" xfId="27535" xr:uid="{91C0A394-FCEB-4A47-898B-2EF3079F0169}"/>
    <cellStyle name="40% - Akzent5 2 3 8" xfId="8100" xr:uid="{61869206-2C53-460C-8402-9C6786A080BA}"/>
    <cellStyle name="40% - Akzent5 2 3 8 2" xfId="8101" xr:uid="{F3909BC7-2E5A-481C-AA49-B97FBDD48A71}"/>
    <cellStyle name="40% - Akzent5 2 3 8 2 2" xfId="27538" xr:uid="{AC4E7C99-3E50-4BEC-8BDA-6C87DD30C753}"/>
    <cellStyle name="40% - Akzent5 2 3 8 3" xfId="27537" xr:uid="{808C7E98-B523-4930-A421-E88290AFADB9}"/>
    <cellStyle name="40% - Akzent5 2 3 9" xfId="8102" xr:uid="{0336BEF4-104B-4296-BD75-09077025A2ED}"/>
    <cellStyle name="40% - Akzent5 2 3 9 2" xfId="8103" xr:uid="{137C2069-85A6-475E-9D35-8FE3E86940C4}"/>
    <cellStyle name="40% - Akzent5 2 3 9 2 2" xfId="27540" xr:uid="{6366B53C-DA25-4B57-9A1E-3D6020DDD813}"/>
    <cellStyle name="40% - Akzent5 2 3 9 3" xfId="27539" xr:uid="{DA7E1FFC-7A04-49BC-AEF0-D1942D19D798}"/>
    <cellStyle name="40% - Akzent5 2 4" xfId="8104" xr:uid="{6873B0CC-A192-4493-B2CC-5CBB23CA0502}"/>
    <cellStyle name="40% - Akzent5 2 4 2" xfId="8105" xr:uid="{66CD61C1-4684-405B-B1CF-EA4A9AEB78B8}"/>
    <cellStyle name="40% - Akzent5 2 4 2 2" xfId="8106" xr:uid="{6AA3B805-AA5A-4A65-86A3-B7A27C85897B}"/>
    <cellStyle name="40% - Akzent5 2 4 2 2 2" xfId="27543" xr:uid="{284D7411-9A15-4B18-B447-7B73DC366792}"/>
    <cellStyle name="40% - Akzent5 2 4 2 3" xfId="8107" xr:uid="{F233B48A-878B-4AB1-A223-15FA31CBEAAF}"/>
    <cellStyle name="40% - Akzent5 2 4 2 3 2" xfId="27544" xr:uid="{7F80F295-1B02-4DD5-8710-AA04F374CC01}"/>
    <cellStyle name="40% - Akzent5 2 4 2 4" xfId="27542" xr:uid="{C8E32559-FC61-4D36-8703-663B34C2323C}"/>
    <cellStyle name="40% - Akzent5 2 4 3" xfId="8108" xr:uid="{0A15F4E0-7511-4937-BF46-31D95995A541}"/>
    <cellStyle name="40% - Akzent5 2 4 3 2" xfId="27545" xr:uid="{EC2CDEDB-1686-4E33-B15C-29EBE8E9AFDE}"/>
    <cellStyle name="40% - Akzent5 2 4 4" xfId="8109" xr:uid="{7C3E47A6-8EB4-4A13-A1F6-0844C96F52F9}"/>
    <cellStyle name="40% - Akzent5 2 4 4 2" xfId="27546" xr:uid="{AC14445D-9DB9-490F-BDA0-B52686C0A159}"/>
    <cellStyle name="40% - Akzent5 2 4 5" xfId="27541" xr:uid="{E3A951CF-66DA-4F94-9E24-8D51408BC0E7}"/>
    <cellStyle name="40% - Akzent5 2 4 6" xfId="40470" xr:uid="{B24F26F0-A849-48EE-9E1C-A75BAD1C1D98}"/>
    <cellStyle name="40% - Akzent5 2 5" xfId="8110" xr:uid="{097267CC-819C-4939-99AF-71BDD264E1C6}"/>
    <cellStyle name="40% - Akzent5 2 5 2" xfId="27547" xr:uid="{B9B894D3-182B-4C41-BC15-30DABC33210A}"/>
    <cellStyle name="40% - Akzent5 2 5 3" xfId="41330" xr:uid="{0B86A8CC-D6A7-4128-9D6C-4ADB1D215893}"/>
    <cellStyle name="40% - Akzent5 2 6" xfId="8111" xr:uid="{4D812BCA-9A85-4E89-860A-B07F4F4E51C7}"/>
    <cellStyle name="40% - Akzent5 2 6 2" xfId="8112" xr:uid="{140A6D14-D172-4006-848B-3A655F391716}"/>
    <cellStyle name="40% - Akzent5 2 6 2 2" xfId="8113" xr:uid="{1E98730B-9DE0-4763-A411-1298C62B24A7}"/>
    <cellStyle name="40% - Akzent5 2 6 2 2 2" xfId="27550" xr:uid="{556D7392-4EEB-4F9E-9049-5A9B3F4480DC}"/>
    <cellStyle name="40% - Akzent5 2 6 2 3" xfId="27549" xr:uid="{BFBBB8E6-8DF2-4EA5-86D9-62093765927E}"/>
    <cellStyle name="40% - Akzent5 2 6 3" xfId="27548" xr:uid="{4B634005-7022-45DB-937A-C706AE8EC9E0}"/>
    <cellStyle name="40% - Akzent5 2 7" xfId="8114" xr:uid="{B5A43E1E-2EA7-4869-914F-6D16260C6E6F}"/>
    <cellStyle name="40% - Akzent5 2 7 2" xfId="8115" xr:uid="{884C4136-9FA3-4B49-B4E1-2AE4D1FB37DE}"/>
    <cellStyle name="40% - Akzent5 2 7 2 2" xfId="27552" xr:uid="{8B3FFA19-A180-4141-A21B-A302E6A1A7BF}"/>
    <cellStyle name="40% - Akzent5 2 7 3" xfId="27551" xr:uid="{04295FC8-B097-4778-9773-C86AF1EF0374}"/>
    <cellStyle name="40% - Akzent5 2 8" xfId="8116" xr:uid="{906142DA-FA2B-472D-9FB5-8ECEC85CDE27}"/>
    <cellStyle name="40% - Akzent5 2 8 2" xfId="8117" xr:uid="{491A3DE0-AE8F-468E-AFBA-1E26127FF5CC}"/>
    <cellStyle name="40% - Akzent5 2 8 2 2" xfId="8118" xr:uid="{EB3499F6-93AB-4365-A16B-561D8397BC14}"/>
    <cellStyle name="40% - Akzent5 2 8 2 2 2" xfId="27555" xr:uid="{229F3180-D706-45DE-843B-5FB88CDA4A0E}"/>
    <cellStyle name="40% - Akzent5 2 8 2 3" xfId="27554" xr:uid="{B243B670-6D1F-4C18-9460-D585A6665EE5}"/>
    <cellStyle name="40% - Akzent5 2 8 3" xfId="27553" xr:uid="{0233A281-92CC-473B-96C3-DDFC375E91B2}"/>
    <cellStyle name="40% - Akzent5 2 9" xfId="8119" xr:uid="{E76C5F82-F7A0-474C-A555-593CF07A0FC5}"/>
    <cellStyle name="40% - Akzent5 2 9 2" xfId="8120" xr:uid="{C8075DE6-A477-44E5-A481-A3D8C210B6A2}"/>
    <cellStyle name="40% - Akzent5 2 9 2 2" xfId="27557" xr:uid="{8BED3E70-FDCE-435A-832F-19A136FC3502}"/>
    <cellStyle name="40% - Akzent5 2 9 3" xfId="27556" xr:uid="{6CC41A1A-2D82-4EA8-9E8F-69239D62B656}"/>
    <cellStyle name="40% - Akzent5 20" xfId="8121" xr:uid="{23881B52-901D-4EE8-A617-52A2C23B92E6}"/>
    <cellStyle name="40% - Akzent5 20 2" xfId="8122" xr:uid="{78123E3D-C4CF-484A-9CEC-7CD6C6D76793}"/>
    <cellStyle name="40% - Akzent5 20 2 2" xfId="27559" xr:uid="{EF6DF67C-6FE5-4ADE-A27D-F92F13642326}"/>
    <cellStyle name="40% - Akzent5 20 3" xfId="8123" xr:uid="{76C65CFB-8533-45E2-A1B1-9EE05700177B}"/>
    <cellStyle name="40% - Akzent5 20 3 2" xfId="27560" xr:uid="{BB26FEE7-3721-4514-984D-85BBD2A537DB}"/>
    <cellStyle name="40% - Akzent5 20 4" xfId="27558" xr:uid="{6CF23387-E878-45F0-9727-7D95AC74282D}"/>
    <cellStyle name="40% - Akzent5 21" xfId="8124" xr:uid="{124F2808-161E-4D64-BD54-81DAC8AAB180}"/>
    <cellStyle name="40% - Akzent5 21 2" xfId="8125" xr:uid="{E8610C6F-326D-4915-9AAA-F0240D05CEEE}"/>
    <cellStyle name="40% - Akzent5 21 2 2" xfId="27562" xr:uid="{C1EC3D02-24D5-420C-91A8-EB402585BF2B}"/>
    <cellStyle name="40% - Akzent5 21 3" xfId="8126" xr:uid="{3F439936-CBF4-4407-B3DF-DFEF8526E9F3}"/>
    <cellStyle name="40% - Akzent5 21 3 2" xfId="27563" xr:uid="{21486B79-5A4E-4448-B4CC-C19FA098E672}"/>
    <cellStyle name="40% - Akzent5 21 4" xfId="27561" xr:uid="{B8B292DA-4973-4CFE-8761-EFA4645B5DF9}"/>
    <cellStyle name="40% - Akzent5 22" xfId="8127" xr:uid="{191D0F5E-3A43-44FA-A8B3-94001839F3BD}"/>
    <cellStyle name="40% - Akzent5 22 2" xfId="8128" xr:uid="{65252E7D-FF71-43B1-8E4D-2907891DB06F}"/>
    <cellStyle name="40% - Akzent5 22 2 2" xfId="27565" xr:uid="{E108E1D9-2099-45AB-B1BE-45D81F7B75AE}"/>
    <cellStyle name="40% - Akzent5 22 3" xfId="8129" xr:uid="{5D0EC208-812C-4982-8756-37382979C568}"/>
    <cellStyle name="40% - Akzent5 22 3 2" xfId="27566" xr:uid="{277F6D74-67B8-4350-B475-AAED6CE425D1}"/>
    <cellStyle name="40% - Akzent5 22 4" xfId="27564" xr:uid="{C641AA46-6A67-491B-BA3D-DD034C783F8D}"/>
    <cellStyle name="40% - Akzent5 23" xfId="8130" xr:uid="{0E469D94-ECD2-4BD2-B66A-11820410A9DE}"/>
    <cellStyle name="40% - Akzent5 23 2" xfId="8131" xr:uid="{D23F8319-8EAB-4ABD-94F2-88753CCDD8FD}"/>
    <cellStyle name="40% - Akzent5 23 2 2" xfId="27568" xr:uid="{ED6E2C5F-C441-486E-81B0-FEC5CA493EFA}"/>
    <cellStyle name="40% - Akzent5 23 3" xfId="8132" xr:uid="{9DC0C7E9-9AC5-4D62-8423-4762F6FD95FF}"/>
    <cellStyle name="40% - Akzent5 23 3 2" xfId="27569" xr:uid="{944E49E1-B574-431D-A6FB-03C45275B058}"/>
    <cellStyle name="40% - Akzent5 23 4" xfId="27567" xr:uid="{9ACE2E5D-15EB-4111-AF2F-B03BBF01A448}"/>
    <cellStyle name="40% - Akzent5 24" xfId="8133" xr:uid="{D3ED61C8-889A-40AE-82FB-82A45EFE30C0}"/>
    <cellStyle name="40% - Akzent5 24 2" xfId="8134" xr:uid="{650D444D-C143-4015-AAD9-80D43F7BA2B1}"/>
    <cellStyle name="40% - Akzent5 24 2 2" xfId="27571" xr:uid="{0E20CBAC-C935-4333-B2B4-5B8D678CD931}"/>
    <cellStyle name="40% - Akzent5 24 3" xfId="8135" xr:uid="{D549C7EC-21FD-47B5-A795-7577914B4911}"/>
    <cellStyle name="40% - Akzent5 24 3 2" xfId="27572" xr:uid="{6C278B69-54EE-4761-9A7E-9EC88062F9C8}"/>
    <cellStyle name="40% - Akzent5 24 4" xfId="27570" xr:uid="{6C68691A-B624-4551-9228-E932F77D5163}"/>
    <cellStyle name="40% - Akzent5 25" xfId="8136" xr:uid="{6D6EA1DA-1C22-4E78-8426-3BB65CDE11A2}"/>
    <cellStyle name="40% - Akzent5 25 2" xfId="8137" xr:uid="{DC4F85DE-4C45-4F3F-BD3B-F81A8BA9F675}"/>
    <cellStyle name="40% - Akzent5 25 2 2" xfId="27574" xr:uid="{52C5E5E6-6A20-4E8B-AFD4-7B20E2198EBE}"/>
    <cellStyle name="40% - Akzent5 25 3" xfId="8138" xr:uid="{74B6948A-2A24-4662-8720-02D3D8797B40}"/>
    <cellStyle name="40% - Akzent5 25 3 2" xfId="27575" xr:uid="{E9C8289C-781B-47EA-9541-03F3ECC100D1}"/>
    <cellStyle name="40% - Akzent5 25 4" xfId="27573" xr:uid="{5C5B0124-864B-4D4B-B0B4-E27377C18D99}"/>
    <cellStyle name="40% - Akzent5 26" xfId="8139" xr:uid="{FD4602BA-DA5E-45F9-A602-1F673B40F21F}"/>
    <cellStyle name="40% - Akzent5 26 2" xfId="8140" xr:uid="{B336733A-25CD-4379-A70D-015697968C54}"/>
    <cellStyle name="40% - Akzent5 26 2 2" xfId="27577" xr:uid="{C29B7CAD-35B0-44D5-9A25-B6291925CC38}"/>
    <cellStyle name="40% - Akzent5 26 3" xfId="8141" xr:uid="{5506F1E2-3B41-45DF-98E7-FA8A96CA07CB}"/>
    <cellStyle name="40% - Akzent5 26 3 2" xfId="27578" xr:uid="{5D99163F-1411-4A5A-BDF8-BB5A8B6F65D1}"/>
    <cellStyle name="40% - Akzent5 26 4" xfId="27576" xr:uid="{1773AB3B-3FE1-4150-B6DA-B18F6378B966}"/>
    <cellStyle name="40% - Akzent5 27" xfId="8142" xr:uid="{41EF9F3C-8CC3-4548-A9E9-0C82105048A8}"/>
    <cellStyle name="40% - Akzent5 27 2" xfId="8143" xr:uid="{2B6ADBA6-2CAF-4175-811C-0E93668BFF96}"/>
    <cellStyle name="40% - Akzent5 27 2 2" xfId="27580" xr:uid="{41A3BDB6-F4C2-4A41-AA37-84AD30E4B0F0}"/>
    <cellStyle name="40% - Akzent5 27 3" xfId="8144" xr:uid="{337A8AB8-02F3-4E85-A896-4C850C3A790C}"/>
    <cellStyle name="40% - Akzent5 27 3 2" xfId="27581" xr:uid="{8714DE34-8BA0-4B5E-9A9A-381A9523E376}"/>
    <cellStyle name="40% - Akzent5 27 4" xfId="27579" xr:uid="{1F62F04D-3DE5-4DB3-A904-CB0F30E9998A}"/>
    <cellStyle name="40% - Akzent5 28" xfId="8145" xr:uid="{EE2485AA-068E-4802-969C-35C3097368A7}"/>
    <cellStyle name="40% - Akzent5 28 2" xfId="8146" xr:uid="{5E6A8FB4-EF37-4CBF-99D0-94687692220B}"/>
    <cellStyle name="40% - Akzent5 28 2 2" xfId="27583" xr:uid="{5F8B789E-B6E4-4130-8CE4-B61789B5E32C}"/>
    <cellStyle name="40% - Akzent5 28 3" xfId="8147" xr:uid="{C9AC651A-E38C-4E31-9B74-089CEB325693}"/>
    <cellStyle name="40% - Akzent5 28 3 2" xfId="27584" xr:uid="{CBB66E43-91E8-46B9-A865-7BFEE06D2A98}"/>
    <cellStyle name="40% - Akzent5 28 4" xfId="27582" xr:uid="{05B9E6AB-1D4E-495E-AFC6-96ECB2234504}"/>
    <cellStyle name="40% - Akzent5 29" xfId="8148" xr:uid="{A583EE59-C0F8-48F0-8251-9A55A9126D97}"/>
    <cellStyle name="40% - Akzent5 29 2" xfId="8149" xr:uid="{EFC0CDBA-EFDB-4893-8121-D95CE2EF7DE6}"/>
    <cellStyle name="40% - Akzent5 29 2 2" xfId="27586" xr:uid="{3BA71610-AAF3-423C-869F-84D178243082}"/>
    <cellStyle name="40% - Akzent5 29 3" xfId="8150" xr:uid="{64C4AAD7-7175-44B6-9497-A002ADCC04BD}"/>
    <cellStyle name="40% - Akzent5 29 3 2" xfId="27587" xr:uid="{193B4097-54E7-4660-ACE4-A1AF71D3837A}"/>
    <cellStyle name="40% - Akzent5 29 4" xfId="27585" xr:uid="{CE77A6E0-E095-46C8-8865-BD2CE79C58F3}"/>
    <cellStyle name="40% - Akzent5 3" xfId="122" xr:uid="{5AD52D32-83F3-4F0F-AEF6-18A609DF1619}"/>
    <cellStyle name="40% - Akzent5 3 10" xfId="8152" xr:uid="{2D497369-6295-447F-8DDC-32249E112975}"/>
    <cellStyle name="40% - Akzent5 3 10 2" xfId="8153" xr:uid="{0FA14982-2822-42EA-8731-6BAF35ABDB1E}"/>
    <cellStyle name="40% - Akzent5 3 10 2 2" xfId="27590" xr:uid="{0EF315FC-E0F9-437D-ACF5-17BF44C873B6}"/>
    <cellStyle name="40% - Akzent5 3 10 3" xfId="27589" xr:uid="{0457D50F-6E64-40CC-BB45-2CCC121F3674}"/>
    <cellStyle name="40% - Akzent5 3 11" xfId="8154" xr:uid="{A89E0A1B-AA6E-43D5-BCE6-E7AE08C7F08C}"/>
    <cellStyle name="40% - Akzent5 3 11 2" xfId="8155" xr:uid="{A2785140-FD9C-4D08-A5D4-D9A4125C8C28}"/>
    <cellStyle name="40% - Akzent5 3 11 2 2" xfId="27592" xr:uid="{ED29B7D6-62BC-4DF9-ACB7-13DE32346B33}"/>
    <cellStyle name="40% - Akzent5 3 11 3" xfId="27591" xr:uid="{34CAD00A-09B7-4D5B-A3B7-19F9C9CAF546}"/>
    <cellStyle name="40% - Akzent5 3 12" xfId="8156" xr:uid="{DB87FB00-151C-4CF0-8129-18D7EF52A652}"/>
    <cellStyle name="40% - Akzent5 3 12 2" xfId="8157" xr:uid="{C442718E-B1C6-4F1B-93E8-91AA79DB916D}"/>
    <cellStyle name="40% - Akzent5 3 12 2 2" xfId="27594" xr:uid="{6AFD5E04-2E4F-40F4-8D0A-3FB13E109FDA}"/>
    <cellStyle name="40% - Akzent5 3 12 3" xfId="27593" xr:uid="{64ABEAF4-4153-45D7-B4EE-AF3BECBD3A28}"/>
    <cellStyle name="40% - Akzent5 3 13" xfId="8158" xr:uid="{29DBD4D3-64E5-4052-87D5-7B95BAB47056}"/>
    <cellStyle name="40% - Akzent5 3 13 2" xfId="8159" xr:uid="{6E2FD449-A3EB-4924-A049-DCFD7021D46A}"/>
    <cellStyle name="40% - Akzent5 3 13 2 2" xfId="27596" xr:uid="{2A572A4B-E6CD-4E1C-9156-3A6071C8170D}"/>
    <cellStyle name="40% - Akzent5 3 13 3" xfId="27595" xr:uid="{4467B46D-B939-455B-B97A-74BF3AA00E8E}"/>
    <cellStyle name="40% - Akzent5 3 14" xfId="8160" xr:uid="{173FB4FF-9ECA-45A3-9B70-BC5170D354C0}"/>
    <cellStyle name="40% - Akzent5 3 14 2" xfId="8161" xr:uid="{3AFFAB11-CEE4-4EC3-9D16-0EF76B3EF448}"/>
    <cellStyle name="40% - Akzent5 3 14 2 2" xfId="27598" xr:uid="{FB5E3108-CAF4-40EA-87FF-58E2FB4F20F7}"/>
    <cellStyle name="40% - Akzent5 3 14 3" xfId="27597" xr:uid="{38625C69-49BD-441C-91E7-69207F213BEC}"/>
    <cellStyle name="40% - Akzent5 3 15" xfId="8162" xr:uid="{44F82D2E-F3BF-4BB2-B93D-836CD6594659}"/>
    <cellStyle name="40% - Akzent5 3 15 2" xfId="8163" xr:uid="{3EB295E0-9AE8-441A-B47F-E1955DDF8340}"/>
    <cellStyle name="40% - Akzent5 3 15 2 2" xfId="27600" xr:uid="{AA21238B-8B26-4C24-8FCB-FCBDBFC66A93}"/>
    <cellStyle name="40% - Akzent5 3 15 3" xfId="27599" xr:uid="{801A1F36-1F69-497B-BD4D-7D288E46DD03}"/>
    <cellStyle name="40% - Akzent5 3 16" xfId="8164" xr:uid="{11C1C806-2CF0-4163-94B2-6D0427B3B942}"/>
    <cellStyle name="40% - Akzent5 3 16 2" xfId="8165" xr:uid="{C6993A24-D4F5-4DAC-AE3F-59F42F635304}"/>
    <cellStyle name="40% - Akzent5 3 16 2 2" xfId="27602" xr:uid="{3508E93F-3CB1-4D41-8F99-E9826F348131}"/>
    <cellStyle name="40% - Akzent5 3 16 3" xfId="27601" xr:uid="{C2347D96-3187-48E6-A093-3E26577CAD63}"/>
    <cellStyle name="40% - Akzent5 3 17" xfId="8166" xr:uid="{B6352BEF-E64C-4BDE-8F66-F2132EF14B56}"/>
    <cellStyle name="40% - Akzent5 3 17 2" xfId="8167" xr:uid="{E3307774-4DC1-40C8-ADEE-8B8F9B58AF54}"/>
    <cellStyle name="40% - Akzent5 3 17 2 2" xfId="27604" xr:uid="{E073A678-FFA2-4343-9F91-24D340D0FF36}"/>
    <cellStyle name="40% - Akzent5 3 17 3" xfId="27603" xr:uid="{569A68FB-47DB-4AAA-9480-9CDFDBC4B4CE}"/>
    <cellStyle name="40% - Akzent5 3 18" xfId="8168" xr:uid="{66055D30-F76B-4226-B4A2-BA36859EC7F5}"/>
    <cellStyle name="40% - Akzent5 3 18 2" xfId="8169" xr:uid="{43A46245-12EC-43ED-9351-66F3D4184578}"/>
    <cellStyle name="40% - Akzent5 3 18 2 2" xfId="27606" xr:uid="{9AF8F22B-E577-4A40-9CF6-8ACB6DCE0585}"/>
    <cellStyle name="40% - Akzent5 3 18 3" xfId="27605" xr:uid="{0A9D250F-F02E-40B0-B967-90B55695168E}"/>
    <cellStyle name="40% - Akzent5 3 19" xfId="8170" xr:uid="{6B7E9079-67B4-492E-90F2-A0C44BAB4C28}"/>
    <cellStyle name="40% - Akzent5 3 19 2" xfId="8171" xr:uid="{2F2AA5FA-8ED2-44E2-9A69-77B681FBE8E4}"/>
    <cellStyle name="40% - Akzent5 3 19 2 2" xfId="27608" xr:uid="{2CAC884F-3EB0-4FB2-914B-31BD6B8604D6}"/>
    <cellStyle name="40% - Akzent5 3 19 3" xfId="27607" xr:uid="{8F37E681-BA5A-499D-AF5C-F7A9AD576BB4}"/>
    <cellStyle name="40% - Akzent5 3 2" xfId="8172" xr:uid="{7FF87FFF-2A30-46C5-BCE6-54EC532C081F}"/>
    <cellStyle name="40% - Akzent5 3 2 2" xfId="8173" xr:uid="{2B80AAC8-3592-4F56-9096-CDD7C9556670}"/>
    <cellStyle name="40% - Akzent5 3 2 2 2" xfId="8174" xr:uid="{7447A1C7-4214-42D5-A6F6-E833337F00C4}"/>
    <cellStyle name="40% - Akzent5 3 2 2 2 2" xfId="27611" xr:uid="{C9F81DBA-2055-4616-AA21-1FB8136D62B5}"/>
    <cellStyle name="40% - Akzent5 3 2 2 3" xfId="8175" xr:uid="{08DEC1E4-0274-4D90-85B7-006C2226556D}"/>
    <cellStyle name="40% - Akzent5 3 2 2 3 2" xfId="27612" xr:uid="{3A064196-EEB4-4683-8353-26D0C9689B10}"/>
    <cellStyle name="40% - Akzent5 3 2 2 4" xfId="27610" xr:uid="{7F047F1C-980F-48EC-BC17-E57E7CDBA836}"/>
    <cellStyle name="40% - Akzent5 3 2 2 5" xfId="40909" xr:uid="{9812866A-CCC2-4200-8BFC-D4DD80D8C6D0}"/>
    <cellStyle name="40% - Akzent5 3 2 3" xfId="8176" xr:uid="{71CDF94C-9DC8-4CF4-A868-F35DAAF3272A}"/>
    <cellStyle name="40% - Akzent5 3 2 3 2" xfId="27613" xr:uid="{3EAF0DD2-A2E1-4F05-A568-4FB0AFE280CF}"/>
    <cellStyle name="40% - Akzent5 3 2 3 3" xfId="41769" xr:uid="{EFC7C23B-8910-44CF-A6C6-2342AD4F82B4}"/>
    <cellStyle name="40% - Akzent5 3 2 4" xfId="8177" xr:uid="{6B16405F-313B-4E3B-AF33-3E9319B5CD59}"/>
    <cellStyle name="40% - Akzent5 3 2 4 2" xfId="27614" xr:uid="{50E6CBC5-1B11-4983-B9CC-EA4DBB2B9684}"/>
    <cellStyle name="40% - Akzent5 3 2 5" xfId="27609" xr:uid="{B78BCD95-B1A8-4FDF-B2C9-A075925AD8B6}"/>
    <cellStyle name="40% - Akzent5 3 2 6" xfId="39963" xr:uid="{BEA9C8E6-96F4-4D32-944A-FA4699B20097}"/>
    <cellStyle name="40% - Akzent5 3 20" xfId="8178" xr:uid="{F1F7B939-E982-4A59-BFDD-53508F2D9194}"/>
    <cellStyle name="40% - Akzent5 3 20 2" xfId="8179" xr:uid="{F935699C-FFA8-41EE-9EDF-E80C2D856DA5}"/>
    <cellStyle name="40% - Akzent5 3 20 2 2" xfId="27616" xr:uid="{B84603B7-76EA-46EE-B494-C63937687BA7}"/>
    <cellStyle name="40% - Akzent5 3 20 3" xfId="27615" xr:uid="{66BFEC6E-7313-4A5C-B724-5B2CF08F1D28}"/>
    <cellStyle name="40% - Akzent5 3 21" xfId="8180" xr:uid="{DFD50E04-A54E-4569-A2C6-506990451764}"/>
    <cellStyle name="40% - Akzent5 3 21 2" xfId="8181" xr:uid="{6B6E81A3-B07A-41C6-9D81-4A31F80482C3}"/>
    <cellStyle name="40% - Akzent5 3 21 2 2" xfId="27618" xr:uid="{463C3D4E-52F4-45B1-A29B-D621ECEC0CAE}"/>
    <cellStyle name="40% - Akzent5 3 21 3" xfId="27617" xr:uid="{689B51A8-D556-49D5-B1A2-2F7B171EEB52}"/>
    <cellStyle name="40% - Akzent5 3 22" xfId="8182" xr:uid="{FEDB41F4-92B8-4349-9FDE-C9F947EA6B58}"/>
    <cellStyle name="40% - Akzent5 3 22 2" xfId="27619" xr:uid="{F348AA19-2593-4F5A-B8B7-2B394F8F730F}"/>
    <cellStyle name="40% - Akzent5 3 23" xfId="8183" xr:uid="{BE3066CB-6480-434C-AC7C-8E291B7772A5}"/>
    <cellStyle name="40% - Akzent5 3 23 2" xfId="27620" xr:uid="{FB32F26C-89FC-454D-B47F-06AACF72C78E}"/>
    <cellStyle name="40% - Akzent5 3 24" xfId="27588" xr:uid="{095895A7-7ED4-4D2E-A25C-9E236BC1D195}"/>
    <cellStyle name="40% - Akzent5 3 25" xfId="39329" xr:uid="{E6BC9BD6-65B1-49F3-965A-6FEA233780CC}"/>
    <cellStyle name="40% - Akzent5 3 26" xfId="8151" xr:uid="{BD6878E6-0861-4533-A03E-43B4587BFE90}"/>
    <cellStyle name="40% - Akzent5 3 3" xfId="8184" xr:uid="{E510FF6F-447D-4F6D-8DB1-EE8BABD49A14}"/>
    <cellStyle name="40% - Akzent5 3 3 2" xfId="27621" xr:uid="{C6EABFF1-9F22-44ED-B446-A4F22456BBB8}"/>
    <cellStyle name="40% - Akzent5 3 3 2 2" xfId="40908" xr:uid="{A107595A-677E-4380-BA62-E660798B0824}"/>
    <cellStyle name="40% - Akzent5 3 3 3" xfId="41768" xr:uid="{3BA82A1D-433A-49F2-9542-79D44DD7AEAA}"/>
    <cellStyle name="40% - Akzent5 3 3 4" xfId="39962" xr:uid="{F08196FB-1847-4085-97F4-B5BDA98DA9E6}"/>
    <cellStyle name="40% - Akzent5 3 4" xfId="8185" xr:uid="{61240E57-127F-4532-AE85-9FE4F7BF5BE7}"/>
    <cellStyle name="40% - Akzent5 3 4 2" xfId="27622" xr:uid="{3AD2766D-5F04-4568-8205-2C59F8781850}"/>
    <cellStyle name="40% - Akzent5 3 4 3" xfId="40472" xr:uid="{5A5F3F94-B541-4029-8E40-A3EC02754B8E}"/>
    <cellStyle name="40% - Akzent5 3 5" xfId="8186" xr:uid="{B68230EF-418D-405D-A9F1-83CF39B960FE}"/>
    <cellStyle name="40% - Akzent5 3 5 2" xfId="8187" xr:uid="{93E0ED13-662F-42C0-AEEF-34DF4045B0FD}"/>
    <cellStyle name="40% - Akzent5 3 5 2 2" xfId="8188" xr:uid="{ECADC24A-6489-4B39-A0F7-DA3834D5841E}"/>
    <cellStyle name="40% - Akzent5 3 5 2 2 2" xfId="27625" xr:uid="{EEF3BDF3-2CF4-4EA2-BD14-C4BE56E77601}"/>
    <cellStyle name="40% - Akzent5 3 5 2 3" xfId="27624" xr:uid="{6B09DF4B-9134-4071-8CA4-3BC8CDCEC71A}"/>
    <cellStyle name="40% - Akzent5 3 5 3" xfId="27623" xr:uid="{76C76AE9-C3E2-4789-B6E1-F8CC0B23F243}"/>
    <cellStyle name="40% - Akzent5 3 5 4" xfId="41332" xr:uid="{F295CE9F-1E02-4E18-8C18-B8CE0B4B8050}"/>
    <cellStyle name="40% - Akzent5 3 6" xfId="8189" xr:uid="{36154F51-A5C2-45A1-8994-29979B554A67}"/>
    <cellStyle name="40% - Akzent5 3 6 2" xfId="8190" xr:uid="{308C83B7-B392-4A2D-A9A7-7960078732E1}"/>
    <cellStyle name="40% - Akzent5 3 6 2 2" xfId="27627" xr:uid="{6D459776-A4CE-4835-9F8A-9FBCBC5E6F6F}"/>
    <cellStyle name="40% - Akzent5 3 6 3" xfId="27626" xr:uid="{EE86BB5D-835A-4587-93C0-6C68019A5E40}"/>
    <cellStyle name="40% - Akzent5 3 7" xfId="8191" xr:uid="{B57D4482-597C-44C9-89FE-10558FCD91B9}"/>
    <cellStyle name="40% - Akzent5 3 7 2" xfId="8192" xr:uid="{1F3CB17A-33A4-4926-8DE4-135BF88E61CD}"/>
    <cellStyle name="40% - Akzent5 3 7 2 2" xfId="27629" xr:uid="{748980FD-4D45-4E1C-A6AF-1C90010DE011}"/>
    <cellStyle name="40% - Akzent5 3 7 3" xfId="27628" xr:uid="{42B6A7FF-B078-40F4-AD80-A4C1C168D759}"/>
    <cellStyle name="40% - Akzent5 3 8" xfId="8193" xr:uid="{F926C6FF-2FE5-4D18-8779-F5B2C923F36B}"/>
    <cellStyle name="40% - Akzent5 3 8 2" xfId="8194" xr:uid="{74479EE5-3CBB-4D71-B47D-F55E8BA90716}"/>
    <cellStyle name="40% - Akzent5 3 8 2 2" xfId="27631" xr:uid="{925581A7-9DFF-46D4-81D6-67C82838531D}"/>
    <cellStyle name="40% - Akzent5 3 8 3" xfId="27630" xr:uid="{4ECFD51B-9182-4E10-AA3A-FC229439743C}"/>
    <cellStyle name="40% - Akzent5 3 9" xfId="8195" xr:uid="{272E96C2-154C-46AD-8316-5CEF6CF0DBB5}"/>
    <cellStyle name="40% - Akzent5 3 9 2" xfId="8196" xr:uid="{41E1D24F-4C2F-4732-BC5A-68547732B8FF}"/>
    <cellStyle name="40% - Akzent5 3 9 2 2" xfId="27633" xr:uid="{A3D9C975-6DA0-4485-992B-0B5C8FF64063}"/>
    <cellStyle name="40% - Akzent5 3 9 3" xfId="27632" xr:uid="{86F7DF69-DB84-4BB3-A527-BB9EFE86BB80}"/>
    <cellStyle name="40% - Akzent5 30" xfId="8197" xr:uid="{19319374-C858-4A84-807D-BAF66084E13D}"/>
    <cellStyle name="40% - Akzent5 30 2" xfId="8198" xr:uid="{F82A17C8-6A65-46B5-B3CB-2A4CB5657E57}"/>
    <cellStyle name="40% - Akzent5 30 2 2" xfId="27635" xr:uid="{5A6732BF-0531-49B0-BBBA-74C39256C4BC}"/>
    <cellStyle name="40% - Akzent5 30 3" xfId="8199" xr:uid="{4322CDDC-7043-4E85-A303-5A92B48C4DAD}"/>
    <cellStyle name="40% - Akzent5 30 3 2" xfId="27636" xr:uid="{2CDF7FDE-9BE2-49E3-B1F0-8E2FD816E3FE}"/>
    <cellStyle name="40% - Akzent5 30 4" xfId="27634" xr:uid="{A11C0341-89BE-49CD-9E66-7B526DE005A8}"/>
    <cellStyle name="40% - Akzent5 31" xfId="8200" xr:uid="{6CDDC584-994A-422D-AD64-BD8A343BB139}"/>
    <cellStyle name="40% - Akzent5 31 2" xfId="8201" xr:uid="{72B4179A-7EDD-45C6-ABEA-6ADA403E7517}"/>
    <cellStyle name="40% - Akzent5 31 2 2" xfId="27638" xr:uid="{8A8CD2E4-739A-487F-BC23-148F5D896744}"/>
    <cellStyle name="40% - Akzent5 31 3" xfId="8202" xr:uid="{020EB944-F1BD-4E19-BE0C-7DD696B159F6}"/>
    <cellStyle name="40% - Akzent5 31 3 2" xfId="27639" xr:uid="{111D3D7D-EA06-4445-A17E-656CD87571DF}"/>
    <cellStyle name="40% - Akzent5 31 4" xfId="27637" xr:uid="{6D177066-1D94-4018-85E1-006CB4156454}"/>
    <cellStyle name="40% - Akzent5 32" xfId="8203" xr:uid="{B4AE38AA-AC89-460B-8AF9-4F755C5E96F7}"/>
    <cellStyle name="40% - Akzent5 32 2" xfId="8204" xr:uid="{B331FED9-E2C6-4CEC-A583-B387285FC118}"/>
    <cellStyle name="40% - Akzent5 32 2 2" xfId="27641" xr:uid="{EA1D3DDA-BAE2-4CF7-8569-014A330F2BE8}"/>
    <cellStyle name="40% - Akzent5 32 3" xfId="8205" xr:uid="{4EFA945E-41B1-4EED-B160-4C8D291AB37A}"/>
    <cellStyle name="40% - Akzent5 32 3 2" xfId="27642" xr:uid="{4E34D071-899E-4F7A-9F0E-D89875C06AC1}"/>
    <cellStyle name="40% - Akzent5 32 4" xfId="27640" xr:uid="{0A66AC9C-3ACC-4301-A83F-2394721C568D}"/>
    <cellStyle name="40% - Akzent5 33" xfId="8206" xr:uid="{EDB038C7-F7D2-4A14-AEE0-E297653ECD49}"/>
    <cellStyle name="40% - Akzent5 33 2" xfId="8207" xr:uid="{70BCE8AD-A0F3-40B2-9B23-2A759A190B37}"/>
    <cellStyle name="40% - Akzent5 33 2 2" xfId="27644" xr:uid="{9FDC4450-12ED-4278-BF25-D6E96DB1217D}"/>
    <cellStyle name="40% - Akzent5 33 3" xfId="8208" xr:uid="{66839C07-85BC-4769-9559-B62B302A255C}"/>
    <cellStyle name="40% - Akzent5 33 3 2" xfId="27645" xr:uid="{04E8744B-C13D-48FA-856E-F41014052C75}"/>
    <cellStyle name="40% - Akzent5 33 4" xfId="27643" xr:uid="{07844E3B-4776-4ADB-92DE-EE34A943F378}"/>
    <cellStyle name="40% - Akzent5 34" xfId="8209" xr:uid="{9D02BDF8-F170-481B-B426-859B2D803C21}"/>
    <cellStyle name="40% - Akzent5 34 2" xfId="8210" xr:uid="{0CBF93C3-11DE-4B1B-A808-39EE6FA899FB}"/>
    <cellStyle name="40% - Akzent5 34 2 2" xfId="27647" xr:uid="{F03B6EB6-3C0B-490A-A654-F47D3F069BC7}"/>
    <cellStyle name="40% - Akzent5 34 3" xfId="8211" xr:uid="{A10D04F8-0771-4754-BC15-3756CC4AF0D7}"/>
    <cellStyle name="40% - Akzent5 34 3 2" xfId="27648" xr:uid="{E52690A3-3513-44A0-B11F-67ECC3D1A0FB}"/>
    <cellStyle name="40% - Akzent5 34 4" xfId="27646" xr:uid="{5551D4E4-B3DB-4615-8B18-7CC401607109}"/>
    <cellStyle name="40% - Akzent5 35" xfId="8212" xr:uid="{1A2FF5C1-66D7-45AE-98E4-1F853BC5C213}"/>
    <cellStyle name="40% - Akzent5 35 2" xfId="8213" xr:uid="{F9B1B470-7E18-4B2E-AD5D-FA36E576D127}"/>
    <cellStyle name="40% - Akzent5 35 2 2" xfId="27650" xr:uid="{F3BEDE42-35F2-4517-9BFC-06891FD67453}"/>
    <cellStyle name="40% - Akzent5 35 3" xfId="8214" xr:uid="{B7469A82-5A9F-4EF6-AF82-8F4CCD40BA1D}"/>
    <cellStyle name="40% - Akzent5 35 3 2" xfId="27651" xr:uid="{B797EF3B-4B71-4406-922A-A0B24B230F16}"/>
    <cellStyle name="40% - Akzent5 35 4" xfId="27649" xr:uid="{33808830-7C4B-45D1-9427-D63E1D650524}"/>
    <cellStyle name="40% - Akzent5 36" xfId="8215" xr:uid="{45804AA0-FA93-48DA-B929-F56A1C9C67A3}"/>
    <cellStyle name="40% - Akzent5 36 2" xfId="8216" xr:uid="{06C1F227-4284-4C8F-89F1-0E1D2F64ACA5}"/>
    <cellStyle name="40% - Akzent5 36 2 2" xfId="27653" xr:uid="{F6E2FAFE-90F6-4A59-BC67-592C59682512}"/>
    <cellStyle name="40% - Akzent5 36 3" xfId="8217" xr:uid="{91707003-25A5-4DE7-84AC-F212CBF7FCCE}"/>
    <cellStyle name="40% - Akzent5 36 3 2" xfId="27654" xr:uid="{8BF20BDD-C159-4B78-A9B3-A21B1AE35A41}"/>
    <cellStyle name="40% - Akzent5 36 4" xfId="27652" xr:uid="{E28C3161-CCFC-4014-8C32-35611F5B92E1}"/>
    <cellStyle name="40% - Akzent5 37" xfId="8218" xr:uid="{5FAD3534-59A2-41FD-9AA0-FB1BB1B84EC5}"/>
    <cellStyle name="40% - Akzent5 37 2" xfId="8219" xr:uid="{BE0B1E6D-43BE-4C25-A64A-8F4AB2D99010}"/>
    <cellStyle name="40% - Akzent5 37 2 2" xfId="27656" xr:uid="{A822621D-8AB5-4BF6-9EFE-84C5700E7DA3}"/>
    <cellStyle name="40% - Akzent5 37 3" xfId="27655" xr:uid="{BFB86B62-201B-4F68-8CCB-82D368BD1923}"/>
    <cellStyle name="40% - Akzent5 38" xfId="8220" xr:uid="{831E13AE-83CE-4CA2-8654-B83074A75268}"/>
    <cellStyle name="40% - Akzent5 38 2" xfId="8221" xr:uid="{74D48843-2AF9-4ABF-8CE7-E9AE6743D31C}"/>
    <cellStyle name="40% - Akzent5 38 2 2" xfId="27658" xr:uid="{B8C60E29-4145-455C-B0B4-2FE29940A64A}"/>
    <cellStyle name="40% - Akzent5 38 3" xfId="27657" xr:uid="{92BAA1D4-9C99-4B86-92FF-CF579C1BAF72}"/>
    <cellStyle name="40% - Akzent5 39" xfId="8222" xr:uid="{CE41E01B-A1DC-4BAB-ABEF-832614C0B38E}"/>
    <cellStyle name="40% - Akzent5 39 2" xfId="8223" xr:uid="{22DEA2BA-3DDD-4C35-A0B0-24F4D5444FEC}"/>
    <cellStyle name="40% - Akzent5 39 2 2" xfId="27660" xr:uid="{06771FD7-E8B1-4A01-8B17-FFBA51B680AF}"/>
    <cellStyle name="40% - Akzent5 39 3" xfId="27659" xr:uid="{FE2B3530-7633-48DD-B91E-482B0BC2A6A1}"/>
    <cellStyle name="40% - Akzent5 4" xfId="136" xr:uid="{8BD7FBD0-D3A1-46F3-B6EE-49BD7AA3D7D9}"/>
    <cellStyle name="40% - Akzent5 4 10" xfId="8225" xr:uid="{2C911366-D1F3-4C1E-A4A1-B4811B7E40B7}"/>
    <cellStyle name="40% - Akzent5 4 10 2" xfId="8226" xr:uid="{469BCAF8-37A1-4622-B286-7E302AABEBA4}"/>
    <cellStyle name="40% - Akzent5 4 10 2 2" xfId="27663" xr:uid="{52280374-E82F-4562-A2CC-4993E6178B6B}"/>
    <cellStyle name="40% - Akzent5 4 10 3" xfId="27662" xr:uid="{92906870-C915-495B-8A1B-2784BEBF94D4}"/>
    <cellStyle name="40% - Akzent5 4 11" xfId="8227" xr:uid="{AC8F6868-32CD-42AC-AC0A-6649DD5DC402}"/>
    <cellStyle name="40% - Akzent5 4 11 2" xfId="8228" xr:uid="{71A37341-E6BC-4BEB-8DEB-76E265783A69}"/>
    <cellStyle name="40% - Akzent5 4 11 2 2" xfId="27665" xr:uid="{2FE6911A-21D3-49BF-8D68-9EC6879691DF}"/>
    <cellStyle name="40% - Akzent5 4 11 3" xfId="27664" xr:uid="{554EB73F-BA7C-4067-91DD-7F55F17FC844}"/>
    <cellStyle name="40% - Akzent5 4 12" xfId="8229" xr:uid="{B2850C85-8BCF-4171-BF64-ECE21B02E5EA}"/>
    <cellStyle name="40% - Akzent5 4 12 2" xfId="8230" xr:uid="{DB361BAF-E3B2-4EF1-9141-4FCB45F1D8E6}"/>
    <cellStyle name="40% - Akzent5 4 12 2 2" xfId="27667" xr:uid="{5777FBC0-D8C1-42B4-865A-8755BF818BCE}"/>
    <cellStyle name="40% - Akzent5 4 12 3" xfId="27666" xr:uid="{378FF14D-4059-4DC6-A712-8DB355C0628B}"/>
    <cellStyle name="40% - Akzent5 4 13" xfId="8231" xr:uid="{B61D327B-9F7E-4339-B780-7132CA0170E9}"/>
    <cellStyle name="40% - Akzent5 4 13 2" xfId="8232" xr:uid="{BF9D25FE-EFA4-43C0-A46D-2E10685CDBE1}"/>
    <cellStyle name="40% - Akzent5 4 13 2 2" xfId="27669" xr:uid="{5B4A13C0-075D-42A2-A3AF-73FD81C03E0F}"/>
    <cellStyle name="40% - Akzent5 4 13 3" xfId="27668" xr:uid="{32E08816-5606-43DD-AA75-64622ED87942}"/>
    <cellStyle name="40% - Akzent5 4 14" xfId="8233" xr:uid="{3E5A61B3-3192-407C-B5BD-340687ACF6E1}"/>
    <cellStyle name="40% - Akzent5 4 14 2" xfId="8234" xr:uid="{F23EC489-605B-49D8-839C-C265A1CC85D9}"/>
    <cellStyle name="40% - Akzent5 4 14 2 2" xfId="27671" xr:uid="{6AA16FF9-C1FD-45DE-81D8-1923C70995C5}"/>
    <cellStyle name="40% - Akzent5 4 14 3" xfId="27670" xr:uid="{4D195E49-2375-415B-AA44-85E5F0BA04A1}"/>
    <cellStyle name="40% - Akzent5 4 15" xfId="8235" xr:uid="{4134605F-7068-46CA-A6A2-972CA42B99CD}"/>
    <cellStyle name="40% - Akzent5 4 15 2" xfId="8236" xr:uid="{EE5F3AA7-1A54-404D-A1CA-E52A6225FC47}"/>
    <cellStyle name="40% - Akzent5 4 15 2 2" xfId="27673" xr:uid="{F1DC3446-C03F-4D88-BBF8-0718293CB9DC}"/>
    <cellStyle name="40% - Akzent5 4 15 3" xfId="27672" xr:uid="{55B2D431-0C2C-4FF6-AD52-612F6AB04FF0}"/>
    <cellStyle name="40% - Akzent5 4 16" xfId="8237" xr:uid="{CB8A1CC2-9F1F-49F2-A05E-9C366CC358BE}"/>
    <cellStyle name="40% - Akzent5 4 16 2" xfId="8238" xr:uid="{CAFEE529-817A-4ECD-AC39-429691B19138}"/>
    <cellStyle name="40% - Akzent5 4 16 2 2" xfId="27675" xr:uid="{33038429-F359-46AA-B84B-0476CC6903A8}"/>
    <cellStyle name="40% - Akzent5 4 16 3" xfId="27674" xr:uid="{578F9531-9C92-4E05-819E-77B5BBC6CE7A}"/>
    <cellStyle name="40% - Akzent5 4 17" xfId="8239" xr:uid="{4134F21F-B4EA-4CF4-9437-B3B1B88E0469}"/>
    <cellStyle name="40% - Akzent5 4 17 2" xfId="8240" xr:uid="{963ECEAE-26A2-4AB9-B278-767A74349C2B}"/>
    <cellStyle name="40% - Akzent5 4 17 2 2" xfId="27677" xr:uid="{1A004F7F-2E1C-43D2-B0F6-506FCFD76D69}"/>
    <cellStyle name="40% - Akzent5 4 17 3" xfId="27676" xr:uid="{52C4D3A7-A45B-4D7D-8988-B1711CF1EA9B}"/>
    <cellStyle name="40% - Akzent5 4 18" xfId="8241" xr:uid="{D0BA0B0C-59D6-4F6A-AD9F-5E80C5DAE56D}"/>
    <cellStyle name="40% - Akzent5 4 18 2" xfId="8242" xr:uid="{29920259-A793-4EAC-8E2A-CC0D0659F6C1}"/>
    <cellStyle name="40% - Akzent5 4 18 2 2" xfId="27679" xr:uid="{FBA4E432-5D35-4544-875E-712790914B83}"/>
    <cellStyle name="40% - Akzent5 4 18 3" xfId="27678" xr:uid="{28A7BEE2-F688-4944-B1D8-2C325C6CC22D}"/>
    <cellStyle name="40% - Akzent5 4 19" xfId="8243" xr:uid="{1A746A55-CF05-4FD4-8DCA-C5E509C877F4}"/>
    <cellStyle name="40% - Akzent5 4 19 2" xfId="8244" xr:uid="{F7052DEE-2CBF-4CE0-A39E-787BE2355AA3}"/>
    <cellStyle name="40% - Akzent5 4 19 2 2" xfId="27681" xr:uid="{497EA884-562B-4EAE-AC19-3612E43EF2C7}"/>
    <cellStyle name="40% - Akzent5 4 19 3" xfId="27680" xr:uid="{94F665D9-28F5-4BF9-B164-0CB589FDD061}"/>
    <cellStyle name="40% - Akzent5 4 2" xfId="8245" xr:uid="{21652599-4DB4-4EBA-A81F-0EDA1E029A08}"/>
    <cellStyle name="40% - Akzent5 4 2 2" xfId="8246" xr:uid="{D469E9AA-236C-474B-AB36-2383C5AAE91B}"/>
    <cellStyle name="40% - Akzent5 4 2 2 2" xfId="8247" xr:uid="{E41CE965-3915-41A4-9095-360ACAF234C4}"/>
    <cellStyle name="40% - Akzent5 4 2 2 2 2" xfId="27684" xr:uid="{41A61425-3115-4C6A-A55C-6BCFEEA63553}"/>
    <cellStyle name="40% - Akzent5 4 2 2 3" xfId="27683" xr:uid="{AD244637-A19A-4D2A-AA84-8CBD9540BA36}"/>
    <cellStyle name="40% - Akzent5 4 2 2 4" xfId="40911" xr:uid="{FBD51B79-8FC1-4ABC-918D-72C6750DFB01}"/>
    <cellStyle name="40% - Akzent5 4 2 3" xfId="27682" xr:uid="{F31E8623-5131-44A2-BED0-0EF3E30B61C8}"/>
    <cellStyle name="40% - Akzent5 4 2 3 2" xfId="41771" xr:uid="{EB8178AD-845F-4C1B-A361-65F2427F5F9E}"/>
    <cellStyle name="40% - Akzent5 4 2 4" xfId="39965" xr:uid="{646C1A6F-6C1A-4F40-8BA8-5B3C22839109}"/>
    <cellStyle name="40% - Akzent5 4 20" xfId="8248" xr:uid="{4745C9EC-5517-4828-A6D5-C7C6323D90E8}"/>
    <cellStyle name="40% - Akzent5 4 20 2" xfId="8249" xr:uid="{D915C208-5B1C-49CC-B6EE-3BE32286C8C4}"/>
    <cellStyle name="40% - Akzent5 4 20 2 2" xfId="27686" xr:uid="{7B9AB5E3-A4F8-49C3-98E6-4B7588938B18}"/>
    <cellStyle name="40% - Akzent5 4 20 3" xfId="27685" xr:uid="{EF8B206B-130B-43B2-A562-DB4A52FFE9AD}"/>
    <cellStyle name="40% - Akzent5 4 21" xfId="8250" xr:uid="{235E5D7F-41B9-47BF-A414-4E9A76E86274}"/>
    <cellStyle name="40% - Akzent5 4 21 2" xfId="8251" xr:uid="{AD6D8085-3ACD-423D-A66B-47063DBD4089}"/>
    <cellStyle name="40% - Akzent5 4 21 2 2" xfId="27688" xr:uid="{8C2CD3BC-F20D-4A17-B5C5-805F2633CA16}"/>
    <cellStyle name="40% - Akzent5 4 21 3" xfId="27687" xr:uid="{9C4A2DB7-C993-4617-8753-3C659E2F9355}"/>
    <cellStyle name="40% - Akzent5 4 22" xfId="8252" xr:uid="{EF512402-A960-41AF-B525-9FA4C4BDC4DA}"/>
    <cellStyle name="40% - Akzent5 4 22 2" xfId="27689" xr:uid="{A342C60D-57FA-474C-94D4-8319C94D507C}"/>
    <cellStyle name="40% - Akzent5 4 23" xfId="8253" xr:uid="{A38EDFA1-FF5B-475E-83CD-D5E1C4567B31}"/>
    <cellStyle name="40% - Akzent5 4 23 2" xfId="27690" xr:uid="{4E526A45-B7F3-4298-A29E-E628CDF90E9A}"/>
    <cellStyle name="40% - Akzent5 4 24" xfId="27661" xr:uid="{C2C55C18-AF56-4341-A3D5-2E44D932F070}"/>
    <cellStyle name="40% - Akzent5 4 25" xfId="39330" xr:uid="{67129F1A-7D17-4D6E-A2B4-20029BC0C3DC}"/>
    <cellStyle name="40% - Akzent5 4 26" xfId="8224" xr:uid="{3D6AFEC3-8F63-407A-B489-2AA83EDE1BFC}"/>
    <cellStyle name="40% - Akzent5 4 3" xfId="8254" xr:uid="{D59F237C-89F4-43E8-85A9-76245939C262}"/>
    <cellStyle name="40% - Akzent5 4 3 2" xfId="8255" xr:uid="{5995C734-F481-4708-9C38-FE0779C5F9A0}"/>
    <cellStyle name="40% - Akzent5 4 3 2 2" xfId="27692" xr:uid="{02797229-B930-4CFC-9BF4-5350ACDD0073}"/>
    <cellStyle name="40% - Akzent5 4 3 2 3" xfId="40910" xr:uid="{FC5D0324-C598-4ED0-A41C-F780677D178D}"/>
    <cellStyle name="40% - Akzent5 4 3 3" xfId="27691" xr:uid="{992BDE7A-CC3E-4D74-B847-57A7B4B8103F}"/>
    <cellStyle name="40% - Akzent5 4 3 3 2" xfId="41770" xr:uid="{E2891A61-ADF0-4D56-A4DE-0A0C7E00CF13}"/>
    <cellStyle name="40% - Akzent5 4 3 4" xfId="39964" xr:uid="{86BD3896-867D-4641-8C90-08EABF657BAA}"/>
    <cellStyle name="40% - Akzent5 4 4" xfId="8256" xr:uid="{4F19DFE7-AD0C-4994-A7B1-7272B6FD367D}"/>
    <cellStyle name="40% - Akzent5 4 4 2" xfId="8257" xr:uid="{17E1ECF4-915A-4AAF-8AFA-81953B49ADAB}"/>
    <cellStyle name="40% - Akzent5 4 4 2 2" xfId="27694" xr:uid="{6B4EE78B-D7B7-4356-A201-3B9FC1F54D1F}"/>
    <cellStyle name="40% - Akzent5 4 4 3" xfId="27693" xr:uid="{3ECA072E-ACA6-4AC6-866D-6A040A550D33}"/>
    <cellStyle name="40% - Akzent5 4 4 4" xfId="40473" xr:uid="{688618B6-6D80-41E2-8C10-FAB904AB8AA5}"/>
    <cellStyle name="40% - Akzent5 4 5" xfId="8258" xr:uid="{5ED0B196-5456-4041-A6EE-F2E607EF9279}"/>
    <cellStyle name="40% - Akzent5 4 5 2" xfId="8259" xr:uid="{1788A34A-14DC-452F-90ED-FE9BD953533B}"/>
    <cellStyle name="40% - Akzent5 4 5 2 2" xfId="27696" xr:uid="{DBBCB689-9D8A-42EF-BBC6-261D166933B5}"/>
    <cellStyle name="40% - Akzent5 4 5 3" xfId="27695" xr:uid="{09E766D7-FE4E-4C36-B62B-5B87EF5E6643}"/>
    <cellStyle name="40% - Akzent5 4 5 4" xfId="41333" xr:uid="{A6143825-1D35-4867-9DCB-0212EC2A9CEF}"/>
    <cellStyle name="40% - Akzent5 4 6" xfId="8260" xr:uid="{9F01D5AC-0ABB-459F-A562-815A681A760C}"/>
    <cellStyle name="40% - Akzent5 4 6 2" xfId="8261" xr:uid="{9D460F21-063B-440F-AC45-B6E7A82740D1}"/>
    <cellStyle name="40% - Akzent5 4 6 2 2" xfId="27698" xr:uid="{983D37B8-991A-4B05-B2CF-125A8CA509D9}"/>
    <cellStyle name="40% - Akzent5 4 6 3" xfId="27697" xr:uid="{674C6C46-E390-4C30-B2A2-15306EDE4014}"/>
    <cellStyle name="40% - Akzent5 4 7" xfId="8262" xr:uid="{AB1C2CBA-383C-4EDD-9081-D3E6B7D7F024}"/>
    <cellStyle name="40% - Akzent5 4 7 2" xfId="8263" xr:uid="{9FAD953A-C86C-4E61-B522-62096A06D18E}"/>
    <cellStyle name="40% - Akzent5 4 7 2 2" xfId="27700" xr:uid="{15DFB966-6AE7-49CF-9E00-04951802B1F6}"/>
    <cellStyle name="40% - Akzent5 4 7 3" xfId="27699" xr:uid="{36C741E1-1778-4BDB-B97E-4EC0909B888F}"/>
    <cellStyle name="40% - Akzent5 4 8" xfId="8264" xr:uid="{3E2067D8-D1D2-44B3-B506-E7BAE2F7817A}"/>
    <cellStyle name="40% - Akzent5 4 8 2" xfId="8265" xr:uid="{51C4B534-7BE3-4C3C-A053-A84B61016A1E}"/>
    <cellStyle name="40% - Akzent5 4 8 2 2" xfId="27702" xr:uid="{B91169EC-7237-4DCB-8497-A54166E60CE1}"/>
    <cellStyle name="40% - Akzent5 4 8 3" xfId="27701" xr:uid="{1624824B-15C9-4EA8-8151-6BE7DC41E0FC}"/>
    <cellStyle name="40% - Akzent5 4 9" xfId="8266" xr:uid="{03411140-6768-4820-BC1E-4C9C849F78A7}"/>
    <cellStyle name="40% - Akzent5 4 9 2" xfId="8267" xr:uid="{3466822C-EA9F-4F7D-95F9-E2AC8A44B06D}"/>
    <cellStyle name="40% - Akzent5 4 9 2 2" xfId="27704" xr:uid="{C776DFE4-C923-4226-9ED1-ADC19A96DFC5}"/>
    <cellStyle name="40% - Akzent5 4 9 3" xfId="27703" xr:uid="{3023334B-9443-47A1-BC66-A22AE757FCEB}"/>
    <cellStyle name="40% - Akzent5 40" xfId="8268" xr:uid="{D3D2251C-B38C-4FB5-8240-4EAAFA17C37D}"/>
    <cellStyle name="40% - Akzent5 40 2" xfId="8269" xr:uid="{53750B8D-CA7F-4E18-A6EB-26E9B87CF287}"/>
    <cellStyle name="40% - Akzent5 40 2 2" xfId="27706" xr:uid="{A564B4A4-8CED-4F6D-A4BC-5BE75AD9B446}"/>
    <cellStyle name="40% - Akzent5 40 3" xfId="27705" xr:uid="{F46EDBD4-8BFD-49B9-9245-3E03BCF19D5C}"/>
    <cellStyle name="40% - Akzent5 41" xfId="8270" xr:uid="{5DCE0A0C-D15F-448A-B34C-997E5228B29D}"/>
    <cellStyle name="40% - Akzent5 41 2" xfId="8271" xr:uid="{83DB6BAD-F65A-4E51-92C5-8CCAB035457C}"/>
    <cellStyle name="40% - Akzent5 41 2 2" xfId="27708" xr:uid="{6DFAD416-95D4-4B30-A1B5-EB7478A890F2}"/>
    <cellStyle name="40% - Akzent5 41 3" xfId="27707" xr:uid="{8FDB4339-7682-4A6C-98FB-68CCD5F004AC}"/>
    <cellStyle name="40% - Akzent5 42" xfId="8272" xr:uid="{29B5383C-631A-497D-86BB-38BD423869FD}"/>
    <cellStyle name="40% - Akzent5 42 2" xfId="8273" xr:uid="{C5411D63-83EC-4EB5-85AE-62200FF2ADAC}"/>
    <cellStyle name="40% - Akzent5 42 2 2" xfId="27710" xr:uid="{857CE2ED-3EF9-474D-A89A-425FAFA73F9A}"/>
    <cellStyle name="40% - Akzent5 42 3" xfId="27709" xr:uid="{0D4A1353-8E0A-45F7-9CFF-433897A3A293}"/>
    <cellStyle name="40% - Akzent5 43" xfId="8274" xr:uid="{34C360FA-8F5E-41BE-879F-F373F392909B}"/>
    <cellStyle name="40% - Akzent5 43 2" xfId="8275" xr:uid="{421E7DD0-9AC5-4B6D-B0D1-7606EF6010C4}"/>
    <cellStyle name="40% - Akzent5 43 2 2" xfId="27712" xr:uid="{94DB90F7-632C-4B1D-9449-A84E83C818CA}"/>
    <cellStyle name="40% - Akzent5 43 3" xfId="27711" xr:uid="{B67F28CE-2CEE-457D-84BC-C36A9C9D0AAB}"/>
    <cellStyle name="40% - Akzent5 44" xfId="8276" xr:uid="{0612AD7F-0AE4-40E3-9E03-5739D3F4A8FF}"/>
    <cellStyle name="40% - Akzent5 44 2" xfId="8277" xr:uid="{D5AEBA4F-9F41-45EF-9A52-E096EE7FEA38}"/>
    <cellStyle name="40% - Akzent5 44 2 2" xfId="27714" xr:uid="{F125159D-64B1-4B36-942B-80580FD11902}"/>
    <cellStyle name="40% - Akzent5 44 3" xfId="27713" xr:uid="{08C4E339-C3D7-4A14-B003-C03827D2B1D0}"/>
    <cellStyle name="40% - Akzent5 45" xfId="8278" xr:uid="{5C367675-8BB7-4E80-9A8B-FD9087D29FCD}"/>
    <cellStyle name="40% - Akzent5 45 2" xfId="8279" xr:uid="{BD67E581-A26B-43F4-BF33-03F6A0A4B7EB}"/>
    <cellStyle name="40% - Akzent5 45 2 2" xfId="27716" xr:uid="{34ECC93A-0B37-4783-B9F1-12E973CE4A01}"/>
    <cellStyle name="40% - Akzent5 45 3" xfId="27715" xr:uid="{C43D846C-E83D-4C89-813F-BDDF67A80CED}"/>
    <cellStyle name="40% - Akzent5 46" xfId="8280" xr:uid="{F2D7C7FA-5471-4C73-8DD9-1EBA388F318A}"/>
    <cellStyle name="40% - Akzent5 46 2" xfId="8281" xr:uid="{273C458E-8E87-41B4-A220-2A633B4DC1AD}"/>
    <cellStyle name="40% - Akzent5 46 2 2" xfId="27718" xr:uid="{DC1B4A21-BFFB-49E1-BF18-2A312A4A25F1}"/>
    <cellStyle name="40% - Akzent5 46 3" xfId="27717" xr:uid="{32B1C8FD-7B08-4660-A204-C89375816369}"/>
    <cellStyle name="40% - Akzent5 47" xfId="8282" xr:uid="{95A14F62-220C-40DA-A4CC-72BC6B6F464C}"/>
    <cellStyle name="40% - Akzent5 47 2" xfId="8283" xr:uid="{E5F96A31-E43F-4568-9CF1-997B63EDC077}"/>
    <cellStyle name="40% - Akzent5 47 2 2" xfId="27720" xr:uid="{8CFC4FB9-42EC-40F4-8895-C38DAA666563}"/>
    <cellStyle name="40% - Akzent5 47 3" xfId="27719" xr:uid="{14A2E5F1-480E-45C0-AFE0-8DA62B669D9B}"/>
    <cellStyle name="40% - Akzent5 48" xfId="8284" xr:uid="{B0C2CE82-EF47-4828-B037-8792E280A674}"/>
    <cellStyle name="40% - Akzent5 48 2" xfId="8285" xr:uid="{AA93CFFB-7FCA-4204-886F-08C363D6C0C2}"/>
    <cellStyle name="40% - Akzent5 48 2 2" xfId="27722" xr:uid="{661ECD79-80BF-49B9-AFAE-8AE252277D00}"/>
    <cellStyle name="40% - Akzent5 48 3" xfId="27721" xr:uid="{3F3B203F-E536-4A88-9CD6-14C89A7F9057}"/>
    <cellStyle name="40% - Akzent5 49" xfId="8286" xr:uid="{A29765DC-6184-400C-AEF4-973CC1706BED}"/>
    <cellStyle name="40% - Akzent5 49 2" xfId="8287" xr:uid="{585349DB-D762-489D-931A-5CC1CD2EF114}"/>
    <cellStyle name="40% - Akzent5 49 2 2" xfId="27724" xr:uid="{A0D75EDB-1BC7-456E-AF06-0632BDDB0BFA}"/>
    <cellStyle name="40% - Akzent5 49 3" xfId="27723" xr:uid="{53E51F95-2990-4A61-990B-002BD6D3F265}"/>
    <cellStyle name="40% - Akzent5 5" xfId="8288" xr:uid="{B5B20DE1-406F-457E-9C5A-786D1AE4A700}"/>
    <cellStyle name="40% - Akzent5 5 10" xfId="8289" xr:uid="{C3CE915D-0CF2-478D-83A2-2E1AF9A780C3}"/>
    <cellStyle name="40% - Akzent5 5 10 2" xfId="8290" xr:uid="{08A483C0-8ED0-402F-9FBE-2C405711799A}"/>
    <cellStyle name="40% - Akzent5 5 10 2 2" xfId="27727" xr:uid="{8F690200-6988-4A2C-912C-3D89217A6EFF}"/>
    <cellStyle name="40% - Akzent5 5 10 3" xfId="27726" xr:uid="{E28B8135-19D6-4EDD-B0AE-9A10F41C92F4}"/>
    <cellStyle name="40% - Akzent5 5 11" xfId="8291" xr:uid="{AA09C330-9434-4214-AE81-AB59270C9185}"/>
    <cellStyle name="40% - Akzent5 5 11 2" xfId="8292" xr:uid="{377D2F5E-8640-406C-9AC8-B0E868752FCC}"/>
    <cellStyle name="40% - Akzent5 5 11 2 2" xfId="27729" xr:uid="{C743B47E-D81E-4614-9A29-E95F746AB556}"/>
    <cellStyle name="40% - Akzent5 5 11 3" xfId="27728" xr:uid="{6E75C21D-54E2-489D-9A51-5704167FB18E}"/>
    <cellStyle name="40% - Akzent5 5 12" xfId="8293" xr:uid="{C7B76FB4-C9F7-43F8-805E-FF65494700DB}"/>
    <cellStyle name="40% - Akzent5 5 12 2" xfId="8294" xr:uid="{054900EF-29C7-4A32-B44B-A2384F1EF261}"/>
    <cellStyle name="40% - Akzent5 5 12 2 2" xfId="27731" xr:uid="{E7FF1CC1-A726-4233-A785-4ABAA2B8CA56}"/>
    <cellStyle name="40% - Akzent5 5 12 3" xfId="27730" xr:uid="{A687802E-9F1B-4B11-9573-197E973CF356}"/>
    <cellStyle name="40% - Akzent5 5 13" xfId="8295" xr:uid="{C6E28766-34D8-4A0B-8EDA-FAB8268160E9}"/>
    <cellStyle name="40% - Akzent5 5 13 2" xfId="8296" xr:uid="{DEFBC049-45B4-46E0-AB72-C9D6CB82BD76}"/>
    <cellStyle name="40% - Akzent5 5 13 2 2" xfId="27733" xr:uid="{09C98954-87AC-402D-AB68-5CF227AD85D9}"/>
    <cellStyle name="40% - Akzent5 5 13 3" xfId="27732" xr:uid="{F36C3095-CFE6-4165-8AEE-F64A67B97D58}"/>
    <cellStyle name="40% - Akzent5 5 14" xfId="8297" xr:uid="{38602BEF-64FF-4A60-A848-D0B9ECC9D452}"/>
    <cellStyle name="40% - Akzent5 5 14 2" xfId="8298" xr:uid="{44A49878-16A4-4236-AF74-DBB55C71F15C}"/>
    <cellStyle name="40% - Akzent5 5 14 2 2" xfId="27735" xr:uid="{6362DA08-3B1B-42B7-8A7E-29C13FD1198D}"/>
    <cellStyle name="40% - Akzent5 5 14 3" xfId="27734" xr:uid="{B7999137-6DF3-46E6-8BA1-812A16103BE1}"/>
    <cellStyle name="40% - Akzent5 5 15" xfId="8299" xr:uid="{AF4856ED-D8E1-4472-8957-CEA6F758AC14}"/>
    <cellStyle name="40% - Akzent5 5 15 2" xfId="8300" xr:uid="{5CAB9105-9FE9-44D4-AAB2-3EFAAA1F6024}"/>
    <cellStyle name="40% - Akzent5 5 15 2 2" xfId="27737" xr:uid="{36F392D2-4263-48EA-BA4D-C012399F7ABF}"/>
    <cellStyle name="40% - Akzent5 5 15 3" xfId="27736" xr:uid="{7F913CAE-71FD-4697-AF82-028FD71D29EB}"/>
    <cellStyle name="40% - Akzent5 5 16" xfId="8301" xr:uid="{5CE84348-A1D3-43EF-8902-D99F258A3958}"/>
    <cellStyle name="40% - Akzent5 5 16 2" xfId="8302" xr:uid="{63F9B8E2-8029-4D35-8C82-83E1CB24E068}"/>
    <cellStyle name="40% - Akzent5 5 16 2 2" xfId="27739" xr:uid="{F9E6342A-E126-4020-BC6C-2AA0390ED042}"/>
    <cellStyle name="40% - Akzent5 5 16 3" xfId="27738" xr:uid="{8E8BE71D-802B-4D26-8F25-172248B299BB}"/>
    <cellStyle name="40% - Akzent5 5 17" xfId="8303" xr:uid="{3C14552E-4B0F-45AA-AD44-70F1384A9F88}"/>
    <cellStyle name="40% - Akzent5 5 17 2" xfId="8304" xr:uid="{2BD9DE22-1DA5-4C92-87E8-A564D1FE23C0}"/>
    <cellStyle name="40% - Akzent5 5 17 2 2" xfId="27741" xr:uid="{E5D3445F-EF2C-45BE-A6DA-6ED0C0373FFD}"/>
    <cellStyle name="40% - Akzent5 5 17 3" xfId="27740" xr:uid="{D1845C09-28B7-4242-820A-05276A3B09F7}"/>
    <cellStyle name="40% - Akzent5 5 18" xfId="8305" xr:uid="{4390C758-4372-441C-8737-E855598790E2}"/>
    <cellStyle name="40% - Akzent5 5 18 2" xfId="8306" xr:uid="{5EDB913E-E363-422A-82DA-D88FC6B02AA3}"/>
    <cellStyle name="40% - Akzent5 5 18 2 2" xfId="27743" xr:uid="{E7D78445-6D85-4106-BCF8-744A38404F48}"/>
    <cellStyle name="40% - Akzent5 5 18 3" xfId="27742" xr:uid="{061EEFE7-844D-437C-9E69-BA7CF81B7467}"/>
    <cellStyle name="40% - Akzent5 5 19" xfId="8307" xr:uid="{65BC07F7-DADA-435A-83E1-C553365BAA56}"/>
    <cellStyle name="40% - Akzent5 5 19 2" xfId="8308" xr:uid="{37248A51-108D-4011-BAC9-570C6924153B}"/>
    <cellStyle name="40% - Akzent5 5 19 2 2" xfId="27745" xr:uid="{E63CFB4A-2FF6-431B-9FEB-40EDC5A57282}"/>
    <cellStyle name="40% - Akzent5 5 19 3" xfId="27744" xr:uid="{71D90C0D-603D-4120-92C9-72FDA2856577}"/>
    <cellStyle name="40% - Akzent5 5 2" xfId="8309" xr:uid="{A77F9CB4-6D64-4092-A89A-BE1A58B0897E}"/>
    <cellStyle name="40% - Akzent5 5 2 2" xfId="8310" xr:uid="{CC2A20AC-7709-42F1-8ABB-63CC583D10E6}"/>
    <cellStyle name="40% - Akzent5 5 2 2 2" xfId="27747" xr:uid="{81E7E67A-9362-45A5-BBF4-4A41534864C5}"/>
    <cellStyle name="40% - Akzent5 5 2 3" xfId="27746" xr:uid="{DB5FCF06-1A44-432E-BD8F-4CBA1A8DAA7B}"/>
    <cellStyle name="40% - Akzent5 5 20" xfId="8311" xr:uid="{D3473204-66D7-4403-9564-823586E33214}"/>
    <cellStyle name="40% - Akzent5 5 20 2" xfId="8312" xr:uid="{839902FD-7877-4174-944D-CE9ABD373AB8}"/>
    <cellStyle name="40% - Akzent5 5 20 2 2" xfId="27749" xr:uid="{E0EE2F05-E1C3-4535-8F40-F9B5A5FEA594}"/>
    <cellStyle name="40% - Akzent5 5 20 3" xfId="27748" xr:uid="{3C08DEFB-2414-4A66-AD13-7EA48671B845}"/>
    <cellStyle name="40% - Akzent5 5 21" xfId="8313" xr:uid="{05CAB300-B0B1-468C-B100-3B8FE97D0185}"/>
    <cellStyle name="40% - Akzent5 5 21 2" xfId="8314" xr:uid="{372E2530-8B7A-4100-8C4C-7F6DC4E77CF5}"/>
    <cellStyle name="40% - Akzent5 5 21 2 2" xfId="27751" xr:uid="{DA0FC639-D565-43FE-AC8B-816701739CDC}"/>
    <cellStyle name="40% - Akzent5 5 21 3" xfId="27750" xr:uid="{6D17C618-9C85-421A-B6FF-8A1A2E6D3B41}"/>
    <cellStyle name="40% - Akzent5 5 22" xfId="8315" xr:uid="{E6E3C4BB-8E75-4593-8222-7F00FB6D116A}"/>
    <cellStyle name="40% - Akzent5 5 22 2" xfId="27752" xr:uid="{243E9DAC-1A56-45B4-973D-2BE0E863297B}"/>
    <cellStyle name="40% - Akzent5 5 23" xfId="8316" xr:uid="{468F4A40-76C1-400D-9222-2FD56D41A04F}"/>
    <cellStyle name="40% - Akzent5 5 23 2" xfId="27753" xr:uid="{86D511F1-C8F1-4745-8323-AA867ADE955D}"/>
    <cellStyle name="40% - Akzent5 5 24" xfId="27725" xr:uid="{4014EA0C-BB21-446E-BE96-0A7DE130BD2C}"/>
    <cellStyle name="40% - Akzent5 5 25" xfId="39326" xr:uid="{1D174707-B849-472F-9B2E-449A4C83DE15}"/>
    <cellStyle name="40% - Akzent5 5 3" xfId="8317" xr:uid="{D3FBD893-4AF5-4C51-8A6F-B45A25CF11AA}"/>
    <cellStyle name="40% - Akzent5 5 3 2" xfId="8318" xr:uid="{B033C95E-880B-4A67-AD84-767345D05479}"/>
    <cellStyle name="40% - Akzent5 5 3 2 2" xfId="27755" xr:uid="{C277BC4A-2A75-4B57-A664-DC31CF3BC00F}"/>
    <cellStyle name="40% - Akzent5 5 3 3" xfId="27754" xr:uid="{4E287A8A-D488-41E7-ACF6-09E58CFFB122}"/>
    <cellStyle name="40% - Akzent5 5 4" xfId="8319" xr:uid="{0B9B91C0-8BBA-4EE7-89BA-9FEEEB64A3A1}"/>
    <cellStyle name="40% - Akzent5 5 4 2" xfId="8320" xr:uid="{CEE2E3FF-4133-409F-B697-7E00A082F147}"/>
    <cellStyle name="40% - Akzent5 5 4 2 2" xfId="27757" xr:uid="{5B379BBE-5660-4189-8E48-3D0DDEB9302E}"/>
    <cellStyle name="40% - Akzent5 5 4 3" xfId="27756" xr:uid="{38E02623-C370-4F8C-B74E-6518130404ED}"/>
    <cellStyle name="40% - Akzent5 5 5" xfId="8321" xr:uid="{B545269C-023D-4D2C-BC38-B6D5F1F29345}"/>
    <cellStyle name="40% - Akzent5 5 5 2" xfId="8322" xr:uid="{2A7224F2-59DD-4968-AC4F-2B1C3B2971BB}"/>
    <cellStyle name="40% - Akzent5 5 5 2 2" xfId="27759" xr:uid="{1D755CE3-BC6C-4D0A-A4DE-1A7F57DC30D0}"/>
    <cellStyle name="40% - Akzent5 5 5 3" xfId="27758" xr:uid="{53DE167D-4D9A-48B7-B4B1-11E9A478AF3D}"/>
    <cellStyle name="40% - Akzent5 5 6" xfId="8323" xr:uid="{8A48899C-58A1-4982-8983-DFF9C3A2A59D}"/>
    <cellStyle name="40% - Akzent5 5 6 2" xfId="8324" xr:uid="{8E205E66-699E-4409-A04D-176FEACA8037}"/>
    <cellStyle name="40% - Akzent5 5 6 2 2" xfId="27761" xr:uid="{47E644F9-2C56-4304-A55F-00432B65D15C}"/>
    <cellStyle name="40% - Akzent5 5 6 3" xfId="27760" xr:uid="{BB604F70-10D7-4B9A-9E9E-49D2409D329F}"/>
    <cellStyle name="40% - Akzent5 5 7" xfId="8325" xr:uid="{4F88CBA3-6F05-44D6-9456-B64062F29A74}"/>
    <cellStyle name="40% - Akzent5 5 7 2" xfId="8326" xr:uid="{5DA8851F-EED9-4A64-8621-55F5518C95AC}"/>
    <cellStyle name="40% - Akzent5 5 7 2 2" xfId="27763" xr:uid="{94860F67-836A-4F78-A14C-017E7A654E7D}"/>
    <cellStyle name="40% - Akzent5 5 7 3" xfId="27762" xr:uid="{BF7B56C7-EE63-4966-A0CD-80EBCB48475C}"/>
    <cellStyle name="40% - Akzent5 5 8" xfId="8327" xr:uid="{73A9A4E0-2778-457F-8C41-F203446FFE0E}"/>
    <cellStyle name="40% - Akzent5 5 8 2" xfId="8328" xr:uid="{B9F2D086-3BAD-41B3-A543-3988CD3E7CB7}"/>
    <cellStyle name="40% - Akzent5 5 8 2 2" xfId="27765" xr:uid="{CB79400A-A8BF-41EC-AFD4-69328DF3590A}"/>
    <cellStyle name="40% - Akzent5 5 8 3" xfId="27764" xr:uid="{4C604988-9051-4B6E-A473-C38F482D3DF2}"/>
    <cellStyle name="40% - Akzent5 5 9" xfId="8329" xr:uid="{D87612D6-915A-4A6A-A08F-E99F3132985E}"/>
    <cellStyle name="40% - Akzent5 5 9 2" xfId="8330" xr:uid="{CC7D4C35-0CF1-4BF6-9511-05C51044E6FD}"/>
    <cellStyle name="40% - Akzent5 5 9 2 2" xfId="27767" xr:uid="{09E1A9BC-AF13-4048-A917-22DC50D1E81B}"/>
    <cellStyle name="40% - Akzent5 5 9 3" xfId="27766" xr:uid="{C798BE03-FBD9-4619-9AAD-371FF8363351}"/>
    <cellStyle name="40% - Akzent5 50" xfId="8331" xr:uid="{D9D7FFF9-6065-447C-8D55-7D9F69A467EE}"/>
    <cellStyle name="40% - Akzent5 50 2" xfId="8332" xr:uid="{0DB14B59-131E-44B0-9070-949E869FB6F7}"/>
    <cellStyle name="40% - Akzent5 50 2 2" xfId="27769" xr:uid="{FB5F66E2-73BA-4B90-A475-FD517EB5BECF}"/>
    <cellStyle name="40% - Akzent5 50 3" xfId="27768" xr:uid="{568DCC3B-1B0D-4F34-8FC0-1687904B596F}"/>
    <cellStyle name="40% - Akzent5 51" xfId="8333" xr:uid="{ABAD1B1B-8FFE-43E2-903F-635A9F7B1875}"/>
    <cellStyle name="40% - Akzent5 51 2" xfId="8334" xr:uid="{9D937FBE-3534-4E03-8CCB-F7461F27FDB1}"/>
    <cellStyle name="40% - Akzent5 51 2 2" xfId="27771" xr:uid="{B7AE3CB7-A75C-4365-B089-393699DD2E4B}"/>
    <cellStyle name="40% - Akzent5 51 3" xfId="27770" xr:uid="{50A45C2D-677C-4A0E-9F43-97ED3E175448}"/>
    <cellStyle name="40% - Akzent5 52" xfId="8335" xr:uid="{DDA94363-EFB6-4E99-99F1-5DFC524EF0C0}"/>
    <cellStyle name="40% - Akzent5 52 2" xfId="8336" xr:uid="{BEBBA8FD-8414-4969-B680-8A265BFE5986}"/>
    <cellStyle name="40% - Akzent5 52 2 2" xfId="27773" xr:uid="{59EC9253-9C6D-4D22-A67A-573CD3382BF0}"/>
    <cellStyle name="40% - Akzent5 52 3" xfId="27772" xr:uid="{1DA9A94D-99E1-46DA-8036-592593DA227B}"/>
    <cellStyle name="40% - Akzent5 53" xfId="8337" xr:uid="{2863EB89-FB3F-4384-A1E6-459D3AAC73F5}"/>
    <cellStyle name="40% - Akzent5 53 2" xfId="8338" xr:uid="{D7DAB204-45CE-462A-9EB7-DA4B427A75EB}"/>
    <cellStyle name="40% - Akzent5 53 2 2" xfId="27775" xr:uid="{48896F7F-BE4A-4D1C-8786-911490D9D7FE}"/>
    <cellStyle name="40% - Akzent5 53 3" xfId="27774" xr:uid="{5E3506DA-4082-4082-B80B-ED4B356FE942}"/>
    <cellStyle name="40% - Akzent5 54" xfId="8339" xr:uid="{579920E5-D0CC-4347-814D-28DDB36D0972}"/>
    <cellStyle name="40% - Akzent5 54 2" xfId="8340" xr:uid="{19D89FE3-4D8A-43CA-9124-52539902C873}"/>
    <cellStyle name="40% - Akzent5 54 2 2" xfId="27777" xr:uid="{F934DFDB-2114-4526-AEBA-B5E77E5F52E2}"/>
    <cellStyle name="40% - Akzent5 54 3" xfId="27776" xr:uid="{26984A5C-E50E-4DBF-A7BE-B61C297DC4C6}"/>
    <cellStyle name="40% - Akzent5 55" xfId="8341" xr:uid="{4B58CC9B-D93C-4E8C-894E-24045B1D65F3}"/>
    <cellStyle name="40% - Akzent5 55 2" xfId="8342" xr:uid="{CD31F64C-6A49-4EF8-A504-EFD770EF019B}"/>
    <cellStyle name="40% - Akzent5 55 2 2" xfId="27779" xr:uid="{75CEC9E7-2E29-487D-BB58-F316B4DE96FD}"/>
    <cellStyle name="40% - Akzent5 55 3" xfId="27778" xr:uid="{540A2739-C0AB-4421-8723-4E27048B6F35}"/>
    <cellStyle name="40% - Akzent5 56" xfId="8343" xr:uid="{5AB96A5C-B7DE-4733-80F4-503B8F121989}"/>
    <cellStyle name="40% - Akzent5 56 2" xfId="8344" xr:uid="{F9A8AE21-9044-4E99-922E-20EB2B631519}"/>
    <cellStyle name="40% - Akzent5 56 2 2" xfId="27781" xr:uid="{15E93DC9-AC61-46A6-BEE3-8C24D6949DCC}"/>
    <cellStyle name="40% - Akzent5 56 3" xfId="27780" xr:uid="{D22FC988-AE0F-4F17-B145-525B164F483D}"/>
    <cellStyle name="40% - Akzent5 57" xfId="8345" xr:uid="{FCE27CC9-FAAF-4982-8B8D-0E6F50182B6E}"/>
    <cellStyle name="40% - Akzent5 57 2" xfId="8346" xr:uid="{5655F340-545F-4AD1-A587-14D2553EEF82}"/>
    <cellStyle name="40% - Akzent5 57 2 2" xfId="27783" xr:uid="{855D64BD-F8D1-4DE7-8EDB-A7689B23E773}"/>
    <cellStyle name="40% - Akzent5 57 3" xfId="27782" xr:uid="{C5DBA896-72B0-47DA-B96A-7E04A26B1C90}"/>
    <cellStyle name="40% - Akzent5 58" xfId="8347" xr:uid="{B51D890D-8773-432B-AF93-99CBB9BDAF8C}"/>
    <cellStyle name="40% - Akzent5 58 2" xfId="8348" xr:uid="{39746F4A-5EDA-42CF-BEBA-84AC54433C17}"/>
    <cellStyle name="40% - Akzent5 58 2 2" xfId="27785" xr:uid="{545BCC1F-B2D1-4C19-A6CE-24935209C8BE}"/>
    <cellStyle name="40% - Akzent5 58 3" xfId="27784" xr:uid="{CCDA8CB3-8002-44E7-B8BB-1A291E8796E3}"/>
    <cellStyle name="40% - Akzent5 59" xfId="8349" xr:uid="{16C215F0-EB73-4705-AC2E-0CE66FAFF698}"/>
    <cellStyle name="40% - Akzent5 59 2" xfId="8350" xr:uid="{65CCD6CF-D8DA-4664-AE3C-A01C4E20BEC9}"/>
    <cellStyle name="40% - Akzent5 59 2 2" xfId="27787" xr:uid="{B2E63661-DC56-4570-B326-A7137984980E}"/>
    <cellStyle name="40% - Akzent5 59 3" xfId="27786" xr:uid="{339B678E-B928-442D-9EBA-C308DCA4FE82}"/>
    <cellStyle name="40% - Akzent5 6" xfId="8351" xr:uid="{6784C8C8-C9D3-4997-96CA-881CE9993BE9}"/>
    <cellStyle name="40% - Akzent5 6 10" xfId="8352" xr:uid="{DEBDAFAC-9950-4E35-A3B0-ED7172F9A10F}"/>
    <cellStyle name="40% - Akzent5 6 10 2" xfId="8353" xr:uid="{27E8D8E0-BADB-4E2D-BFAC-AD4B2B53DCFA}"/>
    <cellStyle name="40% - Akzent5 6 10 2 2" xfId="27790" xr:uid="{0EBAD64A-70C6-4B92-9223-2D48FD77BAF7}"/>
    <cellStyle name="40% - Akzent5 6 10 3" xfId="27789" xr:uid="{7B1E5ECD-E409-4FE0-B73D-36D4CFDB2016}"/>
    <cellStyle name="40% - Akzent5 6 11" xfId="8354" xr:uid="{E05B1998-EFE5-4BB5-B36A-6EBED2744873}"/>
    <cellStyle name="40% - Akzent5 6 11 2" xfId="8355" xr:uid="{A236F1B1-6F99-4E86-9419-72362B92EB80}"/>
    <cellStyle name="40% - Akzent5 6 11 2 2" xfId="27792" xr:uid="{11F7DBA5-DF6C-486E-9FBF-F6D51A27CDE1}"/>
    <cellStyle name="40% - Akzent5 6 11 3" xfId="27791" xr:uid="{504B97D2-9AB6-4D65-B0A5-8C06EB010C16}"/>
    <cellStyle name="40% - Akzent5 6 12" xfId="8356" xr:uid="{84187662-2D21-4B2A-91DA-251C8755762F}"/>
    <cellStyle name="40% - Akzent5 6 12 2" xfId="8357" xr:uid="{7D9E320E-772E-44F1-8B13-F468D0C30771}"/>
    <cellStyle name="40% - Akzent5 6 12 2 2" xfId="27794" xr:uid="{81141904-AFDF-462B-A4FA-E136DE8BEB58}"/>
    <cellStyle name="40% - Akzent5 6 12 3" xfId="27793" xr:uid="{70C1765A-E29B-4173-89ED-6D4A82C2AE5B}"/>
    <cellStyle name="40% - Akzent5 6 13" xfId="8358" xr:uid="{2D902950-D43D-4A1D-AA51-5C328CBBC414}"/>
    <cellStyle name="40% - Akzent5 6 13 2" xfId="8359" xr:uid="{D3244B39-B00D-428A-9924-7B117BF9CAB9}"/>
    <cellStyle name="40% - Akzent5 6 13 2 2" xfId="27796" xr:uid="{026BE50A-7A5F-4E3D-8765-1ACA33BEB6A9}"/>
    <cellStyle name="40% - Akzent5 6 13 3" xfId="27795" xr:uid="{A422FCC3-E2C6-49D4-B230-E05BC6EA50E2}"/>
    <cellStyle name="40% - Akzent5 6 14" xfId="8360" xr:uid="{CF3CECA9-CB1D-4BC2-8D43-8111C1893C6C}"/>
    <cellStyle name="40% - Akzent5 6 14 2" xfId="8361" xr:uid="{97147050-F37C-4460-9682-3AABD25C4DE2}"/>
    <cellStyle name="40% - Akzent5 6 14 2 2" xfId="27798" xr:uid="{F4DABD0D-0149-4359-A997-720C657B1E99}"/>
    <cellStyle name="40% - Akzent5 6 14 3" xfId="27797" xr:uid="{68EC8707-BC16-4E69-87C5-8C18FD3C9699}"/>
    <cellStyle name="40% - Akzent5 6 15" xfId="8362" xr:uid="{2C8888D2-2381-4412-9D48-55CD89B2DBEB}"/>
    <cellStyle name="40% - Akzent5 6 15 2" xfId="8363" xr:uid="{A9141BFB-54B3-4C25-86BF-C729677F69A4}"/>
    <cellStyle name="40% - Akzent5 6 15 2 2" xfId="27800" xr:uid="{CA42AFEF-9F2F-4204-A0B0-1DBF3DBE01C0}"/>
    <cellStyle name="40% - Akzent5 6 15 3" xfId="27799" xr:uid="{50D8443B-D0BF-4868-9AA0-D8225F799E3E}"/>
    <cellStyle name="40% - Akzent5 6 16" xfId="8364" xr:uid="{D7FF5CB1-AFC1-45C3-8BA9-A8BF49FD1479}"/>
    <cellStyle name="40% - Akzent5 6 16 2" xfId="8365" xr:uid="{690307C8-A3B8-4482-9853-41FF4B3C6553}"/>
    <cellStyle name="40% - Akzent5 6 16 2 2" xfId="27802" xr:uid="{56CAFC1E-BD8F-4056-ABED-364C7965B7E5}"/>
    <cellStyle name="40% - Akzent5 6 16 3" xfId="27801" xr:uid="{5B80B32F-FAD9-4E2C-A7BE-0C7B1797DAB8}"/>
    <cellStyle name="40% - Akzent5 6 17" xfId="8366" xr:uid="{D0F001DF-8F76-40F7-A006-F3D0DE78769C}"/>
    <cellStyle name="40% - Akzent5 6 17 2" xfId="8367" xr:uid="{27B1F70A-8D19-4DBB-96CA-243C5D11D833}"/>
    <cellStyle name="40% - Akzent5 6 17 2 2" xfId="27804" xr:uid="{6B6D5811-3F28-459D-A9B6-DFD71FC823E2}"/>
    <cellStyle name="40% - Akzent5 6 17 3" xfId="27803" xr:uid="{8A31CC49-B7F6-488C-9F5D-EB718ED4EB06}"/>
    <cellStyle name="40% - Akzent5 6 18" xfId="8368" xr:uid="{4EC96EF2-7100-480F-B1AE-8F4BF6B5E1FB}"/>
    <cellStyle name="40% - Akzent5 6 18 2" xfId="8369" xr:uid="{CCD5FBC3-7BD2-405C-A5B0-1AF0E3B57BE8}"/>
    <cellStyle name="40% - Akzent5 6 18 2 2" xfId="27806" xr:uid="{99658008-2223-4C04-8054-9541457302A2}"/>
    <cellStyle name="40% - Akzent5 6 18 3" xfId="27805" xr:uid="{869170FC-CACA-4F80-A8FB-B3F8339F6341}"/>
    <cellStyle name="40% - Akzent5 6 19" xfId="8370" xr:uid="{3D4BD5CB-A465-4D4B-A396-75E538855BC7}"/>
    <cellStyle name="40% - Akzent5 6 19 2" xfId="8371" xr:uid="{D1C9EB6A-B4F0-4D8E-B285-828D6B3EC556}"/>
    <cellStyle name="40% - Akzent5 6 19 2 2" xfId="27808" xr:uid="{B11F19B3-B8E6-4A10-9E52-48536CFDDDBE}"/>
    <cellStyle name="40% - Akzent5 6 19 3" xfId="27807" xr:uid="{AD0C7542-D790-49AC-8AA4-3E36FCB4204D}"/>
    <cellStyle name="40% - Akzent5 6 2" xfId="8372" xr:uid="{EA8FA187-19C5-49BA-AAA1-C362FD0EF703}"/>
    <cellStyle name="40% - Akzent5 6 2 2" xfId="27809" xr:uid="{5A554DE3-4760-4B5F-8D7D-1BBF57266B88}"/>
    <cellStyle name="40% - Akzent5 6 20" xfId="8373" xr:uid="{94F33617-2B51-45D7-8955-B66F8DD8E1F7}"/>
    <cellStyle name="40% - Akzent5 6 20 2" xfId="8374" xr:uid="{4D6BE924-DBBC-4C7C-9DA2-9FFEAB944BFC}"/>
    <cellStyle name="40% - Akzent5 6 20 2 2" xfId="27811" xr:uid="{85EAD48E-5F4F-4A89-A2F9-B797195529C5}"/>
    <cellStyle name="40% - Akzent5 6 20 3" xfId="27810" xr:uid="{FB5D39B2-3A0A-481E-8F32-CBF7DEFB4539}"/>
    <cellStyle name="40% - Akzent5 6 21" xfId="8375" xr:uid="{28191CF0-332E-4E9B-8D3F-8BFAAC6B2F5C}"/>
    <cellStyle name="40% - Akzent5 6 21 2" xfId="8376" xr:uid="{FD290695-85FC-49CA-9DB7-D750887BCEE5}"/>
    <cellStyle name="40% - Akzent5 6 21 2 2" xfId="27813" xr:uid="{55BFA22C-768E-4549-9820-CACCF19CD14F}"/>
    <cellStyle name="40% - Akzent5 6 21 3" xfId="27812" xr:uid="{81BFF5B3-4824-47CE-9699-4DD6E9F87086}"/>
    <cellStyle name="40% - Akzent5 6 22" xfId="8377" xr:uid="{32945EDC-9D36-4035-8608-3295127DD203}"/>
    <cellStyle name="40% - Akzent5 6 22 2" xfId="27814" xr:uid="{D54CDDC2-9709-44FF-948C-3A8361ED631E}"/>
    <cellStyle name="40% - Akzent5 6 23" xfId="8378" xr:uid="{4BEA103B-F538-42AF-AAC7-FA63E91CF1B3}"/>
    <cellStyle name="40% - Akzent5 6 23 2" xfId="27815" xr:uid="{6F5113DE-F38C-4804-A4C4-A884BEA755D6}"/>
    <cellStyle name="40% - Akzent5 6 24" xfId="27788" xr:uid="{8AE02456-98BA-48F4-AD4E-B94A8B8611B2}"/>
    <cellStyle name="40% - Akzent5 6 3" xfId="8379" xr:uid="{F8A42F49-0120-4D3C-A889-D4DE3DC68ED4}"/>
    <cellStyle name="40% - Akzent5 6 3 2" xfId="8380" xr:uid="{3560F895-3A5F-43E5-A2AA-088A149AC698}"/>
    <cellStyle name="40% - Akzent5 6 3 2 2" xfId="27817" xr:uid="{91697379-8C4C-4497-B30A-08C68AAC97CA}"/>
    <cellStyle name="40% - Akzent5 6 3 3" xfId="27816" xr:uid="{FEACC466-0A25-492B-9AA3-F2DD8478149D}"/>
    <cellStyle name="40% - Akzent5 6 4" xfId="8381" xr:uid="{1BD884D4-5539-4732-AC1E-825FCC80748B}"/>
    <cellStyle name="40% - Akzent5 6 4 2" xfId="8382" xr:uid="{4F57FF63-6331-48F6-80FC-971B38CE0946}"/>
    <cellStyle name="40% - Akzent5 6 4 2 2" xfId="27819" xr:uid="{C1096873-BB44-4641-80AF-3900119767B7}"/>
    <cellStyle name="40% - Akzent5 6 4 3" xfId="27818" xr:uid="{89A31B28-A93A-43F3-AB67-78F4599651F8}"/>
    <cellStyle name="40% - Akzent5 6 5" xfId="8383" xr:uid="{4A35170E-90F4-4FF3-B632-6CB1B1D8CB27}"/>
    <cellStyle name="40% - Akzent5 6 5 2" xfId="8384" xr:uid="{AAC7FEE6-722D-42BD-9CA3-B08AACC68D99}"/>
    <cellStyle name="40% - Akzent5 6 5 2 2" xfId="27821" xr:uid="{AF2DC777-39FF-4DE0-AC79-9856F03BE1F7}"/>
    <cellStyle name="40% - Akzent5 6 5 3" xfId="27820" xr:uid="{EF566EF8-D4C9-4F26-BAB7-1B2554BBE0FB}"/>
    <cellStyle name="40% - Akzent5 6 6" xfId="8385" xr:uid="{6A866765-A4D8-4DB8-A45F-0C1685EB74CE}"/>
    <cellStyle name="40% - Akzent5 6 6 2" xfId="8386" xr:uid="{DF0FEFF4-AC18-4142-B368-4B9709D5B150}"/>
    <cellStyle name="40% - Akzent5 6 6 2 2" xfId="27823" xr:uid="{1DA36426-B3BE-4356-91F8-A12DC259D954}"/>
    <cellStyle name="40% - Akzent5 6 6 3" xfId="27822" xr:uid="{7A985237-646E-4066-A16C-9B21BE08997F}"/>
    <cellStyle name="40% - Akzent5 6 7" xfId="8387" xr:uid="{B7E97F1F-5ED5-44AA-886B-1D838118BB5A}"/>
    <cellStyle name="40% - Akzent5 6 7 2" xfId="8388" xr:uid="{E2C62EBB-14C8-435D-ABCD-6F2BAD77DC08}"/>
    <cellStyle name="40% - Akzent5 6 7 2 2" xfId="27825" xr:uid="{D3920238-FBB0-4A64-B98C-C85D101CF5CD}"/>
    <cellStyle name="40% - Akzent5 6 7 3" xfId="27824" xr:uid="{A422D6A6-36DC-4ED7-B313-27D5ECB2C889}"/>
    <cellStyle name="40% - Akzent5 6 8" xfId="8389" xr:uid="{D825D602-316E-4A10-A80C-7385EDC5C656}"/>
    <cellStyle name="40% - Akzent5 6 8 2" xfId="8390" xr:uid="{8E4D0752-DD94-4CCF-9D33-4C30BF95D03A}"/>
    <cellStyle name="40% - Akzent5 6 8 2 2" xfId="27827" xr:uid="{1A6CA731-B7E6-48DE-9AE3-203800DB3732}"/>
    <cellStyle name="40% - Akzent5 6 8 3" xfId="27826" xr:uid="{5D5A3DA3-670A-4076-9FC8-60CE35E49C6E}"/>
    <cellStyle name="40% - Akzent5 6 9" xfId="8391" xr:uid="{C572D8C0-4AEA-46C0-8B44-9550E8FA8B92}"/>
    <cellStyle name="40% - Akzent5 6 9 2" xfId="8392" xr:uid="{6D319EEA-1E56-4C8B-BD78-CEB48F10E206}"/>
    <cellStyle name="40% - Akzent5 6 9 2 2" xfId="27829" xr:uid="{9CBA9860-3B44-4C85-96D3-6069A879850A}"/>
    <cellStyle name="40% - Akzent5 6 9 3" xfId="27828" xr:uid="{E5C9F527-2040-46E8-8586-80B55E487278}"/>
    <cellStyle name="40% - Akzent5 60" xfId="8393" xr:uid="{D6F0B8BA-F394-4098-89C7-5132303FE9D4}"/>
    <cellStyle name="40% - Akzent5 60 2" xfId="8394" xr:uid="{2D4CE34B-565E-472B-BE21-BF0CFC6ED1E2}"/>
    <cellStyle name="40% - Akzent5 60 2 2" xfId="27831" xr:uid="{0371FF84-D032-4457-BEFF-476607FA4F39}"/>
    <cellStyle name="40% - Akzent5 60 3" xfId="27830" xr:uid="{DA792990-637C-4AB3-B143-58B7B5D22A46}"/>
    <cellStyle name="40% - Akzent5 61" xfId="8395" xr:uid="{00BB16A5-15AC-4F52-954F-713BF58D9E38}"/>
    <cellStyle name="40% - Akzent5 61 2" xfId="8396" xr:uid="{648B281F-F7BC-4B61-9BE1-AD67D6E01596}"/>
    <cellStyle name="40% - Akzent5 61 2 2" xfId="27833" xr:uid="{81666C6D-3559-4223-97B3-F0FA3274E638}"/>
    <cellStyle name="40% - Akzent5 61 3" xfId="27832" xr:uid="{9B93F78A-3060-444D-93BC-E415A7D54C35}"/>
    <cellStyle name="40% - Akzent5 62" xfId="8397" xr:uid="{F3AD77B9-6006-4A3F-B3F5-DC23B44CB7EF}"/>
    <cellStyle name="40% - Akzent5 62 2" xfId="8398" xr:uid="{82731001-FCFE-47BF-8277-050770F84E35}"/>
    <cellStyle name="40% - Akzent5 62 2 2" xfId="27835" xr:uid="{46FE8653-E7FF-450D-AA36-9B634D3B3493}"/>
    <cellStyle name="40% - Akzent5 62 3" xfId="27834" xr:uid="{AA0BF547-DFEC-4EF8-98F5-8B1E472BDFE8}"/>
    <cellStyle name="40% - Akzent5 63" xfId="8399" xr:uid="{CE9902AD-C7F1-49DF-896B-3EAA8ACDC8E7}"/>
    <cellStyle name="40% - Akzent5 63 2" xfId="8400" xr:uid="{93CF600D-6537-496D-90BB-39DF45D41DFF}"/>
    <cellStyle name="40% - Akzent5 63 2 2" xfId="27837" xr:uid="{EC083D24-0C80-4991-8D69-0FD6A5283610}"/>
    <cellStyle name="40% - Akzent5 63 3" xfId="27836" xr:uid="{8B10C143-3258-4C6F-A0C8-673BF8C99520}"/>
    <cellStyle name="40% - Akzent5 64" xfId="8401" xr:uid="{64D22E36-2021-4203-B76B-5CCBEAB5C2D5}"/>
    <cellStyle name="40% - Akzent5 64 2" xfId="8402" xr:uid="{598BA6A3-2578-472C-A91E-03A918EC3778}"/>
    <cellStyle name="40% - Akzent5 64 2 2" xfId="27839" xr:uid="{95D4E582-1743-4000-96ED-B07C558CE691}"/>
    <cellStyle name="40% - Akzent5 64 3" xfId="27838" xr:uid="{A43A902F-76E5-4DCE-82F8-4469169C7D56}"/>
    <cellStyle name="40% - Akzent5 65" xfId="8403" xr:uid="{972DAD8C-F928-44B5-AF02-CB5F445B74BD}"/>
    <cellStyle name="40% - Akzent5 65 2" xfId="8404" xr:uid="{EDC70905-3FD2-4254-AE49-EE0250E58FFA}"/>
    <cellStyle name="40% - Akzent5 65 2 2" xfId="27841" xr:uid="{19BD8DDE-4F5B-493B-A1C8-7AC38D28D779}"/>
    <cellStyle name="40% - Akzent5 65 3" xfId="27840" xr:uid="{27A1DB8E-51F5-4C89-9B70-5EB911CE1468}"/>
    <cellStyle name="40% - Akzent5 66" xfId="8405" xr:uid="{0358D62B-48CA-4D18-8732-89E3467D4D84}"/>
    <cellStyle name="40% - Akzent5 66 2" xfId="8406" xr:uid="{D1505784-02B8-4C90-A158-A3478E9AEC68}"/>
    <cellStyle name="40% - Akzent5 66 2 2" xfId="27843" xr:uid="{E2AE8740-94DE-41D6-A48E-3754864FBA6E}"/>
    <cellStyle name="40% - Akzent5 66 3" xfId="27842" xr:uid="{A38598DA-FC35-41EA-AEDB-96BBC82929F8}"/>
    <cellStyle name="40% - Akzent5 67" xfId="8407" xr:uid="{63B67D1B-E134-4CF5-A45F-BF0CC9131143}"/>
    <cellStyle name="40% - Akzent5 67 2" xfId="8408" xr:uid="{2EAFCE03-ED19-434D-ADDF-CD257066E8B4}"/>
    <cellStyle name="40% - Akzent5 67 2 2" xfId="27845" xr:uid="{69C424F0-663D-470A-A423-E7A40435C45B}"/>
    <cellStyle name="40% - Akzent5 67 3" xfId="27844" xr:uid="{400396FD-AE6B-43AB-B3F4-107EC18F1BA8}"/>
    <cellStyle name="40% - Akzent5 68" xfId="8409" xr:uid="{A77F95F1-EDED-4273-9B7A-0DAEA671799D}"/>
    <cellStyle name="40% - Akzent5 68 2" xfId="8410" xr:uid="{AF5905EA-9E82-4BAE-953B-0D9C1F6A6F09}"/>
    <cellStyle name="40% - Akzent5 68 2 2" xfId="27847" xr:uid="{FB2DAD89-CED3-4D58-93EE-3091017FE62E}"/>
    <cellStyle name="40% - Akzent5 68 3" xfId="27846" xr:uid="{C4569756-6878-417A-9BFA-CC6F1B69BD45}"/>
    <cellStyle name="40% - Akzent5 69" xfId="8411" xr:uid="{C5659CE0-BE1E-41EC-8176-258B1729615A}"/>
    <cellStyle name="40% - Akzent5 69 2" xfId="8412" xr:uid="{2345ACB0-22F8-4F22-967F-3920D603C7A8}"/>
    <cellStyle name="40% - Akzent5 69 2 2" xfId="27849" xr:uid="{44080CE9-C715-44E8-A126-BB419811AE36}"/>
    <cellStyle name="40% - Akzent5 69 3" xfId="27848" xr:uid="{1501A4C5-FE1E-4D3D-A519-D19D6E85B84E}"/>
    <cellStyle name="40% - Akzent5 7" xfId="8413" xr:uid="{E0E53B22-748C-4EBD-8605-B8BF8630BA04}"/>
    <cellStyle name="40% - Akzent5 7 10" xfId="8414" xr:uid="{EE9DBCFE-42A1-409B-849B-CCDD6F383067}"/>
    <cellStyle name="40% - Akzent5 7 10 2" xfId="8415" xr:uid="{3C31A98D-390E-4815-BF01-1E49A3034CAD}"/>
    <cellStyle name="40% - Akzent5 7 10 2 2" xfId="27852" xr:uid="{85EC1DD9-7929-482D-8884-0FAAEFC40C23}"/>
    <cellStyle name="40% - Akzent5 7 10 3" xfId="27851" xr:uid="{7130B5C6-FB5D-42B4-B1E0-E1F601F26AA2}"/>
    <cellStyle name="40% - Akzent5 7 11" xfId="8416" xr:uid="{F3BAEB2E-F3F0-4260-A712-E520EC55095D}"/>
    <cellStyle name="40% - Akzent5 7 11 2" xfId="8417" xr:uid="{F5D07509-F888-4BEA-B9E7-EC454907E685}"/>
    <cellStyle name="40% - Akzent5 7 11 2 2" xfId="27854" xr:uid="{EF9C6489-BF51-4A67-9005-1FAE883E567D}"/>
    <cellStyle name="40% - Akzent5 7 11 3" xfId="27853" xr:uid="{0ED27303-83B7-4483-BA09-A9C162E6E93A}"/>
    <cellStyle name="40% - Akzent5 7 12" xfId="8418" xr:uid="{E8AC387B-EFA5-48B5-997D-6944B106DD09}"/>
    <cellStyle name="40% - Akzent5 7 12 2" xfId="8419" xr:uid="{35CFB59F-F3EF-4ABB-8E34-6FDD7074932C}"/>
    <cellStyle name="40% - Akzent5 7 12 2 2" xfId="27856" xr:uid="{3CE29C8F-21E3-437B-948B-A01AEAA574E7}"/>
    <cellStyle name="40% - Akzent5 7 12 3" xfId="27855" xr:uid="{0B4C467B-CD40-461F-B7D0-EFEBAF4DDC94}"/>
    <cellStyle name="40% - Akzent5 7 13" xfId="8420" xr:uid="{4AC93261-F5FD-4728-A4B7-B00B1276B9F6}"/>
    <cellStyle name="40% - Akzent5 7 13 2" xfId="8421" xr:uid="{D2F6EA83-5B1D-4A8F-9ED1-044A7349915A}"/>
    <cellStyle name="40% - Akzent5 7 13 2 2" xfId="27858" xr:uid="{D92D453A-19FC-4136-B6B3-D466BE8DC590}"/>
    <cellStyle name="40% - Akzent5 7 13 3" xfId="27857" xr:uid="{50DEDDC9-E120-4020-8186-6E2EBA666AAD}"/>
    <cellStyle name="40% - Akzent5 7 14" xfId="8422" xr:uid="{53061469-3852-466D-943E-6255A9ABDCE8}"/>
    <cellStyle name="40% - Akzent5 7 14 2" xfId="8423" xr:uid="{9ACA005F-1C6F-4143-98D5-B9A341417B01}"/>
    <cellStyle name="40% - Akzent5 7 14 2 2" xfId="27860" xr:uid="{53BB86D0-EBAD-42E1-B0E8-5416A74414F5}"/>
    <cellStyle name="40% - Akzent5 7 14 3" xfId="27859" xr:uid="{284C3D89-F3BE-4C3A-8DEE-61DEF00273BC}"/>
    <cellStyle name="40% - Akzent5 7 15" xfId="8424" xr:uid="{5DA8EF14-2DC1-4943-B283-4336F641023B}"/>
    <cellStyle name="40% - Akzent5 7 15 2" xfId="8425" xr:uid="{3373C5C1-C535-4AB1-829A-40D1770F9B1D}"/>
    <cellStyle name="40% - Akzent5 7 15 2 2" xfId="27862" xr:uid="{D2D3FBEC-258E-4C12-ACEA-5376F62F2417}"/>
    <cellStyle name="40% - Akzent5 7 15 3" xfId="27861" xr:uid="{3F3A24DA-FD71-48E5-8E96-C74B8D5E034F}"/>
    <cellStyle name="40% - Akzent5 7 16" xfId="8426" xr:uid="{F73AAE04-BDCF-4AE0-94F2-561C66DFEC60}"/>
    <cellStyle name="40% - Akzent5 7 16 2" xfId="8427" xr:uid="{AF81EFA9-065E-4621-812A-4592D802FE4E}"/>
    <cellStyle name="40% - Akzent5 7 16 2 2" xfId="27864" xr:uid="{E2AF547A-05C1-465D-8483-9919F7B0CE04}"/>
    <cellStyle name="40% - Akzent5 7 16 3" xfId="27863" xr:uid="{5828B6D1-4773-46BD-8ABA-F6632F531ABD}"/>
    <cellStyle name="40% - Akzent5 7 17" xfId="8428" xr:uid="{87767AD7-FA0F-4268-86C6-3F62AFCC6B76}"/>
    <cellStyle name="40% - Akzent5 7 17 2" xfId="8429" xr:uid="{9A366843-48B6-44D5-850B-496000EA0434}"/>
    <cellStyle name="40% - Akzent5 7 17 2 2" xfId="27866" xr:uid="{0055B2E9-B1B2-40D4-97CE-85A3BE80ECB1}"/>
    <cellStyle name="40% - Akzent5 7 17 3" xfId="27865" xr:uid="{42E356BC-6DEB-497A-BBBB-540F72A8F4CA}"/>
    <cellStyle name="40% - Akzent5 7 18" xfId="8430" xr:uid="{975348FE-4883-4D19-8271-4B0B6097D41F}"/>
    <cellStyle name="40% - Akzent5 7 18 2" xfId="8431" xr:uid="{CB739DDB-B39A-48C4-823B-95EDE01A4217}"/>
    <cellStyle name="40% - Akzent5 7 18 2 2" xfId="27868" xr:uid="{6A276A21-A335-4064-9E68-92ECCD65E709}"/>
    <cellStyle name="40% - Akzent5 7 18 3" xfId="27867" xr:uid="{57D3EF2E-5924-4B2B-B09F-EFFC8CEDC264}"/>
    <cellStyle name="40% - Akzent5 7 19" xfId="8432" xr:uid="{4FC28351-09EA-44F6-AFD4-34099A220A28}"/>
    <cellStyle name="40% - Akzent5 7 19 2" xfId="8433" xr:uid="{46054173-C88E-45E9-84E0-438061CD1875}"/>
    <cellStyle name="40% - Akzent5 7 19 2 2" xfId="27870" xr:uid="{123AEBA9-E730-4FE5-8E15-B3DD7018692D}"/>
    <cellStyle name="40% - Akzent5 7 19 3" xfId="27869" xr:uid="{80985AC7-E45E-4545-8ABB-69C2C84AA4B0}"/>
    <cellStyle name="40% - Akzent5 7 2" xfId="8434" xr:uid="{28C87BAA-3593-429E-A3C2-22A86170AA81}"/>
    <cellStyle name="40% - Akzent5 7 2 2" xfId="8435" xr:uid="{F036AD7B-F6F3-4FFF-B98D-FFE59D67D567}"/>
    <cellStyle name="40% - Akzent5 7 2 2 2" xfId="27872" xr:uid="{9EA23BC9-6FCF-4188-83F6-9DEE91BF54F0}"/>
    <cellStyle name="40% - Akzent5 7 2 3" xfId="27871" xr:uid="{2DA42C97-3D63-405A-9170-6E54ECA9FBC8}"/>
    <cellStyle name="40% - Akzent5 7 20" xfId="8436" xr:uid="{63E4ABDF-B966-4DF6-BED2-E12ADF524A44}"/>
    <cellStyle name="40% - Akzent5 7 20 2" xfId="8437" xr:uid="{7A1529EF-B616-46AF-A844-C39C33259177}"/>
    <cellStyle name="40% - Akzent5 7 20 2 2" xfId="27874" xr:uid="{2AD7E928-D2AB-439F-8339-D1A9F44CCAE9}"/>
    <cellStyle name="40% - Akzent5 7 20 3" xfId="27873" xr:uid="{F1085D64-A6B2-4264-8DF7-4444840355B6}"/>
    <cellStyle name="40% - Akzent5 7 21" xfId="8438" xr:uid="{93D625C3-A88E-4A8D-B431-60A9E748CA54}"/>
    <cellStyle name="40% - Akzent5 7 21 2" xfId="8439" xr:uid="{414900C2-9DFE-4771-A5B0-CFEB6B61499E}"/>
    <cellStyle name="40% - Akzent5 7 21 2 2" xfId="27876" xr:uid="{5D004B01-4C34-4D57-9546-4F28E9E1BF17}"/>
    <cellStyle name="40% - Akzent5 7 21 3" xfId="27875" xr:uid="{4CFEA83F-5989-4FE0-9AC1-E770AD56D011}"/>
    <cellStyle name="40% - Akzent5 7 22" xfId="8440" xr:uid="{1340AB48-0CE0-45F3-9C07-9C31790C7BB1}"/>
    <cellStyle name="40% - Akzent5 7 22 2" xfId="27877" xr:uid="{63FB8B63-7CDF-4C48-A2DD-124BF5F8253D}"/>
    <cellStyle name="40% - Akzent5 7 23" xfId="27850" xr:uid="{86688D61-5A1F-4AA0-A48D-977F8294F500}"/>
    <cellStyle name="40% - Akzent5 7 3" xfId="8441" xr:uid="{D9C7882E-B490-4E58-8D9E-3848852465CE}"/>
    <cellStyle name="40% - Akzent5 7 3 2" xfId="8442" xr:uid="{E7AACAC4-BF40-4444-8B4A-62BFDFB93125}"/>
    <cellStyle name="40% - Akzent5 7 3 2 2" xfId="27879" xr:uid="{9397EEB9-6646-4D3B-A482-49B2C43EAAF2}"/>
    <cellStyle name="40% - Akzent5 7 3 3" xfId="27878" xr:uid="{C7E5F447-310C-4BF7-91C3-9FD65636E15A}"/>
    <cellStyle name="40% - Akzent5 7 4" xfId="8443" xr:uid="{EBF8D7DD-47F7-49E4-9361-D472DBEAB5F0}"/>
    <cellStyle name="40% - Akzent5 7 4 2" xfId="8444" xr:uid="{9CF59FEC-2BFA-4258-BE2B-C43002085348}"/>
    <cellStyle name="40% - Akzent5 7 4 2 2" xfId="27881" xr:uid="{24F360AD-D4C1-4158-8BFF-21893F478768}"/>
    <cellStyle name="40% - Akzent5 7 4 3" xfId="27880" xr:uid="{383AB4D4-0BCB-463D-8876-4523A233E4AA}"/>
    <cellStyle name="40% - Akzent5 7 5" xfId="8445" xr:uid="{AAD5D5D0-F1BC-47DB-A142-9D175DBF0920}"/>
    <cellStyle name="40% - Akzent5 7 5 2" xfId="8446" xr:uid="{A53E0DCC-482C-4C69-AD47-841D37EEBD47}"/>
    <cellStyle name="40% - Akzent5 7 5 2 2" xfId="27883" xr:uid="{15C594FC-F159-4843-8A5D-56F377456E95}"/>
    <cellStyle name="40% - Akzent5 7 5 3" xfId="27882" xr:uid="{8F21F24B-C546-43CD-9389-2686B7867232}"/>
    <cellStyle name="40% - Akzent5 7 6" xfId="8447" xr:uid="{C0885675-2238-489F-827F-13DDCA76BE93}"/>
    <cellStyle name="40% - Akzent5 7 6 2" xfId="8448" xr:uid="{543DD765-21C4-42C8-B15C-9B9D20B1473D}"/>
    <cellStyle name="40% - Akzent5 7 6 2 2" xfId="27885" xr:uid="{1FF15C42-8447-48C5-9894-AEEC9E78134A}"/>
    <cellStyle name="40% - Akzent5 7 6 3" xfId="27884" xr:uid="{2227F17C-7EAE-4AA5-AB91-C276C160ADAB}"/>
    <cellStyle name="40% - Akzent5 7 7" xfId="8449" xr:uid="{EBA6F68C-0B9E-4912-B6A5-2ECAAE888767}"/>
    <cellStyle name="40% - Akzent5 7 7 2" xfId="8450" xr:uid="{4B4A20E5-34E2-4ED5-8BF1-4803EC9576E3}"/>
    <cellStyle name="40% - Akzent5 7 7 2 2" xfId="27887" xr:uid="{14C23634-F453-4681-916E-A05762EBEE4C}"/>
    <cellStyle name="40% - Akzent5 7 7 3" xfId="27886" xr:uid="{60DB4770-EA03-43D7-9EC7-DA3445751ED3}"/>
    <cellStyle name="40% - Akzent5 7 8" xfId="8451" xr:uid="{0F4C067E-3C97-4F21-85CB-400E1B90380E}"/>
    <cellStyle name="40% - Akzent5 7 8 2" xfId="8452" xr:uid="{F10E5DE0-8443-4CB0-AE18-231729903F7D}"/>
    <cellStyle name="40% - Akzent5 7 8 2 2" xfId="27889" xr:uid="{EA22C42B-EDBE-40EB-A7AE-4C6891AC3DC2}"/>
    <cellStyle name="40% - Akzent5 7 8 3" xfId="27888" xr:uid="{82B5D8C8-CAF5-4957-BC97-0A7749A81EC0}"/>
    <cellStyle name="40% - Akzent5 7 9" xfId="8453" xr:uid="{25E2F9B9-B7F2-4431-A76C-4E481A358362}"/>
    <cellStyle name="40% - Akzent5 7 9 2" xfId="8454" xr:uid="{EAF4EA95-80CF-4E5E-BDE3-60C645ADF38F}"/>
    <cellStyle name="40% - Akzent5 7 9 2 2" xfId="27891" xr:uid="{2A3A923A-8626-414E-B8C1-3F3205C18D97}"/>
    <cellStyle name="40% - Akzent5 7 9 3" xfId="27890" xr:uid="{EFAAE5E0-924B-4AEA-A236-31300F104685}"/>
    <cellStyle name="40% - Akzent5 70" xfId="8455" xr:uid="{52C22577-D479-445C-9296-7D20DFCCE079}"/>
    <cellStyle name="40% - Akzent5 70 2" xfId="27892" xr:uid="{D208F2D5-6E6D-4696-8979-4C4118CD5632}"/>
    <cellStyle name="40% - Akzent5 71" xfId="27217" xr:uid="{2386517E-A2C7-4EF1-86E6-D7F24643F236}"/>
    <cellStyle name="40% - Akzent5 72" xfId="7780" xr:uid="{83876194-A9EC-445B-9A7E-504ACFDE1C02}"/>
    <cellStyle name="40% - Akzent5 8" xfId="8456" xr:uid="{30208BD1-F651-4D75-838E-DDE2FE80B313}"/>
    <cellStyle name="40% - Akzent5 8 10" xfId="8457" xr:uid="{3620A062-2EE0-412C-8DA1-34AB8FE06D30}"/>
    <cellStyle name="40% - Akzent5 8 10 2" xfId="8458" xr:uid="{556DEA9A-F6EB-4F5D-BF39-5D7BA04303DB}"/>
    <cellStyle name="40% - Akzent5 8 10 2 2" xfId="27895" xr:uid="{AA4410D9-0503-4100-811B-8239765D7969}"/>
    <cellStyle name="40% - Akzent5 8 10 3" xfId="27894" xr:uid="{5CC456A6-9287-4C3E-92E9-FCADECAE4A01}"/>
    <cellStyle name="40% - Akzent5 8 11" xfId="8459" xr:uid="{FB78F284-B817-4269-BE42-2855247AEDD0}"/>
    <cellStyle name="40% - Akzent5 8 11 2" xfId="8460" xr:uid="{49E32216-F86A-45D5-8E79-3DD7369176C3}"/>
    <cellStyle name="40% - Akzent5 8 11 2 2" xfId="27897" xr:uid="{9BA25A7F-FA2C-47C1-A8F4-3D7FCB0CE05B}"/>
    <cellStyle name="40% - Akzent5 8 11 3" xfId="27896" xr:uid="{2F942F39-8226-43CA-8379-29FC1F6FC3D0}"/>
    <cellStyle name="40% - Akzent5 8 12" xfId="8461" xr:uid="{7FE83C1B-7783-4DDF-912F-5A1478AC932E}"/>
    <cellStyle name="40% - Akzent5 8 12 2" xfId="8462" xr:uid="{D059833D-04CD-407C-BE8E-FA46F838C9E9}"/>
    <cellStyle name="40% - Akzent5 8 12 2 2" xfId="27899" xr:uid="{C2535CD7-8C95-4FA5-B04A-E1989AC333E7}"/>
    <cellStyle name="40% - Akzent5 8 12 3" xfId="27898" xr:uid="{C84F00F2-18CC-4AFA-BE9E-24DF599436B8}"/>
    <cellStyle name="40% - Akzent5 8 13" xfId="8463" xr:uid="{5E034CFB-551B-47F8-828D-12EE193C7593}"/>
    <cellStyle name="40% - Akzent5 8 13 2" xfId="8464" xr:uid="{66BE5D81-4D99-4662-AF27-3F4DE1F669E1}"/>
    <cellStyle name="40% - Akzent5 8 13 2 2" xfId="27901" xr:uid="{9BAD09CE-ED70-4FF8-AEB2-C4DA8192367A}"/>
    <cellStyle name="40% - Akzent5 8 13 3" xfId="27900" xr:uid="{EB3632E0-0141-4C7E-8628-CF2FA99F0D67}"/>
    <cellStyle name="40% - Akzent5 8 14" xfId="8465" xr:uid="{BA774244-CFE5-49A9-97F9-1EF832DD1E44}"/>
    <cellStyle name="40% - Akzent5 8 14 2" xfId="8466" xr:uid="{17A10CD7-4787-405C-9F5B-0C263A66E71B}"/>
    <cellStyle name="40% - Akzent5 8 14 2 2" xfId="27903" xr:uid="{CAD2256D-242A-49B2-A27B-631045B4043F}"/>
    <cellStyle name="40% - Akzent5 8 14 3" xfId="27902" xr:uid="{A1FF0F76-113D-423F-B9B8-769B7A85A025}"/>
    <cellStyle name="40% - Akzent5 8 15" xfId="8467" xr:uid="{E2EA2C7C-2DD5-40E9-A37E-687492B3B9F7}"/>
    <cellStyle name="40% - Akzent5 8 15 2" xfId="8468" xr:uid="{D3FCC9F6-EC42-4FA5-8C75-2535571933E5}"/>
    <cellStyle name="40% - Akzent5 8 15 2 2" xfId="27905" xr:uid="{431BACA4-4C49-409C-BAD2-68F808A0E475}"/>
    <cellStyle name="40% - Akzent5 8 15 3" xfId="27904" xr:uid="{6090D075-854A-44D5-A141-7A66E9E2C1E1}"/>
    <cellStyle name="40% - Akzent5 8 16" xfId="8469" xr:uid="{32BE8E12-7DE3-45F0-9DA7-A4498FFEF0C5}"/>
    <cellStyle name="40% - Akzent5 8 16 2" xfId="8470" xr:uid="{24894E5B-2C73-45B0-B4B8-B7232AAEF2B6}"/>
    <cellStyle name="40% - Akzent5 8 16 2 2" xfId="27907" xr:uid="{C2E7864C-B0F7-4ED9-98ED-86DFBAB404A8}"/>
    <cellStyle name="40% - Akzent5 8 16 3" xfId="27906" xr:uid="{47AE10F2-8B39-425B-8E63-E26EDC916956}"/>
    <cellStyle name="40% - Akzent5 8 17" xfId="8471" xr:uid="{69A78B28-895D-41F1-A79B-675199322E40}"/>
    <cellStyle name="40% - Akzent5 8 17 2" xfId="8472" xr:uid="{1ECD8AE1-6AA2-4110-9988-DF0D3D7720E4}"/>
    <cellStyle name="40% - Akzent5 8 17 2 2" xfId="27909" xr:uid="{80F33769-1CD7-4A9C-AE8D-650CA7F071DB}"/>
    <cellStyle name="40% - Akzent5 8 17 3" xfId="27908" xr:uid="{A2694403-9C60-4B35-A8BB-3C855E0615FA}"/>
    <cellStyle name="40% - Akzent5 8 18" xfId="8473" xr:uid="{53F14A8D-3332-4EF5-A0DE-2875B9AEC8DB}"/>
    <cellStyle name="40% - Akzent5 8 18 2" xfId="8474" xr:uid="{61DFF16C-AC9A-4212-BE8A-7239B5B71D06}"/>
    <cellStyle name="40% - Akzent5 8 18 2 2" xfId="27911" xr:uid="{5A4D6D3E-03B0-403B-98F4-CEFAD5040229}"/>
    <cellStyle name="40% - Akzent5 8 18 3" xfId="27910" xr:uid="{E9118C1C-1967-4210-A411-354AC49BB3E9}"/>
    <cellStyle name="40% - Akzent5 8 19" xfId="8475" xr:uid="{3968BF2A-4165-475E-BFE7-CBB92128DA4E}"/>
    <cellStyle name="40% - Akzent5 8 19 2" xfId="8476" xr:uid="{D1DE17AF-6D3C-4100-AE5C-726E10BEF883}"/>
    <cellStyle name="40% - Akzent5 8 19 2 2" xfId="27913" xr:uid="{5E8AF3CB-527D-4DD6-9E51-7C81B6E72A46}"/>
    <cellStyle name="40% - Akzent5 8 19 3" xfId="27912" xr:uid="{4DAD2468-5F95-45EA-911D-45D2400FB801}"/>
    <cellStyle name="40% - Akzent5 8 2" xfId="8477" xr:uid="{BB7F2F0A-5C59-4929-87E3-0F61FA5AC3C0}"/>
    <cellStyle name="40% - Akzent5 8 2 2" xfId="8478" xr:uid="{884A07C9-5970-4E29-8409-155100CDD138}"/>
    <cellStyle name="40% - Akzent5 8 2 2 2" xfId="27915" xr:uid="{B0882FEF-3743-48EF-98DC-11999E55530C}"/>
    <cellStyle name="40% - Akzent5 8 2 3" xfId="27914" xr:uid="{A0774C2A-9E3E-4BC9-8C43-201E8CBC7D6D}"/>
    <cellStyle name="40% - Akzent5 8 20" xfId="8479" xr:uid="{37729A55-1E0F-45EC-8A69-78707D1E0313}"/>
    <cellStyle name="40% - Akzent5 8 20 2" xfId="8480" xr:uid="{E8423507-B37B-47E4-99A6-D11FC3B0F2A6}"/>
    <cellStyle name="40% - Akzent5 8 20 2 2" xfId="27917" xr:uid="{BBF54371-BE3C-4859-BE22-BF95B0CD0B5C}"/>
    <cellStyle name="40% - Akzent5 8 20 3" xfId="27916" xr:uid="{06DAD853-C56E-49A5-8ABA-543A23D232B8}"/>
    <cellStyle name="40% - Akzent5 8 21" xfId="8481" xr:uid="{DE178B70-EBD9-4DAE-AEE6-973DA71DCCF2}"/>
    <cellStyle name="40% - Akzent5 8 21 2" xfId="8482" xr:uid="{08D4D3AB-E286-4060-BE35-F3C62DAFCF07}"/>
    <cellStyle name="40% - Akzent5 8 21 2 2" xfId="27919" xr:uid="{97DAA2A7-C032-49BD-BBE2-B9EFF38F17F6}"/>
    <cellStyle name="40% - Akzent5 8 21 3" xfId="27918" xr:uid="{DFBD1440-E74B-49CB-AECD-C9C1C85B0BF3}"/>
    <cellStyle name="40% - Akzent5 8 22" xfId="8483" xr:uid="{E80DE477-82DA-45EC-BCC3-EDE4384B1493}"/>
    <cellStyle name="40% - Akzent5 8 22 2" xfId="27920" xr:uid="{25673CFE-2F99-4C10-930F-6D8ECF018EF1}"/>
    <cellStyle name="40% - Akzent5 8 23" xfId="27893" xr:uid="{F948EE55-3991-4035-BB62-7F1942D1F028}"/>
    <cellStyle name="40% - Akzent5 8 3" xfId="8484" xr:uid="{6098EB36-CF77-4EE2-9521-28FDECDF0D4C}"/>
    <cellStyle name="40% - Akzent5 8 3 2" xfId="8485" xr:uid="{BCBF0C12-50E3-425D-BF4C-351F725EC49D}"/>
    <cellStyle name="40% - Akzent5 8 3 2 2" xfId="27922" xr:uid="{3171978B-4407-484E-9CEB-009C1DBFAF4A}"/>
    <cellStyle name="40% - Akzent5 8 3 3" xfId="27921" xr:uid="{6F51BAD9-B15E-4A68-8836-47B4DE0432B0}"/>
    <cellStyle name="40% - Akzent5 8 4" xfId="8486" xr:uid="{45BDC2DE-F7A3-4E13-A87D-C949522D896F}"/>
    <cellStyle name="40% - Akzent5 8 4 2" xfId="8487" xr:uid="{AE9BDEDD-B9CC-47C5-9E21-04FC70ACC755}"/>
    <cellStyle name="40% - Akzent5 8 4 2 2" xfId="27924" xr:uid="{6E8BF3CA-994D-4802-9B8F-5D7CEE8A3349}"/>
    <cellStyle name="40% - Akzent5 8 4 3" xfId="27923" xr:uid="{12E48BA3-302A-4DDA-9D50-525B0683F04E}"/>
    <cellStyle name="40% - Akzent5 8 5" xfId="8488" xr:uid="{0454ADE9-F891-4285-8E05-F4576C6E30C1}"/>
    <cellStyle name="40% - Akzent5 8 5 2" xfId="8489" xr:uid="{2E24F1F2-4DD0-4705-91FE-7268E866670F}"/>
    <cellStyle name="40% - Akzent5 8 5 2 2" xfId="27926" xr:uid="{DB135E42-E753-4A38-9D5A-EEDC8578C0A8}"/>
    <cellStyle name="40% - Akzent5 8 5 3" xfId="27925" xr:uid="{AC0737A2-83B6-4263-982A-4147A0360820}"/>
    <cellStyle name="40% - Akzent5 8 6" xfId="8490" xr:uid="{66CE7C5D-AB10-4BB2-B39A-AFC2CCA35413}"/>
    <cellStyle name="40% - Akzent5 8 6 2" xfId="8491" xr:uid="{C208BFB5-460D-41D3-926B-CC01CCE06A12}"/>
    <cellStyle name="40% - Akzent5 8 6 2 2" xfId="27928" xr:uid="{AB47C225-CA01-431C-8CBF-7CF2F56E9E15}"/>
    <cellStyle name="40% - Akzent5 8 6 3" xfId="27927" xr:uid="{A359B5A6-FC00-48E3-AD19-79E09F76A4B4}"/>
    <cellStyle name="40% - Akzent5 8 7" xfId="8492" xr:uid="{CFC8FAEB-841D-4C12-A09D-BE1F9D61731C}"/>
    <cellStyle name="40% - Akzent5 8 7 2" xfId="8493" xr:uid="{EF20B531-84FE-4F7B-B43F-CA734D60CF34}"/>
    <cellStyle name="40% - Akzent5 8 7 2 2" xfId="27930" xr:uid="{DDDA39AC-B1C7-4675-A078-BEDE41A2E9C8}"/>
    <cellStyle name="40% - Akzent5 8 7 3" xfId="27929" xr:uid="{A75227C9-EDB5-4BB0-9094-2AAEFFD21369}"/>
    <cellStyle name="40% - Akzent5 8 8" xfId="8494" xr:uid="{EE1E4A15-7193-4CEB-BA45-9A60614AE0B6}"/>
    <cellStyle name="40% - Akzent5 8 8 2" xfId="8495" xr:uid="{74D90533-3F8D-49E5-A5D0-564587C8B6CB}"/>
    <cellStyle name="40% - Akzent5 8 8 2 2" xfId="27932" xr:uid="{BC61327F-8BFC-41D7-8E89-421919D7F592}"/>
    <cellStyle name="40% - Akzent5 8 8 3" xfId="27931" xr:uid="{222E24B9-53F1-4ECF-AFA9-29D790DEFA5D}"/>
    <cellStyle name="40% - Akzent5 8 9" xfId="8496" xr:uid="{68C7AFFE-2DA1-4796-8A70-60B21F14687D}"/>
    <cellStyle name="40% - Akzent5 8 9 2" xfId="8497" xr:uid="{A619B6EB-161D-47DD-A332-9D0F4731DDCC}"/>
    <cellStyle name="40% - Akzent5 8 9 2 2" xfId="27934" xr:uid="{D30C8D18-EB3B-46E2-86D3-36A544EC8044}"/>
    <cellStyle name="40% - Akzent5 8 9 3" xfId="27933" xr:uid="{98572AE2-885C-4EC4-AF61-BC3A91A80ADD}"/>
    <cellStyle name="40% - Akzent5 9" xfId="8498" xr:uid="{B6CB960E-02FB-43A1-98C6-A3393C295135}"/>
    <cellStyle name="40% - Akzent5 9 10" xfId="8499" xr:uid="{57D4FAFD-3829-44A7-A518-4397C12DC819}"/>
    <cellStyle name="40% - Akzent5 9 10 2" xfId="8500" xr:uid="{8564BC53-9287-4E2F-B92B-F9955453487A}"/>
    <cellStyle name="40% - Akzent5 9 10 2 2" xfId="27937" xr:uid="{1EA0E8CE-181F-4FE3-9A66-757C40458ABF}"/>
    <cellStyle name="40% - Akzent5 9 10 3" xfId="27936" xr:uid="{9438FA79-A365-4700-BF08-0C545B036D68}"/>
    <cellStyle name="40% - Akzent5 9 11" xfId="8501" xr:uid="{87338F1C-50B4-4DC7-8DF6-735011634937}"/>
    <cellStyle name="40% - Akzent5 9 11 2" xfId="8502" xr:uid="{94A0C694-63AF-4D71-AED7-985A2576022F}"/>
    <cellStyle name="40% - Akzent5 9 11 2 2" xfId="27939" xr:uid="{5143B249-032B-42A4-8735-7D564BC4D845}"/>
    <cellStyle name="40% - Akzent5 9 11 3" xfId="27938" xr:uid="{F96FEEAF-42E8-46DC-8226-1BE4EC15F13D}"/>
    <cellStyle name="40% - Akzent5 9 12" xfId="8503" xr:uid="{AA9E4F8B-D63B-434D-BC97-E3FFEDED03D1}"/>
    <cellStyle name="40% - Akzent5 9 12 2" xfId="8504" xr:uid="{DF5A6618-D7C0-4A38-885B-2C96E68FCEC4}"/>
    <cellStyle name="40% - Akzent5 9 12 2 2" xfId="27941" xr:uid="{31E0B0C9-10DF-4919-BA4B-B3A1F9B8CC98}"/>
    <cellStyle name="40% - Akzent5 9 12 3" xfId="27940" xr:uid="{40333BE4-4917-4DC3-97E0-56F42D141A9A}"/>
    <cellStyle name="40% - Akzent5 9 13" xfId="8505" xr:uid="{3D89B612-31F4-4A75-B97D-B95FDE48AF38}"/>
    <cellStyle name="40% - Akzent5 9 13 2" xfId="8506" xr:uid="{CC71C4A7-29BB-4C86-8312-870DDB0C5D0F}"/>
    <cellStyle name="40% - Akzent5 9 13 2 2" xfId="27943" xr:uid="{3B2599AA-3422-4310-B762-5764BE474A11}"/>
    <cellStyle name="40% - Akzent5 9 13 3" xfId="27942" xr:uid="{01A426C9-4401-42FE-A57F-923961C95F27}"/>
    <cellStyle name="40% - Akzent5 9 14" xfId="8507" xr:uid="{30D62702-4F77-4C03-A855-15DEF0B6296D}"/>
    <cellStyle name="40% - Akzent5 9 14 2" xfId="8508" xr:uid="{63A404D0-9BB5-4DFB-98D6-117B4F70B66D}"/>
    <cellStyle name="40% - Akzent5 9 14 2 2" xfId="27945" xr:uid="{1C77D1CB-73D1-4537-9EB5-B027698CDD70}"/>
    <cellStyle name="40% - Akzent5 9 14 3" xfId="27944" xr:uid="{F8DD0523-ABC4-4455-8399-16101165DEDF}"/>
    <cellStyle name="40% - Akzent5 9 15" xfId="8509" xr:uid="{7D499DF2-36C2-4547-9942-A9620F784F96}"/>
    <cellStyle name="40% - Akzent5 9 15 2" xfId="8510" xr:uid="{76A2C36B-047F-4CB8-8C42-CE7B2A0C6483}"/>
    <cellStyle name="40% - Akzent5 9 15 2 2" xfId="27947" xr:uid="{C060AE69-322C-4E2F-904E-6C613B677650}"/>
    <cellStyle name="40% - Akzent5 9 15 3" xfId="27946" xr:uid="{DA7E8524-30AC-4A33-9AFA-CF2E75B26BFD}"/>
    <cellStyle name="40% - Akzent5 9 16" xfId="8511" xr:uid="{F74D8DCF-3F4C-4244-AF73-787847AA89F4}"/>
    <cellStyle name="40% - Akzent5 9 16 2" xfId="8512" xr:uid="{B18EA80F-CDCB-413C-9DCC-80D7BAB97BB5}"/>
    <cellStyle name="40% - Akzent5 9 16 2 2" xfId="27949" xr:uid="{AC7E2022-6057-4770-9EDD-59385A44CFE3}"/>
    <cellStyle name="40% - Akzent5 9 16 3" xfId="27948" xr:uid="{31C417AE-BB68-4094-AFB8-844E359A810F}"/>
    <cellStyle name="40% - Akzent5 9 17" xfId="8513" xr:uid="{F3D7290D-5CA0-45A6-9283-79FB07F102C9}"/>
    <cellStyle name="40% - Akzent5 9 17 2" xfId="8514" xr:uid="{DA2107E4-DB68-4CEA-B75B-ADF9E5C21232}"/>
    <cellStyle name="40% - Akzent5 9 17 2 2" xfId="27951" xr:uid="{445C86C1-D78B-49F0-B2E2-CEF2B761BD6A}"/>
    <cellStyle name="40% - Akzent5 9 17 3" xfId="27950" xr:uid="{D1B86050-C1A9-403B-B0B3-7A4FB7208DCA}"/>
    <cellStyle name="40% - Akzent5 9 18" xfId="8515" xr:uid="{05B52580-2381-4C0A-89BF-A35007742C86}"/>
    <cellStyle name="40% - Akzent5 9 18 2" xfId="8516" xr:uid="{B4E15401-C6BD-4C3E-9C8D-C28F4AFC0BB4}"/>
    <cellStyle name="40% - Akzent5 9 18 2 2" xfId="27953" xr:uid="{78ECE881-3357-445C-A28D-5C714EFE1386}"/>
    <cellStyle name="40% - Akzent5 9 18 3" xfId="27952" xr:uid="{9AA63249-2E4F-451E-8445-885815067402}"/>
    <cellStyle name="40% - Akzent5 9 19" xfId="8517" xr:uid="{7F344976-0006-45F1-B484-9CB8898432F2}"/>
    <cellStyle name="40% - Akzent5 9 19 2" xfId="8518" xr:uid="{5F87F2CC-D7A2-47D8-ABA7-82BCB3A47BA2}"/>
    <cellStyle name="40% - Akzent5 9 19 2 2" xfId="27955" xr:uid="{2A3765FC-A53B-4B56-8DB3-E77C3B62412F}"/>
    <cellStyle name="40% - Akzent5 9 19 3" xfId="27954" xr:uid="{698D561F-CDD9-458D-BADB-3922B3771D73}"/>
    <cellStyle name="40% - Akzent5 9 2" xfId="8519" xr:uid="{44E41291-F686-46F6-B6F8-03809C10EBCE}"/>
    <cellStyle name="40% - Akzent5 9 2 2" xfId="8520" xr:uid="{E8009FF5-9E7A-4A29-BE8B-A51AAF79563D}"/>
    <cellStyle name="40% - Akzent5 9 2 2 2" xfId="27957" xr:uid="{F8F81893-585E-4653-B10A-55FB649ABC39}"/>
    <cellStyle name="40% - Akzent5 9 2 3" xfId="27956" xr:uid="{729D016A-13D1-4D48-9649-1BBD68A0B79F}"/>
    <cellStyle name="40% - Akzent5 9 20" xfId="8521" xr:uid="{B2642780-6110-46C8-91FA-9E0F8CA5D28B}"/>
    <cellStyle name="40% - Akzent5 9 20 2" xfId="8522" xr:uid="{92E8D4F3-AD48-438D-86F0-700023ED6E7B}"/>
    <cellStyle name="40% - Akzent5 9 20 2 2" xfId="27959" xr:uid="{5634B1C9-DECA-414D-927D-2C11E0E0E99F}"/>
    <cellStyle name="40% - Akzent5 9 20 3" xfId="27958" xr:uid="{6FAEC609-775F-493B-AE6B-038E34629268}"/>
    <cellStyle name="40% - Akzent5 9 21" xfId="8523" xr:uid="{7045CF76-6C92-4D44-9691-069C0BCDE99E}"/>
    <cellStyle name="40% - Akzent5 9 21 2" xfId="8524" xr:uid="{67A9239A-A499-4104-9F39-C5B333E2A2F7}"/>
    <cellStyle name="40% - Akzent5 9 21 2 2" xfId="27961" xr:uid="{D44B7C4D-CA91-4D61-A8C4-1B7F1AF95653}"/>
    <cellStyle name="40% - Akzent5 9 21 3" xfId="27960" xr:uid="{184CE587-5062-477B-BF21-E402806755CF}"/>
    <cellStyle name="40% - Akzent5 9 22" xfId="8525" xr:uid="{4812B5F6-E654-4A66-BB2B-CFDA07CB711B}"/>
    <cellStyle name="40% - Akzent5 9 22 2" xfId="27962" xr:uid="{94E0DDA5-045A-4C73-997B-B5C6F6F8CFE0}"/>
    <cellStyle name="40% - Akzent5 9 23" xfId="27935" xr:uid="{BBE5ED23-7548-4370-B3EE-66F9A2FC3881}"/>
    <cellStyle name="40% - Akzent5 9 3" xfId="8526" xr:uid="{1A8DAB54-EA7D-491D-BA9F-4D73409B6BDA}"/>
    <cellStyle name="40% - Akzent5 9 3 2" xfId="8527" xr:uid="{7CAF2791-DC09-4FC8-ACDA-C382C743EB80}"/>
    <cellStyle name="40% - Akzent5 9 3 2 2" xfId="27964" xr:uid="{62D80DF9-C6C3-41B7-85DE-4F6ECD0481DD}"/>
    <cellStyle name="40% - Akzent5 9 3 3" xfId="27963" xr:uid="{D1B6B392-2FCD-42A4-B3AB-2DAD11D3E6C6}"/>
    <cellStyle name="40% - Akzent5 9 4" xfId="8528" xr:uid="{B2FADBF4-B05F-416F-B82B-940EE6F2670B}"/>
    <cellStyle name="40% - Akzent5 9 4 2" xfId="8529" xr:uid="{2AE52EC0-94A0-46E1-BD66-07D76B78E8E2}"/>
    <cellStyle name="40% - Akzent5 9 4 2 2" xfId="27966" xr:uid="{360E6F47-5D47-4709-9CF4-AC34E756DD04}"/>
    <cellStyle name="40% - Akzent5 9 4 3" xfId="27965" xr:uid="{D880164B-7749-4739-88AA-101C99D2BF9F}"/>
    <cellStyle name="40% - Akzent5 9 5" xfId="8530" xr:uid="{26F9DB46-7D09-4E33-BEF7-292CBE9967CD}"/>
    <cellStyle name="40% - Akzent5 9 5 2" xfId="8531" xr:uid="{43070738-AAF5-48F4-A181-4478E6FB25A7}"/>
    <cellStyle name="40% - Akzent5 9 5 2 2" xfId="27968" xr:uid="{396B2722-1BE7-42EB-B421-7F69EA4A5701}"/>
    <cellStyle name="40% - Akzent5 9 5 3" xfId="27967" xr:uid="{0CF17B06-88C8-42D9-A27D-81D5DD6381B4}"/>
    <cellStyle name="40% - Akzent5 9 6" xfId="8532" xr:uid="{A6067B02-89AD-4F7C-8A3A-B0455DF1A80B}"/>
    <cellStyle name="40% - Akzent5 9 6 2" xfId="8533" xr:uid="{1C4273BF-5E03-49BB-9F0C-63DE5E3BC37B}"/>
    <cellStyle name="40% - Akzent5 9 6 2 2" xfId="27970" xr:uid="{BCE77369-92D0-4EF2-8D3D-8590D0485EE9}"/>
    <cellStyle name="40% - Akzent5 9 6 3" xfId="27969" xr:uid="{48E8ED7A-93E2-4744-9923-D773A15EE9CB}"/>
    <cellStyle name="40% - Akzent5 9 7" xfId="8534" xr:uid="{A6A1ADD4-69C5-4DAF-9BA2-19003EA8BB35}"/>
    <cellStyle name="40% - Akzent5 9 7 2" xfId="8535" xr:uid="{94184DD7-A0C3-4F3C-8B8E-FA71B6AF7928}"/>
    <cellStyle name="40% - Akzent5 9 7 2 2" xfId="27972" xr:uid="{D2B32383-AD2E-4274-BCEA-FAB838B67DF6}"/>
    <cellStyle name="40% - Akzent5 9 7 3" xfId="27971" xr:uid="{CFAAACFF-8CF4-45AF-B05C-07CA65FE576D}"/>
    <cellStyle name="40% - Akzent5 9 8" xfId="8536" xr:uid="{76D1A64C-D224-426A-8474-02FB0AF2E56F}"/>
    <cellStyle name="40% - Akzent5 9 8 2" xfId="8537" xr:uid="{256C246A-D8C7-4596-9573-F43160136C17}"/>
    <cellStyle name="40% - Akzent5 9 8 2 2" xfId="27974" xr:uid="{261A90C9-1216-4350-B58D-D0ACBE726883}"/>
    <cellStyle name="40% - Akzent5 9 8 3" xfId="27973" xr:uid="{FD22EB6C-2C54-456E-A5D8-7F9C578E3F17}"/>
    <cellStyle name="40% - Akzent5 9 9" xfId="8538" xr:uid="{6DC855F8-4CEB-4E17-8A0F-8B36EDD34CDC}"/>
    <cellStyle name="40% - Akzent5 9 9 2" xfId="8539" xr:uid="{705B3641-0297-4C5F-84B4-6AADD1A3721B}"/>
    <cellStyle name="40% - Akzent5 9 9 2 2" xfId="27976" xr:uid="{92FFE985-E3C8-484E-80CD-A0C37B58F4BE}"/>
    <cellStyle name="40% - Akzent5 9 9 3" xfId="27975" xr:uid="{B361F0B6-0974-48D7-9CFC-5BBE87EC010B}"/>
    <cellStyle name="40% - Akzent6 10" xfId="8541" xr:uid="{4D8CA787-42DA-46C6-B99B-1EC3B4CE5ACB}"/>
    <cellStyle name="40% - Akzent6 10 10" xfId="8542" xr:uid="{C6C4AA92-470D-4B67-B642-B0D4F6616014}"/>
    <cellStyle name="40% - Akzent6 10 10 2" xfId="8543" xr:uid="{99782E7F-203E-4E3D-9901-16F1C2923D2C}"/>
    <cellStyle name="40% - Akzent6 10 10 2 2" xfId="27980" xr:uid="{814B27A5-A3B0-4ECA-9976-5408C175D050}"/>
    <cellStyle name="40% - Akzent6 10 10 3" xfId="27979" xr:uid="{6E09375D-E620-408F-A5C9-5832DF2B8371}"/>
    <cellStyle name="40% - Akzent6 10 11" xfId="8544" xr:uid="{43C5CF70-8274-4A63-9B67-C162B94750F2}"/>
    <cellStyle name="40% - Akzent6 10 11 2" xfId="8545" xr:uid="{3E599D4E-4286-45F6-878A-E598978E2489}"/>
    <cellStyle name="40% - Akzent6 10 11 2 2" xfId="27982" xr:uid="{1423505C-D5B4-4623-9918-E3910FB7E203}"/>
    <cellStyle name="40% - Akzent6 10 11 3" xfId="27981" xr:uid="{5333DCB1-54F1-4AC5-8831-94FF3F54CBE3}"/>
    <cellStyle name="40% - Akzent6 10 12" xfId="8546" xr:uid="{68FC0F2D-1924-4EEE-89C5-B7FE1174B040}"/>
    <cellStyle name="40% - Akzent6 10 12 2" xfId="8547" xr:uid="{B40AD31C-FBFC-4032-837A-2967278343D9}"/>
    <cellStyle name="40% - Akzent6 10 12 2 2" xfId="27984" xr:uid="{25B8364B-1CC2-4756-BEE0-908CEA792BE7}"/>
    <cellStyle name="40% - Akzent6 10 12 3" xfId="27983" xr:uid="{975F37AC-D491-43F4-8180-D5283BF8C04E}"/>
    <cellStyle name="40% - Akzent6 10 13" xfId="8548" xr:uid="{51470BCF-FDD4-4456-859A-013DA2CAEF95}"/>
    <cellStyle name="40% - Akzent6 10 13 2" xfId="8549" xr:uid="{C9279DFB-D4ED-497A-961E-74204E2D5097}"/>
    <cellStyle name="40% - Akzent6 10 13 2 2" xfId="27986" xr:uid="{F2DF95AD-C01A-467D-95AD-CF66F1AD17FA}"/>
    <cellStyle name="40% - Akzent6 10 13 3" xfId="27985" xr:uid="{9D96EE3F-C3F1-47E9-A0FB-4A274760521C}"/>
    <cellStyle name="40% - Akzent6 10 14" xfId="8550" xr:uid="{09936403-2B1A-48D2-890D-57835649DDAC}"/>
    <cellStyle name="40% - Akzent6 10 14 2" xfId="8551" xr:uid="{7F558643-BE23-45EA-A79A-BD0A85091FC7}"/>
    <cellStyle name="40% - Akzent6 10 14 2 2" xfId="27988" xr:uid="{B044C310-821E-430A-89BD-17C2BF44D728}"/>
    <cellStyle name="40% - Akzent6 10 14 3" xfId="27987" xr:uid="{7A336082-BFE7-4B33-A920-052C3D3AF6D2}"/>
    <cellStyle name="40% - Akzent6 10 15" xfId="8552" xr:uid="{B71F7D0C-3144-4F51-9F95-B505DBD596E4}"/>
    <cellStyle name="40% - Akzent6 10 15 2" xfId="8553" xr:uid="{1E56E9CC-2113-4A1F-9640-DA31EA40308A}"/>
    <cellStyle name="40% - Akzent6 10 15 2 2" xfId="27990" xr:uid="{A61BA5C6-AAF7-447D-BD81-C5C22209B86A}"/>
    <cellStyle name="40% - Akzent6 10 15 3" xfId="27989" xr:uid="{38E8EF4F-9EE0-4294-B979-A50D5BBD9179}"/>
    <cellStyle name="40% - Akzent6 10 16" xfId="8554" xr:uid="{0187444A-9E27-440D-8790-484B459E80A2}"/>
    <cellStyle name="40% - Akzent6 10 16 2" xfId="8555" xr:uid="{F4F9BBC5-6AE5-4071-AFA1-A16AEA34F25B}"/>
    <cellStyle name="40% - Akzent6 10 16 2 2" xfId="27992" xr:uid="{49DE7E3D-F80E-4F17-9613-7899506DE5D9}"/>
    <cellStyle name="40% - Akzent6 10 16 3" xfId="27991" xr:uid="{54AC0D86-75B4-4E50-B7C0-4D2BDC9D81CF}"/>
    <cellStyle name="40% - Akzent6 10 17" xfId="8556" xr:uid="{253ADD02-B72F-469C-B57B-C572DFB157B5}"/>
    <cellStyle name="40% - Akzent6 10 17 2" xfId="8557" xr:uid="{CD5C8784-F7D6-4906-8F6B-84606FD89C5A}"/>
    <cellStyle name="40% - Akzent6 10 17 2 2" xfId="27994" xr:uid="{56D731A5-6D9B-44F3-9797-A94D9540547D}"/>
    <cellStyle name="40% - Akzent6 10 17 3" xfId="27993" xr:uid="{A9257D76-1356-463B-B670-3A3D964014A6}"/>
    <cellStyle name="40% - Akzent6 10 18" xfId="8558" xr:uid="{90BD8957-BD1A-46E1-B84F-DCBD4DA2A761}"/>
    <cellStyle name="40% - Akzent6 10 18 2" xfId="8559" xr:uid="{F6EDE7B4-DD1B-40EA-B6CB-90028D21081B}"/>
    <cellStyle name="40% - Akzent6 10 18 2 2" xfId="27996" xr:uid="{15189539-608D-44DC-91C0-99B7B2633298}"/>
    <cellStyle name="40% - Akzent6 10 18 3" xfId="27995" xr:uid="{F3C1A6C0-3135-4333-995E-271CA5EA4543}"/>
    <cellStyle name="40% - Akzent6 10 19" xfId="8560" xr:uid="{F670B8B5-4C63-4336-A180-C80860D3D557}"/>
    <cellStyle name="40% - Akzent6 10 19 2" xfId="8561" xr:uid="{F4B34D3E-FCB9-4F0C-9EDE-D81D361F1436}"/>
    <cellStyle name="40% - Akzent6 10 19 2 2" xfId="27998" xr:uid="{7B3F5CCB-D1FC-4418-9C62-1563DDA8FC95}"/>
    <cellStyle name="40% - Akzent6 10 19 3" xfId="27997" xr:uid="{C996A19A-3598-44E8-8D19-43766C65A056}"/>
    <cellStyle name="40% - Akzent6 10 2" xfId="8562" xr:uid="{CD9D6541-4DCC-4BDA-A4BB-0C2C3AAB73BD}"/>
    <cellStyle name="40% - Akzent6 10 2 2" xfId="8563" xr:uid="{664C8600-0A32-4B20-92F4-EFB031DDB921}"/>
    <cellStyle name="40% - Akzent6 10 2 2 2" xfId="28000" xr:uid="{215DBA1F-24C8-47BB-9B8D-74550CFE44AE}"/>
    <cellStyle name="40% - Akzent6 10 2 3" xfId="27999" xr:uid="{E4654B7E-2340-46D0-A1C6-03065EC9E92B}"/>
    <cellStyle name="40% - Akzent6 10 20" xfId="8564" xr:uid="{55F4B43D-5E6C-4665-B5CF-B37C6C5D9E86}"/>
    <cellStyle name="40% - Akzent6 10 20 2" xfId="8565" xr:uid="{E765F1AF-C4C5-4B5F-AC41-113FE9E5E88D}"/>
    <cellStyle name="40% - Akzent6 10 20 2 2" xfId="28002" xr:uid="{B12FCD8B-33BE-4BE2-8A6E-99C81EA498E0}"/>
    <cellStyle name="40% - Akzent6 10 20 3" xfId="28001" xr:uid="{40BEC1FB-533C-44A7-8531-2A2A63B06F97}"/>
    <cellStyle name="40% - Akzent6 10 21" xfId="8566" xr:uid="{576886F6-DDE9-46EA-AD64-C55F8C22A6EF}"/>
    <cellStyle name="40% - Akzent6 10 21 2" xfId="8567" xr:uid="{45D8F4EA-184C-460B-ABF3-03D1CB8615E9}"/>
    <cellStyle name="40% - Akzent6 10 21 2 2" xfId="28004" xr:uid="{4E2C058B-F6AA-473F-9910-532FEFFC3FB3}"/>
    <cellStyle name="40% - Akzent6 10 21 3" xfId="28003" xr:uid="{99B54E63-AB2B-43BC-99E6-818CCF7FC630}"/>
    <cellStyle name="40% - Akzent6 10 22" xfId="8568" xr:uid="{FCBE3132-54CC-4263-AD05-91F555AE8584}"/>
    <cellStyle name="40% - Akzent6 10 22 2" xfId="28005" xr:uid="{B71F63DA-B3EC-4F40-BF0D-28AC2E653B47}"/>
    <cellStyle name="40% - Akzent6 10 23" xfId="27978" xr:uid="{695DC1E6-6D31-4191-81D2-E65D28D65412}"/>
    <cellStyle name="40% - Akzent6 10 3" xfId="8569" xr:uid="{C282B7EE-5151-48BB-966C-0247C4AC6DD3}"/>
    <cellStyle name="40% - Akzent6 10 3 2" xfId="8570" xr:uid="{B83386D4-8D3A-4CA5-992E-041D821975BB}"/>
    <cellStyle name="40% - Akzent6 10 3 2 2" xfId="28007" xr:uid="{68413DA9-5DFE-4410-A87F-17A6B7E14E64}"/>
    <cellStyle name="40% - Akzent6 10 3 3" xfId="28006" xr:uid="{2F67471D-3A4F-4FF8-BD9D-012D922E4E62}"/>
    <cellStyle name="40% - Akzent6 10 4" xfId="8571" xr:uid="{36203E17-4F37-469F-8151-CD0337E19D9E}"/>
    <cellStyle name="40% - Akzent6 10 4 2" xfId="8572" xr:uid="{8C22E170-BEAF-4F90-91F5-0E5A73A6A25A}"/>
    <cellStyle name="40% - Akzent6 10 4 2 2" xfId="28009" xr:uid="{3375D7D8-266F-4462-884B-39F846A30A62}"/>
    <cellStyle name="40% - Akzent6 10 4 3" xfId="28008" xr:uid="{0432974E-C6AE-4000-BF59-5CEFFCF320DB}"/>
    <cellStyle name="40% - Akzent6 10 5" xfId="8573" xr:uid="{A9841893-EFE5-4AE7-912B-06E7039A117D}"/>
    <cellStyle name="40% - Akzent6 10 5 2" xfId="8574" xr:uid="{8F6D26D7-F690-46BE-8C86-E229DFE9DDB7}"/>
    <cellStyle name="40% - Akzent6 10 5 2 2" xfId="28011" xr:uid="{2D10599E-B9FD-41BE-9284-6EA0B6EEC6DC}"/>
    <cellStyle name="40% - Akzent6 10 5 3" xfId="28010" xr:uid="{2C03CD90-30B7-4325-B6D1-CD1F3AFC2763}"/>
    <cellStyle name="40% - Akzent6 10 6" xfId="8575" xr:uid="{373D25D5-E537-44A4-B5F5-15DD65A8299A}"/>
    <cellStyle name="40% - Akzent6 10 6 2" xfId="8576" xr:uid="{3400D39A-D730-4DE9-B969-4009E2A443C9}"/>
    <cellStyle name="40% - Akzent6 10 6 2 2" xfId="28013" xr:uid="{85BE072E-7A1E-4F9B-81F6-AF29B8F632F0}"/>
    <cellStyle name="40% - Akzent6 10 6 3" xfId="28012" xr:uid="{0EDE9F03-EBEC-4611-AE08-34AFDBDFB769}"/>
    <cellStyle name="40% - Akzent6 10 7" xfId="8577" xr:uid="{D7090151-5D0F-4FF6-9C14-92319D981796}"/>
    <cellStyle name="40% - Akzent6 10 7 2" xfId="8578" xr:uid="{369DE795-1559-419A-A16C-A9870C78CCA7}"/>
    <cellStyle name="40% - Akzent6 10 7 2 2" xfId="28015" xr:uid="{641BE515-1E8B-4A34-A124-FD4644CE1150}"/>
    <cellStyle name="40% - Akzent6 10 7 3" xfId="28014" xr:uid="{503DB461-A276-4968-B392-D0730BF98035}"/>
    <cellStyle name="40% - Akzent6 10 8" xfId="8579" xr:uid="{C539FDEC-89D2-4C41-AFC7-6C8BD96FFA36}"/>
    <cellStyle name="40% - Akzent6 10 8 2" xfId="8580" xr:uid="{66D871BE-1427-4720-919A-89207ECE4253}"/>
    <cellStyle name="40% - Akzent6 10 8 2 2" xfId="28017" xr:uid="{0EF16B5E-D28F-4117-854D-07ABAFB49CEF}"/>
    <cellStyle name="40% - Akzent6 10 8 3" xfId="28016" xr:uid="{BB7A2333-DB72-4A7D-B59C-7FB459E44664}"/>
    <cellStyle name="40% - Akzent6 10 9" xfId="8581" xr:uid="{90D6C924-EDA1-4377-A10D-735C7A594691}"/>
    <cellStyle name="40% - Akzent6 10 9 2" xfId="8582" xr:uid="{BDC14F0C-4848-4D20-ABD4-7F83D68B4552}"/>
    <cellStyle name="40% - Akzent6 10 9 2 2" xfId="28019" xr:uid="{79AA1EC7-6039-46FA-91C4-4389AC130704}"/>
    <cellStyle name="40% - Akzent6 10 9 3" xfId="28018" xr:uid="{B8901BB0-7686-4876-BE3D-DC189B834DA2}"/>
    <cellStyle name="40% - Akzent6 11" xfId="8583" xr:uid="{F136DFE7-C800-486C-92E3-345EC06F61F2}"/>
    <cellStyle name="40% - Akzent6 11 10" xfId="8584" xr:uid="{8B4D3F35-CAF5-409A-8F09-B88C8C273B37}"/>
    <cellStyle name="40% - Akzent6 11 10 2" xfId="8585" xr:uid="{884D0661-BED3-45C7-A02C-E4FEF7FE6CB0}"/>
    <cellStyle name="40% - Akzent6 11 10 2 2" xfId="28022" xr:uid="{33DF089C-B4AB-4B61-8C28-F3CA34C482B0}"/>
    <cellStyle name="40% - Akzent6 11 10 3" xfId="28021" xr:uid="{AA9AB2F5-53BD-4ABF-8347-74967E4FEB71}"/>
    <cellStyle name="40% - Akzent6 11 11" xfId="8586" xr:uid="{1F123610-D400-4E8A-B792-B0EC71DB60BD}"/>
    <cellStyle name="40% - Akzent6 11 11 2" xfId="8587" xr:uid="{88FFB3B7-7B7C-4255-89F5-BFCA47F61303}"/>
    <cellStyle name="40% - Akzent6 11 11 2 2" xfId="28024" xr:uid="{183C66FB-CB52-4CBE-AF48-E3B1926F7B79}"/>
    <cellStyle name="40% - Akzent6 11 11 3" xfId="28023" xr:uid="{1F313C56-8A98-48BE-B420-33AB86DFE1DB}"/>
    <cellStyle name="40% - Akzent6 11 12" xfId="8588" xr:uid="{AD5F214E-46C8-44A7-A554-4A7A6FA35D51}"/>
    <cellStyle name="40% - Akzent6 11 12 2" xfId="8589" xr:uid="{C4B0B6EF-AB8A-420E-9B59-15306F18EF80}"/>
    <cellStyle name="40% - Akzent6 11 12 2 2" xfId="28026" xr:uid="{7C8DAA0A-08E5-499B-ADD1-59F5F78E8892}"/>
    <cellStyle name="40% - Akzent6 11 12 3" xfId="28025" xr:uid="{82AE0673-6B63-4A7A-A817-C4ECD6D01DB1}"/>
    <cellStyle name="40% - Akzent6 11 13" xfId="8590" xr:uid="{FEE49E8C-1546-468F-9750-FC8BCD5FA6AA}"/>
    <cellStyle name="40% - Akzent6 11 13 2" xfId="8591" xr:uid="{C2EA3C85-EF7E-473C-A36A-C4F19B3FFE4B}"/>
    <cellStyle name="40% - Akzent6 11 13 2 2" xfId="28028" xr:uid="{8762A7A0-C75E-4A97-9FEF-5275F56FBB3E}"/>
    <cellStyle name="40% - Akzent6 11 13 3" xfId="28027" xr:uid="{D15871D3-7100-4554-AD40-983F550FC3AA}"/>
    <cellStyle name="40% - Akzent6 11 14" xfId="8592" xr:uid="{791A9928-E1EA-4027-B77A-98ED2437DDCD}"/>
    <cellStyle name="40% - Akzent6 11 14 2" xfId="8593" xr:uid="{C3446817-680A-4EE2-99D6-6A620D14E253}"/>
    <cellStyle name="40% - Akzent6 11 14 2 2" xfId="28030" xr:uid="{3387E45E-377F-4FF3-A99F-17F5F36BDE24}"/>
    <cellStyle name="40% - Akzent6 11 14 3" xfId="28029" xr:uid="{9A7C9ACF-5909-4A5C-B1E3-316727B01B1B}"/>
    <cellStyle name="40% - Akzent6 11 15" xfId="8594" xr:uid="{A102F85F-17D7-45C8-ABA2-A91486BEF770}"/>
    <cellStyle name="40% - Akzent6 11 15 2" xfId="8595" xr:uid="{30D9583C-DE31-4FEE-B756-6D40497CF7EE}"/>
    <cellStyle name="40% - Akzent6 11 15 2 2" xfId="28032" xr:uid="{40EADDB2-5E53-4E66-A89D-C8BA6E2A4F35}"/>
    <cellStyle name="40% - Akzent6 11 15 3" xfId="28031" xr:uid="{EBDB3FC3-1954-4EBE-907D-CF11C43105C7}"/>
    <cellStyle name="40% - Akzent6 11 16" xfId="8596" xr:uid="{1F7BA57A-B74D-43E4-AE05-7C338C23DC87}"/>
    <cellStyle name="40% - Akzent6 11 16 2" xfId="8597" xr:uid="{4C67C61C-B762-4C08-B067-71DBAE15DC06}"/>
    <cellStyle name="40% - Akzent6 11 16 2 2" xfId="28034" xr:uid="{1F3A145F-2C6A-42C0-B343-2990EA7CC96A}"/>
    <cellStyle name="40% - Akzent6 11 16 3" xfId="28033" xr:uid="{2C83CB41-0AE4-4ECE-8065-270B29E51ECA}"/>
    <cellStyle name="40% - Akzent6 11 17" xfId="8598" xr:uid="{C67501D9-2439-44F7-8C52-3DFE91D9640A}"/>
    <cellStyle name="40% - Akzent6 11 17 2" xfId="8599" xr:uid="{775C4B5B-CA33-4F15-BD24-FD5F63C8E24D}"/>
    <cellStyle name="40% - Akzent6 11 17 2 2" xfId="28036" xr:uid="{D9266B41-26A1-43C3-B956-1B637C178721}"/>
    <cellStyle name="40% - Akzent6 11 17 3" xfId="28035" xr:uid="{210C723D-391E-4BAB-A482-D0CA24B34F5A}"/>
    <cellStyle name="40% - Akzent6 11 18" xfId="8600" xr:uid="{EA365510-2147-467A-A36C-9FD2E379D075}"/>
    <cellStyle name="40% - Akzent6 11 18 2" xfId="8601" xr:uid="{96C0F614-1B38-4069-84B6-23B8C2534B5B}"/>
    <cellStyle name="40% - Akzent6 11 18 2 2" xfId="28038" xr:uid="{68020747-F26A-48A0-A036-E2C48B0AFB99}"/>
    <cellStyle name="40% - Akzent6 11 18 3" xfId="28037" xr:uid="{1D6E3E8A-A067-4B96-A69B-1FF43EC3EB9B}"/>
    <cellStyle name="40% - Akzent6 11 19" xfId="8602" xr:uid="{3B6ED514-1C04-42F0-B20A-BD0CC8472605}"/>
    <cellStyle name="40% - Akzent6 11 19 2" xfId="8603" xr:uid="{AF43096C-6EE9-488E-8708-C70139F4D116}"/>
    <cellStyle name="40% - Akzent6 11 19 2 2" xfId="28040" xr:uid="{D1A84286-78F7-4A4B-87FB-B1B286414134}"/>
    <cellStyle name="40% - Akzent6 11 19 3" xfId="28039" xr:uid="{E08BEC71-6D62-4137-9FDF-D28FAD4FA046}"/>
    <cellStyle name="40% - Akzent6 11 2" xfId="8604" xr:uid="{21C1AD08-9867-4AA4-AC5D-3F12BBA2FE0D}"/>
    <cellStyle name="40% - Akzent6 11 2 2" xfId="8605" xr:uid="{580AAF14-C6A1-45EA-B3E9-A8ABF9F16FC4}"/>
    <cellStyle name="40% - Akzent6 11 2 2 2" xfId="28042" xr:uid="{93A2C174-8F5C-4A4A-A878-BDB592DBBAF9}"/>
    <cellStyle name="40% - Akzent6 11 2 3" xfId="28041" xr:uid="{A2959D39-0116-4B3C-9C81-1C43A1457D20}"/>
    <cellStyle name="40% - Akzent6 11 20" xfId="8606" xr:uid="{15C0EC1E-F57D-4E70-A620-296BC2417B1C}"/>
    <cellStyle name="40% - Akzent6 11 20 2" xfId="8607" xr:uid="{81E7384B-BDE0-4590-8002-7914B5765302}"/>
    <cellStyle name="40% - Akzent6 11 20 2 2" xfId="28044" xr:uid="{D6854B52-BC58-447F-AFFE-CE32C8FE470E}"/>
    <cellStyle name="40% - Akzent6 11 20 3" xfId="28043" xr:uid="{2686335D-275A-43D7-8B91-26A6CCD6B436}"/>
    <cellStyle name="40% - Akzent6 11 21" xfId="8608" xr:uid="{64FFAA54-DAF8-4FCB-BDBA-2639FC81E054}"/>
    <cellStyle name="40% - Akzent6 11 21 2" xfId="8609" xr:uid="{50470374-D71C-4A68-9DF8-B8E95C115A61}"/>
    <cellStyle name="40% - Akzent6 11 21 2 2" xfId="28046" xr:uid="{925F0BC4-CED9-4E6E-ADBF-1452DFB47CCD}"/>
    <cellStyle name="40% - Akzent6 11 21 3" xfId="28045" xr:uid="{8F10C810-2156-4DCF-9D42-46B4A4A0E2BB}"/>
    <cellStyle name="40% - Akzent6 11 22" xfId="8610" xr:uid="{F4553205-07ED-4B13-A18C-1C1735AA9A59}"/>
    <cellStyle name="40% - Akzent6 11 22 2" xfId="28047" xr:uid="{26A34127-C7DF-45B5-B746-A6AEBC1FCC05}"/>
    <cellStyle name="40% - Akzent6 11 23" xfId="28020" xr:uid="{74EC028E-43E6-4C68-82BF-8C0237E94988}"/>
    <cellStyle name="40% - Akzent6 11 3" xfId="8611" xr:uid="{852C1215-A1DD-43DD-A582-F3A4BDBE6A1F}"/>
    <cellStyle name="40% - Akzent6 11 3 2" xfId="8612" xr:uid="{F62F8DFA-C647-4989-B4FA-6C6D1724786D}"/>
    <cellStyle name="40% - Akzent6 11 3 2 2" xfId="28049" xr:uid="{E0276FB5-B0E3-40EB-978D-9A6FDB0BFD83}"/>
    <cellStyle name="40% - Akzent6 11 3 3" xfId="28048" xr:uid="{EC6074D3-F13D-4E9D-8BEC-695C3E1D4FD9}"/>
    <cellStyle name="40% - Akzent6 11 4" xfId="8613" xr:uid="{4F625F9C-A146-4783-8633-C2724265254C}"/>
    <cellStyle name="40% - Akzent6 11 4 2" xfId="8614" xr:uid="{1F4A6102-78CB-4CB5-94B2-67F646E1D6B1}"/>
    <cellStyle name="40% - Akzent6 11 4 2 2" xfId="28051" xr:uid="{8C9198A6-5D82-4EC1-B153-4DFD2641B9A3}"/>
    <cellStyle name="40% - Akzent6 11 4 3" xfId="28050" xr:uid="{66AF8E91-0208-4B7A-8C50-F85F220D95DD}"/>
    <cellStyle name="40% - Akzent6 11 5" xfId="8615" xr:uid="{A0D82A7D-7954-4396-A619-5BDC6FCCF2FE}"/>
    <cellStyle name="40% - Akzent6 11 5 2" xfId="8616" xr:uid="{261A6735-55AF-4237-BCB1-1CF5F5A0EA0C}"/>
    <cellStyle name="40% - Akzent6 11 5 2 2" xfId="28053" xr:uid="{D003B542-726C-4E13-8E35-FCBCC6190BF7}"/>
    <cellStyle name="40% - Akzent6 11 5 3" xfId="28052" xr:uid="{BF228899-EADB-44F6-A093-3B5CE75089D7}"/>
    <cellStyle name="40% - Akzent6 11 6" xfId="8617" xr:uid="{9E061C6C-CED6-4CBE-B688-95C0ECD84A11}"/>
    <cellStyle name="40% - Akzent6 11 6 2" xfId="8618" xr:uid="{8ABA8600-4F64-4B6E-B3FA-C24AB6CCD83B}"/>
    <cellStyle name="40% - Akzent6 11 6 2 2" xfId="28055" xr:uid="{ECEA1A01-C05D-4614-9BE8-058F2F669E2C}"/>
    <cellStyle name="40% - Akzent6 11 6 3" xfId="28054" xr:uid="{1D931E4C-86DC-42E0-B9C7-F77FD889BE29}"/>
    <cellStyle name="40% - Akzent6 11 7" xfId="8619" xr:uid="{20F5BAD6-1A4A-4E33-89EA-F6D6A3E7049A}"/>
    <cellStyle name="40% - Akzent6 11 7 2" xfId="8620" xr:uid="{337FB556-B903-4D23-ACD0-2469947D5C8D}"/>
    <cellStyle name="40% - Akzent6 11 7 2 2" xfId="28057" xr:uid="{B433FA03-CA3F-4EC5-BAB0-C0A791C5F754}"/>
    <cellStyle name="40% - Akzent6 11 7 3" xfId="28056" xr:uid="{3D2FA2B6-99F5-4229-A70B-B3DB6A831DBC}"/>
    <cellStyle name="40% - Akzent6 11 8" xfId="8621" xr:uid="{85F50176-0054-47AA-92E7-7F2D2AB2AF04}"/>
    <cellStyle name="40% - Akzent6 11 8 2" xfId="8622" xr:uid="{51471370-AE99-4845-A6F2-3A5C4FA15EC6}"/>
    <cellStyle name="40% - Akzent6 11 8 2 2" xfId="28059" xr:uid="{EC751219-CE62-4E42-851D-66D6624E4415}"/>
    <cellStyle name="40% - Akzent6 11 8 3" xfId="28058" xr:uid="{BD03FCB8-A5CC-403A-9FCE-9B1296EE765D}"/>
    <cellStyle name="40% - Akzent6 11 9" xfId="8623" xr:uid="{FAEAB5C5-C9C0-484F-8CBF-CF3DF7CA694E}"/>
    <cellStyle name="40% - Akzent6 11 9 2" xfId="8624" xr:uid="{10C3B0A0-3DF0-4EC6-9A86-79D18AC72B4A}"/>
    <cellStyle name="40% - Akzent6 11 9 2 2" xfId="28061" xr:uid="{B98CE23B-F907-4209-AB8C-30CDC110E683}"/>
    <cellStyle name="40% - Akzent6 11 9 3" xfId="28060" xr:uid="{4BEFEED4-D506-4E6A-84C4-6555E5A235C8}"/>
    <cellStyle name="40% - Akzent6 12" xfId="8625" xr:uid="{F2D78E70-60A8-4D33-8121-264547E77C6F}"/>
    <cellStyle name="40% - Akzent6 12 10" xfId="8626" xr:uid="{EF8E4A80-DE77-41FA-B6F4-0BF107820454}"/>
    <cellStyle name="40% - Akzent6 12 10 2" xfId="8627" xr:uid="{E6B64E0A-2FE7-432C-AD05-1561B93AC066}"/>
    <cellStyle name="40% - Akzent6 12 10 2 2" xfId="28064" xr:uid="{FCE2F27A-F53F-4757-8475-2A3621E3AD97}"/>
    <cellStyle name="40% - Akzent6 12 10 3" xfId="28063" xr:uid="{31508A06-5571-417D-8F06-DEE862D474D7}"/>
    <cellStyle name="40% - Akzent6 12 11" xfId="8628" xr:uid="{E06A3DFF-0568-4068-B6AB-8EBDDFBE0325}"/>
    <cellStyle name="40% - Akzent6 12 11 2" xfId="8629" xr:uid="{7BFE7E5A-8AAF-4800-8819-0BCC07F08C92}"/>
    <cellStyle name="40% - Akzent6 12 11 2 2" xfId="28066" xr:uid="{CABCD29F-3232-4BB0-B32B-D7BA53D1FBDA}"/>
    <cellStyle name="40% - Akzent6 12 11 3" xfId="28065" xr:uid="{448FCA12-6BD2-48CF-A61E-240558D4372B}"/>
    <cellStyle name="40% - Akzent6 12 12" xfId="8630" xr:uid="{F7343FFF-0FC1-4A91-8E59-EFA4F1EC5986}"/>
    <cellStyle name="40% - Akzent6 12 12 2" xfId="8631" xr:uid="{005BEEBA-118C-4475-BA85-2930AC4DA020}"/>
    <cellStyle name="40% - Akzent6 12 12 2 2" xfId="28068" xr:uid="{5E7D12BF-3455-4800-8FB2-805779752297}"/>
    <cellStyle name="40% - Akzent6 12 12 3" xfId="28067" xr:uid="{EB051EE0-C4D6-42F6-8E4F-EE71BADB3303}"/>
    <cellStyle name="40% - Akzent6 12 13" xfId="8632" xr:uid="{FD1BCB16-9AC0-4781-80E2-6122C44E9272}"/>
    <cellStyle name="40% - Akzent6 12 13 2" xfId="8633" xr:uid="{C2E04DC1-B443-498D-89A8-CD4F3ECAF7CD}"/>
    <cellStyle name="40% - Akzent6 12 13 2 2" xfId="28070" xr:uid="{3320E948-16B9-4A08-B04B-6B2D53C60B0A}"/>
    <cellStyle name="40% - Akzent6 12 13 3" xfId="28069" xr:uid="{3205D0B6-0E96-4F47-A5DC-146FEB801CE8}"/>
    <cellStyle name="40% - Akzent6 12 14" xfId="8634" xr:uid="{22A9BB2D-37B4-4979-AF47-651150C07BAA}"/>
    <cellStyle name="40% - Akzent6 12 14 2" xfId="8635" xr:uid="{9E3EBDDF-FB32-48D6-9BA7-E6FE3C7A33C7}"/>
    <cellStyle name="40% - Akzent6 12 14 2 2" xfId="28072" xr:uid="{C31F09B8-21F5-42E5-9149-1FAA18361924}"/>
    <cellStyle name="40% - Akzent6 12 14 3" xfId="28071" xr:uid="{8D8B7DC8-9D6D-4637-AE12-E93986FDDB1B}"/>
    <cellStyle name="40% - Akzent6 12 15" xfId="8636" xr:uid="{7A574C3B-BF85-4353-9CD1-32086B81CA76}"/>
    <cellStyle name="40% - Akzent6 12 15 2" xfId="8637" xr:uid="{1C2FC635-7A11-4C72-8060-A63D674F3C47}"/>
    <cellStyle name="40% - Akzent6 12 15 2 2" xfId="28074" xr:uid="{B6E5DF8D-EC40-4E56-8E4B-C3CF2373C4D6}"/>
    <cellStyle name="40% - Akzent6 12 15 3" xfId="28073" xr:uid="{ECD3365B-D6E6-44C7-A053-FA2FD1C54376}"/>
    <cellStyle name="40% - Akzent6 12 16" xfId="8638" xr:uid="{0EF848DC-C45A-42D6-B93F-CC398D5C4AE1}"/>
    <cellStyle name="40% - Akzent6 12 16 2" xfId="8639" xr:uid="{0585C08B-7AC6-4064-A8DA-40A03CCFAD99}"/>
    <cellStyle name="40% - Akzent6 12 16 2 2" xfId="28076" xr:uid="{D7BBA454-D9C2-4290-8D16-DADB9E94E45C}"/>
    <cellStyle name="40% - Akzent6 12 16 3" xfId="28075" xr:uid="{8108796B-48DB-4CE0-8B09-831BCF73E899}"/>
    <cellStyle name="40% - Akzent6 12 17" xfId="8640" xr:uid="{6F87B8DE-538F-4C54-82AE-0674790456D0}"/>
    <cellStyle name="40% - Akzent6 12 17 2" xfId="8641" xr:uid="{C1D95564-D6EE-4B9C-A20B-22858C85D368}"/>
    <cellStyle name="40% - Akzent6 12 17 2 2" xfId="28078" xr:uid="{79A5B669-6CEF-4A74-A082-AF81B7E359E4}"/>
    <cellStyle name="40% - Akzent6 12 17 3" xfId="28077" xr:uid="{64746178-6DDB-4DA4-B67A-A30FEDE3334F}"/>
    <cellStyle name="40% - Akzent6 12 18" xfId="8642" xr:uid="{0EA6A847-EAFF-4EEC-8562-DB55F153D6F3}"/>
    <cellStyle name="40% - Akzent6 12 18 2" xfId="8643" xr:uid="{4E1542DD-52FA-486B-B5EB-8387E3F1D309}"/>
    <cellStyle name="40% - Akzent6 12 18 2 2" xfId="28080" xr:uid="{738F4B03-D253-4024-8D0C-4BA3491B4537}"/>
    <cellStyle name="40% - Akzent6 12 18 3" xfId="28079" xr:uid="{F25EA042-1A9C-41E3-961A-4081F345E660}"/>
    <cellStyle name="40% - Akzent6 12 19" xfId="8644" xr:uid="{FFD7E708-801B-494D-A608-E4343FFAEBE0}"/>
    <cellStyle name="40% - Akzent6 12 19 2" xfId="8645" xr:uid="{018E7FEC-6161-4110-8A9D-4D346E7DD388}"/>
    <cellStyle name="40% - Akzent6 12 19 2 2" xfId="28082" xr:uid="{632E1DFC-5C36-498B-9A41-B0E470A25262}"/>
    <cellStyle name="40% - Akzent6 12 19 3" xfId="28081" xr:uid="{ECFC012A-51BC-48CA-AF70-DA4FD7A476E6}"/>
    <cellStyle name="40% - Akzent6 12 2" xfId="8646" xr:uid="{6343F81F-59C7-4DB4-9840-6B2E1FDE54EA}"/>
    <cellStyle name="40% - Akzent6 12 2 2" xfId="8647" xr:uid="{0C493D63-1F5E-4546-ABC1-21D32D61ED7E}"/>
    <cellStyle name="40% - Akzent6 12 2 2 2" xfId="28084" xr:uid="{0C8D1CCC-BB22-43F7-BA42-AAB3101DC6AE}"/>
    <cellStyle name="40% - Akzent6 12 2 3" xfId="28083" xr:uid="{C5BE1D0B-4A57-4275-9FE1-2091F29F4CE1}"/>
    <cellStyle name="40% - Akzent6 12 20" xfId="8648" xr:uid="{123CC3F1-80A0-4713-9B4F-C860714435A7}"/>
    <cellStyle name="40% - Akzent6 12 20 2" xfId="8649" xr:uid="{41FB6854-6051-47D1-BA11-57D0A3612DEE}"/>
    <cellStyle name="40% - Akzent6 12 20 2 2" xfId="28086" xr:uid="{1D08B528-24C6-45F1-9382-4F3E1EFA35D4}"/>
    <cellStyle name="40% - Akzent6 12 20 3" xfId="28085" xr:uid="{D40217D3-6238-4139-97E7-F0A13D4EA726}"/>
    <cellStyle name="40% - Akzent6 12 21" xfId="8650" xr:uid="{AD7AF8EE-734B-4983-9B9C-B8EF7AE36200}"/>
    <cellStyle name="40% - Akzent6 12 21 2" xfId="8651" xr:uid="{B4F4D9F2-E885-46E8-A580-6F71F3D372E0}"/>
    <cellStyle name="40% - Akzent6 12 21 2 2" xfId="28088" xr:uid="{6C464B69-10C4-4811-BCBC-C19C1E4A6B51}"/>
    <cellStyle name="40% - Akzent6 12 21 3" xfId="28087" xr:uid="{7782D9DC-0086-4CDC-B877-899EB64D6938}"/>
    <cellStyle name="40% - Akzent6 12 22" xfId="8652" xr:uid="{4A203F35-5E84-41EE-AE31-91E4CCD1654E}"/>
    <cellStyle name="40% - Akzent6 12 22 2" xfId="28089" xr:uid="{15762ACE-C523-48D6-ADD6-770357CEB49F}"/>
    <cellStyle name="40% - Akzent6 12 23" xfId="28062" xr:uid="{95A6B517-929C-4E5F-A7E7-C469CA2FA554}"/>
    <cellStyle name="40% - Akzent6 12 3" xfId="8653" xr:uid="{21B1A6E0-2E06-4FF2-90DB-1630919535A9}"/>
    <cellStyle name="40% - Akzent6 12 3 2" xfId="8654" xr:uid="{B0E6A167-D583-41A8-A918-BDC69A8373B2}"/>
    <cellStyle name="40% - Akzent6 12 3 2 2" xfId="28091" xr:uid="{892C305F-5277-4910-921D-696518BA3A6A}"/>
    <cellStyle name="40% - Akzent6 12 3 3" xfId="28090" xr:uid="{43567F6D-15A0-4886-B732-AFFB2578D983}"/>
    <cellStyle name="40% - Akzent6 12 4" xfId="8655" xr:uid="{51AE4CC4-CFE6-4F79-876D-1E8A6AB5C536}"/>
    <cellStyle name="40% - Akzent6 12 4 2" xfId="8656" xr:uid="{76F404B7-3845-48CE-94BC-5EFDC6796093}"/>
    <cellStyle name="40% - Akzent6 12 4 2 2" xfId="28093" xr:uid="{426FE2A5-5638-4D1F-A00E-87FBCBA86C83}"/>
    <cellStyle name="40% - Akzent6 12 4 3" xfId="28092" xr:uid="{DFF96206-47AD-47F3-9212-D0882CC74BAA}"/>
    <cellStyle name="40% - Akzent6 12 5" xfId="8657" xr:uid="{2F018FBA-5071-4A00-8649-7CDA1CDBD5F5}"/>
    <cellStyle name="40% - Akzent6 12 5 2" xfId="8658" xr:uid="{47592A8C-03AA-4C2D-975A-6E7D4758AF7B}"/>
    <cellStyle name="40% - Akzent6 12 5 2 2" xfId="28095" xr:uid="{BB7CC67B-AF79-40A9-800A-F1899E3BFE8C}"/>
    <cellStyle name="40% - Akzent6 12 5 3" xfId="28094" xr:uid="{D3A90C04-72CA-4477-95C6-21C27AA88006}"/>
    <cellStyle name="40% - Akzent6 12 6" xfId="8659" xr:uid="{FE1CFEA9-3FAB-4357-A2F4-04FA502E632E}"/>
    <cellStyle name="40% - Akzent6 12 6 2" xfId="8660" xr:uid="{4D35F532-8BE6-4A53-9783-22B721BCC957}"/>
    <cellStyle name="40% - Akzent6 12 6 2 2" xfId="28097" xr:uid="{F2E79E6F-D3CA-4752-B6E4-8123663EBBB8}"/>
    <cellStyle name="40% - Akzent6 12 6 3" xfId="28096" xr:uid="{8D16C098-138D-4E7E-826A-A49562F2FE97}"/>
    <cellStyle name="40% - Akzent6 12 7" xfId="8661" xr:uid="{77E7E90A-B06E-4591-B9F3-AC1C85460100}"/>
    <cellStyle name="40% - Akzent6 12 7 2" xfId="8662" xr:uid="{E1A2560D-8049-48EA-BEF5-A33291DB8789}"/>
    <cellStyle name="40% - Akzent6 12 7 2 2" xfId="28099" xr:uid="{61A59D6D-F40C-41F0-A621-11313B213AFE}"/>
    <cellStyle name="40% - Akzent6 12 7 3" xfId="28098" xr:uid="{CFF142FA-B9CE-47AF-9733-0E3AFDC33D21}"/>
    <cellStyle name="40% - Akzent6 12 8" xfId="8663" xr:uid="{1DD5DFA6-F627-4870-A193-3CE65C80BA85}"/>
    <cellStyle name="40% - Akzent6 12 8 2" xfId="8664" xr:uid="{A19A9608-9E27-4315-A7A7-CC71F8FC0A68}"/>
    <cellStyle name="40% - Akzent6 12 8 2 2" xfId="28101" xr:uid="{D76EC0FB-7413-4C51-8020-3452322A1D17}"/>
    <cellStyle name="40% - Akzent6 12 8 3" xfId="28100" xr:uid="{26A174EA-457D-4C5D-BD09-F01C19402668}"/>
    <cellStyle name="40% - Akzent6 12 9" xfId="8665" xr:uid="{24AF7D7C-1C72-46BD-A93E-3773D5901AA8}"/>
    <cellStyle name="40% - Akzent6 12 9 2" xfId="8666" xr:uid="{092CD29F-2EBF-44F9-9ADA-A52CB9704BFE}"/>
    <cellStyle name="40% - Akzent6 12 9 2 2" xfId="28103" xr:uid="{C9E9CE64-062A-4D67-990B-3F3E8EB89C0F}"/>
    <cellStyle name="40% - Akzent6 12 9 3" xfId="28102" xr:uid="{0A59D18A-7D62-48B3-9C87-9EA4E2CB4579}"/>
    <cellStyle name="40% - Akzent6 13" xfId="8667" xr:uid="{3DAA4A5B-4CD3-45EA-9F8A-F5117ACC1AE7}"/>
    <cellStyle name="40% - Akzent6 13 10" xfId="8668" xr:uid="{D7831D52-1EDE-43A3-9861-393861A829AC}"/>
    <cellStyle name="40% - Akzent6 13 10 2" xfId="8669" xr:uid="{9EC52CD2-559E-4167-92BA-27A1152299A2}"/>
    <cellStyle name="40% - Akzent6 13 10 2 2" xfId="28106" xr:uid="{1AC7C431-0F53-4013-A8EE-47E433D553C7}"/>
    <cellStyle name="40% - Akzent6 13 10 3" xfId="28105" xr:uid="{EB424A89-7BB5-43FE-AF47-E5CDDA0F8D98}"/>
    <cellStyle name="40% - Akzent6 13 11" xfId="8670" xr:uid="{C2C4AB9A-205C-48F7-8CF6-8C49E1C5B79C}"/>
    <cellStyle name="40% - Akzent6 13 11 2" xfId="8671" xr:uid="{69362AF9-7642-4FDC-B501-BB1FFE4C410A}"/>
    <cellStyle name="40% - Akzent6 13 11 2 2" xfId="28108" xr:uid="{924F2912-962E-4CE9-BE10-F01221521330}"/>
    <cellStyle name="40% - Akzent6 13 11 3" xfId="28107" xr:uid="{91A2B03A-A060-46FB-B52C-C7156E99D515}"/>
    <cellStyle name="40% - Akzent6 13 12" xfId="8672" xr:uid="{5BE6D78A-0D9A-47F5-9898-C0A30E4A607B}"/>
    <cellStyle name="40% - Akzent6 13 12 2" xfId="8673" xr:uid="{73ADB1C2-3376-4B39-9C0C-58F07C353AC1}"/>
    <cellStyle name="40% - Akzent6 13 12 2 2" xfId="28110" xr:uid="{0F424B94-6D3E-4694-9B20-F8291CC73989}"/>
    <cellStyle name="40% - Akzent6 13 12 3" xfId="28109" xr:uid="{6E5F799B-DEC5-42D8-A90E-EF20884EC01C}"/>
    <cellStyle name="40% - Akzent6 13 13" xfId="8674" xr:uid="{07B28374-8D98-4D89-A8B3-1264D2939F96}"/>
    <cellStyle name="40% - Akzent6 13 13 2" xfId="8675" xr:uid="{3CCC56C6-10FA-4C8A-B09E-66E660493A96}"/>
    <cellStyle name="40% - Akzent6 13 13 2 2" xfId="28112" xr:uid="{BB11A8A2-A215-47C8-82F0-11A72B795954}"/>
    <cellStyle name="40% - Akzent6 13 13 3" xfId="28111" xr:uid="{FB738761-056C-4D58-B3A6-508A0B6500FD}"/>
    <cellStyle name="40% - Akzent6 13 14" xfId="8676" xr:uid="{1754CE95-132C-4CBB-BF23-1576187AFB3A}"/>
    <cellStyle name="40% - Akzent6 13 14 2" xfId="28113" xr:uid="{61AB7A6C-49FE-4A74-BAD8-BBA16D1757CB}"/>
    <cellStyle name="40% - Akzent6 13 15" xfId="28104" xr:uid="{6CE8167B-BE1B-4F37-A7EC-5A7E92232F84}"/>
    <cellStyle name="40% - Akzent6 13 2" xfId="8677" xr:uid="{60A4FAA3-EBE9-473F-9736-650F4C63ED33}"/>
    <cellStyle name="40% - Akzent6 13 2 2" xfId="8678" xr:uid="{9BBBBCB7-B007-4041-AFA6-81C36123224B}"/>
    <cellStyle name="40% - Akzent6 13 2 2 2" xfId="28115" xr:uid="{34F17F04-90CE-4692-B2DD-A5AD6B218C04}"/>
    <cellStyle name="40% - Akzent6 13 2 3" xfId="28114" xr:uid="{C603796F-B48D-4439-9E14-47AC6AF6350C}"/>
    <cellStyle name="40% - Akzent6 13 3" xfId="8679" xr:uid="{E2C6345D-8D3C-4ADB-A900-D5064C3E6293}"/>
    <cellStyle name="40% - Akzent6 13 3 2" xfId="8680" xr:uid="{157A428B-0A81-4490-849D-5710FF3950E0}"/>
    <cellStyle name="40% - Akzent6 13 3 2 2" xfId="28117" xr:uid="{36B52513-5041-442F-AA62-6A8CC732A061}"/>
    <cellStyle name="40% - Akzent6 13 3 3" xfId="28116" xr:uid="{4F9A11E2-AB1F-4E55-AA74-B45E865D1312}"/>
    <cellStyle name="40% - Akzent6 13 4" xfId="8681" xr:uid="{A262B4E5-C974-423A-B62E-652B417BAC3D}"/>
    <cellStyle name="40% - Akzent6 13 4 2" xfId="8682" xr:uid="{A96A97F3-9F2F-48A4-985F-5218A1134181}"/>
    <cellStyle name="40% - Akzent6 13 4 2 2" xfId="28119" xr:uid="{9B1367D9-B205-42BF-AC2D-6C702D0001D0}"/>
    <cellStyle name="40% - Akzent6 13 4 3" xfId="28118" xr:uid="{3C0EFC84-52C5-4A57-8C67-5A2A46F5C904}"/>
    <cellStyle name="40% - Akzent6 13 5" xfId="8683" xr:uid="{0F0D6D77-2CD2-4FD1-8B0A-6E0F702C8D69}"/>
    <cellStyle name="40% - Akzent6 13 5 2" xfId="8684" xr:uid="{707D7165-62C2-45DC-AEC5-E03599F802D4}"/>
    <cellStyle name="40% - Akzent6 13 5 2 2" xfId="28121" xr:uid="{FFBE4B8E-A085-414F-AC26-08F48D682635}"/>
    <cellStyle name="40% - Akzent6 13 5 3" xfId="28120" xr:uid="{E0A0661A-03B5-4BC3-A8DC-0EA34D35B093}"/>
    <cellStyle name="40% - Akzent6 13 6" xfId="8685" xr:uid="{7C57F586-4117-4B88-9F56-37F401093CA1}"/>
    <cellStyle name="40% - Akzent6 13 6 2" xfId="8686" xr:uid="{17DA11C6-261B-4581-8D7D-5047CB08D220}"/>
    <cellStyle name="40% - Akzent6 13 6 2 2" xfId="28123" xr:uid="{777CF245-E20D-44C3-A543-16DF888C01EF}"/>
    <cellStyle name="40% - Akzent6 13 6 3" xfId="28122" xr:uid="{90C8442A-A36B-4005-9865-9087F9588353}"/>
    <cellStyle name="40% - Akzent6 13 7" xfId="8687" xr:uid="{CBBB5E09-7E5A-4E06-8762-46C5521F9F37}"/>
    <cellStyle name="40% - Akzent6 13 7 2" xfId="8688" xr:uid="{2E91DAFD-333C-4213-9031-0691974127A6}"/>
    <cellStyle name="40% - Akzent6 13 7 2 2" xfId="28125" xr:uid="{D4E3CBAA-6D7E-494B-95E4-C0C9EA406ADE}"/>
    <cellStyle name="40% - Akzent6 13 7 3" xfId="28124" xr:uid="{9BE175C3-F907-494F-A18F-DAAF98639259}"/>
    <cellStyle name="40% - Akzent6 13 8" xfId="8689" xr:uid="{D8022FD1-6A80-471C-8558-307CE4F23AF8}"/>
    <cellStyle name="40% - Akzent6 13 8 2" xfId="8690" xr:uid="{95EAB00C-0154-4E20-8649-1F7A52BAFF86}"/>
    <cellStyle name="40% - Akzent6 13 8 2 2" xfId="28127" xr:uid="{DFE9AB10-1DE4-482C-81C1-233A4A222704}"/>
    <cellStyle name="40% - Akzent6 13 8 3" xfId="28126" xr:uid="{86AAAB44-4E11-4C55-84E0-61025C9DB408}"/>
    <cellStyle name="40% - Akzent6 13 9" xfId="8691" xr:uid="{F50C78F3-00C2-4EEF-9E17-88C7C3B6C9AA}"/>
    <cellStyle name="40% - Akzent6 13 9 2" xfId="8692" xr:uid="{55D5F749-51F2-4BE8-A94D-4ECCF2620D9B}"/>
    <cellStyle name="40% - Akzent6 13 9 2 2" xfId="28129" xr:uid="{A29556FB-70EE-4641-AC8B-CA76C8A29DDF}"/>
    <cellStyle name="40% - Akzent6 13 9 3" xfId="28128" xr:uid="{3A899360-8026-48E7-9BFE-DFD6921897B7}"/>
    <cellStyle name="40% - Akzent6 14" xfId="8693" xr:uid="{830AB739-751F-44FB-BF6F-334B26779188}"/>
    <cellStyle name="40% - Akzent6 14 2" xfId="8694" xr:uid="{F30CAFD3-FE7F-4367-9DE3-0ED5B8BAC8F5}"/>
    <cellStyle name="40% - Akzent6 14 2 2" xfId="28131" xr:uid="{6AC2F315-E259-4708-A59F-A0B1BD4BA9C9}"/>
    <cellStyle name="40% - Akzent6 14 3" xfId="8695" xr:uid="{D4560F21-EA8E-4BF2-A57C-6DE29A3C7C0B}"/>
    <cellStyle name="40% - Akzent6 14 3 2" xfId="28132" xr:uid="{95660B94-1001-41FF-B742-E78FAF63D84C}"/>
    <cellStyle name="40% - Akzent6 14 4" xfId="28130" xr:uid="{6C23BECE-788E-42D0-A2E7-FFC469A725D1}"/>
    <cellStyle name="40% - Akzent6 15" xfId="8696" xr:uid="{A144C760-82CE-4E13-B712-056BA8A4491D}"/>
    <cellStyle name="40% - Akzent6 15 2" xfId="8697" xr:uid="{A445C2CD-E87E-4F04-8423-99B8E574570E}"/>
    <cellStyle name="40% - Akzent6 15 2 2" xfId="28134" xr:uid="{A5E8D4B2-B1D8-4DD9-BAFA-6580E6AFD8C7}"/>
    <cellStyle name="40% - Akzent6 15 3" xfId="8698" xr:uid="{D650BAF3-1946-4609-A77D-AFE7ACD7968E}"/>
    <cellStyle name="40% - Akzent6 15 3 2" xfId="28135" xr:uid="{A057140E-5A2D-41AC-9AF7-0D135A5B5732}"/>
    <cellStyle name="40% - Akzent6 15 4" xfId="28133" xr:uid="{B0380A19-49C2-498E-9427-55D95730D65A}"/>
    <cellStyle name="40% - Akzent6 16" xfId="8699" xr:uid="{FC626678-B7CD-45DF-982C-9872C995109E}"/>
    <cellStyle name="40% - Akzent6 16 2" xfId="8700" xr:uid="{12DF38C0-F86E-4C9F-A1B4-B76BD798F616}"/>
    <cellStyle name="40% - Akzent6 16 2 2" xfId="28137" xr:uid="{E8C4BA59-2E85-42A2-8724-A28AF1E8C7F0}"/>
    <cellStyle name="40% - Akzent6 16 3" xfId="8701" xr:uid="{FD7CCB74-FD96-44B3-A582-424180653FBF}"/>
    <cellStyle name="40% - Akzent6 16 3 2" xfId="28138" xr:uid="{6463A952-D258-4C37-9E2B-2B73DF386E6F}"/>
    <cellStyle name="40% - Akzent6 16 4" xfId="28136" xr:uid="{21D619A3-9147-449D-9B29-6499FCF40BBC}"/>
    <cellStyle name="40% - Akzent6 17" xfId="8702" xr:uid="{A0290B9A-404B-4DC8-A29F-3FA91EAFA2C8}"/>
    <cellStyle name="40% - Akzent6 17 2" xfId="8703" xr:uid="{A9024405-B905-4C5F-847B-53A445ABCCDC}"/>
    <cellStyle name="40% - Akzent6 17 2 2" xfId="28140" xr:uid="{2E32DDDC-1398-4167-BB81-3B2C4772DFDB}"/>
    <cellStyle name="40% - Akzent6 17 3" xfId="8704" xr:uid="{64FAC07C-6853-46E1-BC29-A445A2AFA136}"/>
    <cellStyle name="40% - Akzent6 17 3 2" xfId="28141" xr:uid="{0CACE819-64EF-4662-874B-FA026D5859FE}"/>
    <cellStyle name="40% - Akzent6 17 4" xfId="28139" xr:uid="{69B8DEF4-E111-4065-9B73-D5CF33E02B98}"/>
    <cellStyle name="40% - Akzent6 18" xfId="8705" xr:uid="{19CB6623-E1F4-48EF-9533-F5C1DDF39232}"/>
    <cellStyle name="40% - Akzent6 18 2" xfId="8706" xr:uid="{5588E807-6A34-47CE-A16D-A25254B59E9F}"/>
    <cellStyle name="40% - Akzent6 18 2 2" xfId="28143" xr:uid="{BE51E514-BDBA-45E7-9FE4-700486741544}"/>
    <cellStyle name="40% - Akzent6 18 3" xfId="8707" xr:uid="{4A92F868-BE0E-4D71-8EBE-A54853EE1A0D}"/>
    <cellStyle name="40% - Akzent6 18 3 2" xfId="28144" xr:uid="{1BEB8627-F83F-4D0B-8C74-AB1BFB01D265}"/>
    <cellStyle name="40% - Akzent6 18 4" xfId="28142" xr:uid="{6306B095-5CB3-47E1-8557-BB485FC5C140}"/>
    <cellStyle name="40% - Akzent6 19" xfId="8708" xr:uid="{BBA84960-FCCB-4247-A45D-49279098ECE8}"/>
    <cellStyle name="40% - Akzent6 19 2" xfId="8709" xr:uid="{49CBEB0A-483E-45F4-A696-DACC0A5C20A8}"/>
    <cellStyle name="40% - Akzent6 19 2 2" xfId="28146" xr:uid="{47E38C4D-FED3-4411-B9D0-E3B2CEFCFD95}"/>
    <cellStyle name="40% - Akzent6 19 3" xfId="8710" xr:uid="{E614C36A-FC70-4217-BFF3-E9E38766CA25}"/>
    <cellStyle name="40% - Akzent6 19 3 2" xfId="28147" xr:uid="{6D3FA89D-A21E-46E0-9068-62BDDC58C732}"/>
    <cellStyle name="40% - Akzent6 19 4" xfId="28145" xr:uid="{5A62E67B-6BF0-49B0-BE05-FC5CB4310432}"/>
    <cellStyle name="40% - Akzent6 2" xfId="108" xr:uid="{5ABD49A8-C7E9-47E0-93C5-9EB6AD03BCA1}"/>
    <cellStyle name="40% - Akzent6 2 10" xfId="8712" xr:uid="{7711654B-4C68-4531-92AA-3ACB8E799DFB}"/>
    <cellStyle name="40% - Akzent6 2 10 2" xfId="8713" xr:uid="{942826F3-6D55-4AA6-9B2C-A14D35AE2AA4}"/>
    <cellStyle name="40% - Akzent6 2 10 2 2" xfId="28150" xr:uid="{F943DFEE-B6C2-4B54-8D20-DF7197814DFF}"/>
    <cellStyle name="40% - Akzent6 2 10 3" xfId="28149" xr:uid="{AC4E64AD-9754-45C7-A4AA-89BE9A522016}"/>
    <cellStyle name="40% - Akzent6 2 11" xfId="8714" xr:uid="{85740954-EE49-479F-9DD2-EC631C498C18}"/>
    <cellStyle name="40% - Akzent6 2 11 2" xfId="8715" xr:uid="{757B328D-D87D-45A9-AC4E-3D7E61E3A6AC}"/>
    <cellStyle name="40% - Akzent6 2 11 2 2" xfId="28152" xr:uid="{E4FD4067-9E83-43BD-A9AB-EB856868EEC6}"/>
    <cellStyle name="40% - Akzent6 2 11 3" xfId="28151" xr:uid="{2FE66E7D-5307-44FE-B411-7CC0D7E599E4}"/>
    <cellStyle name="40% - Akzent6 2 12" xfId="8716" xr:uid="{B0BCFCAE-B56A-41A1-B965-8D4A3F8649F2}"/>
    <cellStyle name="40% - Akzent6 2 12 2" xfId="8717" xr:uid="{9B84D5F1-1CD3-437D-B7F9-9682338B05B7}"/>
    <cellStyle name="40% - Akzent6 2 12 2 2" xfId="28154" xr:uid="{5D567470-2EF4-4674-A792-2F6F6C21C8B4}"/>
    <cellStyle name="40% - Akzent6 2 12 3" xfId="28153" xr:uid="{8A2A2D4B-C100-439D-8C8A-D5D9554C1899}"/>
    <cellStyle name="40% - Akzent6 2 13" xfId="8718" xr:uid="{8A2BBE26-B449-4F41-9838-148D585C631B}"/>
    <cellStyle name="40% - Akzent6 2 13 2" xfId="8719" xr:uid="{298DB4F8-EF32-4D60-9645-8AA51C07C453}"/>
    <cellStyle name="40% - Akzent6 2 13 2 2" xfId="28156" xr:uid="{06289EB4-277C-4B0C-B42D-61FC978A57E5}"/>
    <cellStyle name="40% - Akzent6 2 13 3" xfId="28155" xr:uid="{E1A01BBD-843A-4976-AF0A-AA94AD7E91BD}"/>
    <cellStyle name="40% - Akzent6 2 14" xfId="8720" xr:uid="{988B5085-4E8D-466D-AA7A-CBDB6B232C33}"/>
    <cellStyle name="40% - Akzent6 2 14 2" xfId="8721" xr:uid="{2D06D9D1-715B-44A5-83DB-0DB9CAB5C9A1}"/>
    <cellStyle name="40% - Akzent6 2 14 2 2" xfId="28158" xr:uid="{45D8263E-10D3-4788-BE97-881438BA3646}"/>
    <cellStyle name="40% - Akzent6 2 14 3" xfId="28157" xr:uid="{DE4E81DE-8BC2-4D0E-BE34-04BBA4B7A166}"/>
    <cellStyle name="40% - Akzent6 2 15" xfId="8722" xr:uid="{F1B723C5-3141-4C68-8FAA-FF7760BEB800}"/>
    <cellStyle name="40% - Akzent6 2 15 2" xfId="8723" xr:uid="{5405C4CF-9C60-4749-849E-CD72E35ED614}"/>
    <cellStyle name="40% - Akzent6 2 15 2 2" xfId="28160" xr:uid="{2536A53A-C972-4CB6-8A8A-C730E31AD67A}"/>
    <cellStyle name="40% - Akzent6 2 15 3" xfId="28159" xr:uid="{49EAC4D3-021B-4AF9-B572-2D7A5ED34163}"/>
    <cellStyle name="40% - Akzent6 2 16" xfId="8724" xr:uid="{F36F0F27-A973-444C-A417-5676D62748C6}"/>
    <cellStyle name="40% - Akzent6 2 16 2" xfId="8725" xr:uid="{7452AA03-1B7F-4534-B5AA-506860093C3E}"/>
    <cellStyle name="40% - Akzent6 2 16 2 2" xfId="28162" xr:uid="{DFD21B9A-46B4-4824-97B0-1A8F9F39DD2A}"/>
    <cellStyle name="40% - Akzent6 2 16 3" xfId="28161" xr:uid="{876BD5DC-589A-47BD-96DF-C00A6B8D7592}"/>
    <cellStyle name="40% - Akzent6 2 17" xfId="8726" xr:uid="{CFA8B68D-C7D7-4D49-B33C-22BB71BB4DB4}"/>
    <cellStyle name="40% - Akzent6 2 17 2" xfId="8727" xr:uid="{505FFD8F-1DE9-4AE8-8DA1-3A8525E13AEE}"/>
    <cellStyle name="40% - Akzent6 2 17 2 2" xfId="28164" xr:uid="{1B70A259-6EAA-4B32-9958-CD03B20CFE76}"/>
    <cellStyle name="40% - Akzent6 2 17 3" xfId="28163" xr:uid="{832A9AEA-D6B7-4D07-A96E-011767F17BD2}"/>
    <cellStyle name="40% - Akzent6 2 18" xfId="8728" xr:uid="{16EC7BDA-4898-4500-8148-745C896F8109}"/>
    <cellStyle name="40% - Akzent6 2 18 2" xfId="8729" xr:uid="{5D84B214-5D0D-4EDC-A69A-D78C9AD7039D}"/>
    <cellStyle name="40% - Akzent6 2 18 2 2" xfId="28166" xr:uid="{4A923E4C-8855-4CD2-BA4F-C9E3A18F4432}"/>
    <cellStyle name="40% - Akzent6 2 18 3" xfId="28165" xr:uid="{9F00E346-26DC-4F40-9D3F-FD1925860B15}"/>
    <cellStyle name="40% - Akzent6 2 19" xfId="8730" xr:uid="{AEA2D7DC-A7D5-453A-83E4-640C2CAD687E}"/>
    <cellStyle name="40% - Akzent6 2 19 2" xfId="8731" xr:uid="{7FADDF39-D7CA-4837-8096-F17B7A99FEB5}"/>
    <cellStyle name="40% - Akzent6 2 19 2 2" xfId="28168" xr:uid="{2BDDE8D8-CAB1-4603-AEED-E03EC9A77BE6}"/>
    <cellStyle name="40% - Akzent6 2 19 3" xfId="28167" xr:uid="{97BECC70-9CF7-487B-B300-33D2382BD8F2}"/>
    <cellStyle name="40% - Akzent6 2 2" xfId="8732" xr:uid="{7FE00898-A50E-47B0-A11C-8A0A08F7FDBA}"/>
    <cellStyle name="40% - Akzent6 2 2 10" xfId="8733" xr:uid="{CDE9B45F-1090-46CD-BFC1-26F311B15772}"/>
    <cellStyle name="40% - Akzent6 2 2 10 2" xfId="28170" xr:uid="{873C82B8-E31C-42EE-A04D-BCDA38EEB4A5}"/>
    <cellStyle name="40% - Akzent6 2 2 11" xfId="8734" xr:uid="{783E8B6C-CF22-4BDD-8DE4-3DCA722FCA8E}"/>
    <cellStyle name="40% - Akzent6 2 2 11 2" xfId="28171" xr:uid="{29261B04-250F-43CF-9BB7-A84D41FF265F}"/>
    <cellStyle name="40% - Akzent6 2 2 12" xfId="8735" xr:uid="{9E2EEC7A-FA48-4001-82CF-1C2B94B48434}"/>
    <cellStyle name="40% - Akzent6 2 2 12 2" xfId="28172" xr:uid="{E62D2B82-3815-47F7-BAAA-140F5FD050DC}"/>
    <cellStyle name="40% - Akzent6 2 2 13" xfId="8736" xr:uid="{494B36EE-4F44-4C97-A240-5139A5487BCD}"/>
    <cellStyle name="40% - Akzent6 2 2 13 2" xfId="8737" xr:uid="{214F0AB7-D97F-48AA-9BA2-232CA5875829}"/>
    <cellStyle name="40% - Akzent6 2 2 13 2 2" xfId="28174" xr:uid="{4CCD2925-514B-4F60-ACFF-C101C358DD6D}"/>
    <cellStyle name="40% - Akzent6 2 2 13 3" xfId="28173" xr:uid="{0B62D18B-1EDD-466B-AA04-D1A3799EB5CE}"/>
    <cellStyle name="40% - Akzent6 2 2 14" xfId="8738" xr:uid="{F31F9905-B4F5-49F9-9AD9-A42A136E3351}"/>
    <cellStyle name="40% - Akzent6 2 2 14 2" xfId="8739" xr:uid="{8323360C-F921-48EA-98EE-7E95E898CE70}"/>
    <cellStyle name="40% - Akzent6 2 2 14 2 2" xfId="28176" xr:uid="{859EC22D-044D-4EE3-AC99-60FDE3FFABAD}"/>
    <cellStyle name="40% - Akzent6 2 2 14 3" xfId="28175" xr:uid="{01A8571E-847F-4007-A7D3-A0ABBC9E70CA}"/>
    <cellStyle name="40% - Akzent6 2 2 15" xfId="8740" xr:uid="{E5EC27A7-321B-47FB-A7F8-C18CEC6B9038}"/>
    <cellStyle name="40% - Akzent6 2 2 15 2" xfId="8741" xr:uid="{F4D8C5A3-190B-436D-B0F1-952160525C93}"/>
    <cellStyle name="40% - Akzent6 2 2 15 2 2" xfId="28178" xr:uid="{8FF2760B-64FF-4FBD-976D-0C505E298F2F}"/>
    <cellStyle name="40% - Akzent6 2 2 15 3" xfId="28177" xr:uid="{D4DB5C56-992F-48AA-B0A8-AA8E2BBA5543}"/>
    <cellStyle name="40% - Akzent6 2 2 16" xfId="8742" xr:uid="{4318AB54-0C91-4E16-8739-A463C972DEFB}"/>
    <cellStyle name="40% - Akzent6 2 2 16 2" xfId="8743" xr:uid="{BA40762F-A846-4DBE-8EE4-83094DE8CCE4}"/>
    <cellStyle name="40% - Akzent6 2 2 16 2 2" xfId="28180" xr:uid="{BF38A46E-C938-4143-AD03-4120AB31F921}"/>
    <cellStyle name="40% - Akzent6 2 2 16 3" xfId="28179" xr:uid="{A8846FDC-0110-4756-9101-C4092360865E}"/>
    <cellStyle name="40% - Akzent6 2 2 17" xfId="8744" xr:uid="{9371F004-3BFE-4F22-A1B0-8F9CA6DB288B}"/>
    <cellStyle name="40% - Akzent6 2 2 17 2" xfId="8745" xr:uid="{E1D2B430-6469-43BA-9F30-5EF2D8C61E0B}"/>
    <cellStyle name="40% - Akzent6 2 2 17 2 2" xfId="28182" xr:uid="{54668E3C-952A-4568-9BC8-62ED324605E3}"/>
    <cellStyle name="40% - Akzent6 2 2 17 3" xfId="28181" xr:uid="{CF60C115-B19A-49E6-AD21-6A3CDEF3AA7E}"/>
    <cellStyle name="40% - Akzent6 2 2 18" xfId="8746" xr:uid="{46EF96AF-4769-4699-B92E-5CA28DD5378F}"/>
    <cellStyle name="40% - Akzent6 2 2 18 2" xfId="8747" xr:uid="{86E44292-4233-4857-80F4-747F801036E3}"/>
    <cellStyle name="40% - Akzent6 2 2 18 2 2" xfId="28184" xr:uid="{4765EE6F-1F19-4CE9-B7DE-E2EC820B0C10}"/>
    <cellStyle name="40% - Akzent6 2 2 18 3" xfId="28183" xr:uid="{F8616E12-95E9-4DC7-86A5-06A1FEAC1558}"/>
    <cellStyle name="40% - Akzent6 2 2 19" xfId="8748" xr:uid="{0442AFF1-9291-4470-AB5F-B6C2B5E8FAAA}"/>
    <cellStyle name="40% - Akzent6 2 2 19 2" xfId="8749" xr:uid="{45C210C6-9D3A-4C64-817A-FA65ACA12156}"/>
    <cellStyle name="40% - Akzent6 2 2 19 2 2" xfId="28186" xr:uid="{DBADD878-5216-41BA-983F-C89F03291A51}"/>
    <cellStyle name="40% - Akzent6 2 2 19 3" xfId="28185" xr:uid="{92DB0A4F-3613-4C14-B0CD-C9D24B5301A1}"/>
    <cellStyle name="40% - Akzent6 2 2 2" xfId="8750" xr:uid="{724F2D9E-BF5A-4CE2-9CF2-BFD50B7CF86F}"/>
    <cellStyle name="40% - Akzent6 2 2 2 10" xfId="8751" xr:uid="{9683F52A-2B5B-4C73-8421-ECDDB2B6E4EE}"/>
    <cellStyle name="40% - Akzent6 2 2 2 10 2" xfId="8752" xr:uid="{CDA8C468-129C-4697-97B6-E4014C6CC843}"/>
    <cellStyle name="40% - Akzent6 2 2 2 10 2 2" xfId="28189" xr:uid="{585E3192-21F1-4CC1-803C-34C831577AE2}"/>
    <cellStyle name="40% - Akzent6 2 2 2 10 3" xfId="28188" xr:uid="{EA09958C-58AD-48E1-9C1F-5CD59F509EA4}"/>
    <cellStyle name="40% - Akzent6 2 2 2 11" xfId="8753" xr:uid="{947A023F-6925-4B90-A4ED-464D25BB9929}"/>
    <cellStyle name="40% - Akzent6 2 2 2 11 2" xfId="28190" xr:uid="{4108FC21-93BB-4390-980B-EBCDEE702C6D}"/>
    <cellStyle name="40% - Akzent6 2 2 2 12" xfId="28187" xr:uid="{42A3AAF2-6FFD-4768-9A37-70D7864974C1}"/>
    <cellStyle name="40% - Akzent6 2 2 2 13" xfId="39967" xr:uid="{97AC3001-AD71-46AA-AFBD-C5985B9186FA}"/>
    <cellStyle name="40% - Akzent6 2 2 2 2" xfId="8754" xr:uid="{94E9F9E6-77B5-404A-AA08-4F654894F64B}"/>
    <cellStyle name="40% - Akzent6 2 2 2 2 10" xfId="40913" xr:uid="{4BB78624-D3BE-4071-BF86-2DC89FE88CDB}"/>
    <cellStyle name="40% - Akzent6 2 2 2 2 2" xfId="8755" xr:uid="{0E152F6F-EA2A-457B-9347-6DC1480AB9C3}"/>
    <cellStyle name="40% - Akzent6 2 2 2 2 2 10" xfId="28192" xr:uid="{ED3DBA35-3085-405B-B1D5-F8BE9A9B69DE}"/>
    <cellStyle name="40% - Akzent6 2 2 2 2 2 2" xfId="8756" xr:uid="{F45A9179-6594-4258-90B9-D3A14DE269AC}"/>
    <cellStyle name="40% - Akzent6 2 2 2 2 2 2 2" xfId="8757" xr:uid="{32FFE15E-1974-48FE-A799-00A6C69F9D2F}"/>
    <cellStyle name="40% - Akzent6 2 2 2 2 2 2 2 2" xfId="8758" xr:uid="{A1C667D1-3FBD-46C1-AEB1-E2002FD3B2F1}"/>
    <cellStyle name="40% - Akzent6 2 2 2 2 2 2 2 2 2" xfId="28195" xr:uid="{5E2EFD16-A97E-43C0-9051-15477A822A74}"/>
    <cellStyle name="40% - Akzent6 2 2 2 2 2 2 2 3" xfId="28194" xr:uid="{AB1B7010-B482-4165-9B99-31F36C068A93}"/>
    <cellStyle name="40% - Akzent6 2 2 2 2 2 2 3" xfId="28193" xr:uid="{D540CE1F-33F8-400C-A4CA-445324F105F5}"/>
    <cellStyle name="40% - Akzent6 2 2 2 2 2 3" xfId="8759" xr:uid="{C9FBBBE5-C866-41ED-AB75-61D2A60C3097}"/>
    <cellStyle name="40% - Akzent6 2 2 2 2 2 3 2" xfId="8760" xr:uid="{82652A8E-2F5E-4FE4-8297-09AD9D462A45}"/>
    <cellStyle name="40% - Akzent6 2 2 2 2 2 3 2 2" xfId="28197" xr:uid="{A4CC36BE-2218-4F9E-87AE-B23715869E51}"/>
    <cellStyle name="40% - Akzent6 2 2 2 2 2 3 3" xfId="28196" xr:uid="{96BD88BA-224D-47BE-AF55-0212C9A0E353}"/>
    <cellStyle name="40% - Akzent6 2 2 2 2 2 4" xfId="8761" xr:uid="{B92A038B-BFA8-4ECB-AF06-DFEFA692EFF6}"/>
    <cellStyle name="40% - Akzent6 2 2 2 2 2 4 2" xfId="8762" xr:uid="{08459FC8-7457-483D-9259-8B99895AB756}"/>
    <cellStyle name="40% - Akzent6 2 2 2 2 2 4 2 2" xfId="28199" xr:uid="{BFF150A5-4CC7-479C-85CE-44189D5F95C1}"/>
    <cellStyle name="40% - Akzent6 2 2 2 2 2 4 3" xfId="28198" xr:uid="{7182E569-4B89-4CB1-9D39-92EE906BD485}"/>
    <cellStyle name="40% - Akzent6 2 2 2 2 2 5" xfId="8763" xr:uid="{961C42B2-D2F8-4B13-B3F5-D9E43C13E92A}"/>
    <cellStyle name="40% - Akzent6 2 2 2 2 2 5 2" xfId="8764" xr:uid="{6CB7FE37-806A-4D28-AC89-967E6BB997E7}"/>
    <cellStyle name="40% - Akzent6 2 2 2 2 2 5 2 2" xfId="28201" xr:uid="{B046F905-40CF-45D4-8F93-C364C57A1CC9}"/>
    <cellStyle name="40% - Akzent6 2 2 2 2 2 5 3" xfId="28200" xr:uid="{182255C5-4937-450D-A41A-DF81097902A4}"/>
    <cellStyle name="40% - Akzent6 2 2 2 2 2 6" xfId="8765" xr:uid="{9FBE7EC0-58FB-43A5-9B29-84837C13FBC5}"/>
    <cellStyle name="40% - Akzent6 2 2 2 2 2 6 2" xfId="8766" xr:uid="{7EB73A6E-0AA2-4AA7-ADA7-E49CAB475C33}"/>
    <cellStyle name="40% - Akzent6 2 2 2 2 2 6 2 2" xfId="28203" xr:uid="{45FB7D54-93BE-4BFA-B87E-843470C531AC}"/>
    <cellStyle name="40% - Akzent6 2 2 2 2 2 6 3" xfId="28202" xr:uid="{4B4E7E25-F6D2-48AC-BA0F-F89E05927060}"/>
    <cellStyle name="40% - Akzent6 2 2 2 2 2 7" xfId="8767" xr:uid="{00A16D40-FC42-4310-8007-6496595B2768}"/>
    <cellStyle name="40% - Akzent6 2 2 2 2 2 7 2" xfId="8768" xr:uid="{7310327F-9A9F-4074-B8C2-302C4AAE26BC}"/>
    <cellStyle name="40% - Akzent6 2 2 2 2 2 7 2 2" xfId="28205" xr:uid="{0F037B1D-6C13-42E1-AEBA-4CD66B37E584}"/>
    <cellStyle name="40% - Akzent6 2 2 2 2 2 7 3" xfId="28204" xr:uid="{863B8CB1-623A-4D26-B682-54815478DF1F}"/>
    <cellStyle name="40% - Akzent6 2 2 2 2 2 8" xfId="8769" xr:uid="{15F64CF6-9F5F-447D-9B4C-7BFE619555EB}"/>
    <cellStyle name="40% - Akzent6 2 2 2 2 2 8 2" xfId="8770" xr:uid="{1D2F070A-A219-4DDA-8560-F38D6542BD4B}"/>
    <cellStyle name="40% - Akzent6 2 2 2 2 2 8 2 2" xfId="28207" xr:uid="{80AEFD70-2122-4B64-A6FA-789C74FBB901}"/>
    <cellStyle name="40% - Akzent6 2 2 2 2 2 8 3" xfId="28206" xr:uid="{9B08A8F3-4501-4B4B-B9D5-9227F66AFFA7}"/>
    <cellStyle name="40% - Akzent6 2 2 2 2 2 9" xfId="8771" xr:uid="{5BBAD65A-BD84-4E9D-8D58-3A1AAB91C16E}"/>
    <cellStyle name="40% - Akzent6 2 2 2 2 2 9 2" xfId="28208" xr:uid="{C0378149-1A89-45C1-B825-B4028A10045B}"/>
    <cellStyle name="40% - Akzent6 2 2 2 2 3" xfId="8772" xr:uid="{D2CC58FE-E042-4A94-B446-1030865D7F8C}"/>
    <cellStyle name="40% - Akzent6 2 2 2 2 3 2" xfId="8773" xr:uid="{F46F8FC5-5A8E-4B5C-9AD5-1987D6D7DE5C}"/>
    <cellStyle name="40% - Akzent6 2 2 2 2 3 2 2" xfId="28210" xr:uid="{7E9F8745-A26D-455F-B2C0-7F0AF8FEB503}"/>
    <cellStyle name="40% - Akzent6 2 2 2 2 3 3" xfId="8774" xr:uid="{A2B5D566-A4E8-4B7E-A895-52D39835632A}"/>
    <cellStyle name="40% - Akzent6 2 2 2 2 3 3 2" xfId="28211" xr:uid="{A9D9D87D-9167-4101-A41A-CD5A65CB5D23}"/>
    <cellStyle name="40% - Akzent6 2 2 2 2 3 4" xfId="28209" xr:uid="{F939B2E7-BA88-432C-B5D7-02691512B850}"/>
    <cellStyle name="40% - Akzent6 2 2 2 2 4" xfId="8775" xr:uid="{F8349B0A-4BD4-48FA-A97E-F2EE6AFB77EA}"/>
    <cellStyle name="40% - Akzent6 2 2 2 2 4 2" xfId="28212" xr:uid="{78A0D3F2-78C1-41CA-AB77-CDCA135873FF}"/>
    <cellStyle name="40% - Akzent6 2 2 2 2 5" xfId="8776" xr:uid="{2D928A65-25C6-45EF-BEE5-5F42FD33EBE8}"/>
    <cellStyle name="40% - Akzent6 2 2 2 2 5 2" xfId="28213" xr:uid="{A8EA7490-E29A-4D79-B28D-6C7424A83247}"/>
    <cellStyle name="40% - Akzent6 2 2 2 2 6" xfId="8777" xr:uid="{B29F0A4C-A41E-434B-B814-E7D84D997A4C}"/>
    <cellStyle name="40% - Akzent6 2 2 2 2 6 2" xfId="28214" xr:uid="{A19861A2-B571-44F9-949E-E3528CE8A1B3}"/>
    <cellStyle name="40% - Akzent6 2 2 2 2 7" xfId="8778" xr:uid="{D6C07D4A-20D9-4A15-BFE3-D77A220F1E6A}"/>
    <cellStyle name="40% - Akzent6 2 2 2 2 7 2" xfId="28215" xr:uid="{F576E310-A188-497E-9B86-B468E3661890}"/>
    <cellStyle name="40% - Akzent6 2 2 2 2 8" xfId="8779" xr:uid="{FA18703E-EEB2-4F37-ACD5-EE0BBEF9787D}"/>
    <cellStyle name="40% - Akzent6 2 2 2 2 8 2" xfId="28216" xr:uid="{AC3E0C0A-1123-477A-B728-BA75B3CAF3AC}"/>
    <cellStyle name="40% - Akzent6 2 2 2 2 9" xfId="28191" xr:uid="{85C3F7A2-0285-47AB-AB36-48F3D67730A3}"/>
    <cellStyle name="40% - Akzent6 2 2 2 3" xfId="8780" xr:uid="{761EBD2A-4C4A-430E-B996-01F515279FB3}"/>
    <cellStyle name="40% - Akzent6 2 2 2 3 2" xfId="8781" xr:uid="{648DF31E-37ED-4EA3-83B6-7FF006878882}"/>
    <cellStyle name="40% - Akzent6 2 2 2 3 2 2" xfId="28218" xr:uid="{A7841077-9675-4233-A5DA-E98D73816AE4}"/>
    <cellStyle name="40% - Akzent6 2 2 2 3 3" xfId="28217" xr:uid="{7C16939A-C9B4-4999-9463-EBE4B8549769}"/>
    <cellStyle name="40% - Akzent6 2 2 2 3 4" xfId="41773" xr:uid="{9E1F416A-CAFB-48E8-B92A-CE2AE8D5324F}"/>
    <cellStyle name="40% - Akzent6 2 2 2 4" xfId="8782" xr:uid="{FBEB1A7D-538D-435F-8C09-3EF790EBEAFB}"/>
    <cellStyle name="40% - Akzent6 2 2 2 4 2" xfId="8783" xr:uid="{201EB00D-19C1-430C-AFA0-C57E737EC568}"/>
    <cellStyle name="40% - Akzent6 2 2 2 4 2 2" xfId="28220" xr:uid="{7285F893-22B0-40CB-BAC9-2F77C330EC8E}"/>
    <cellStyle name="40% - Akzent6 2 2 2 4 3" xfId="28219" xr:uid="{6D319251-EF71-470B-B465-E9E87BC943F5}"/>
    <cellStyle name="40% - Akzent6 2 2 2 5" xfId="8784" xr:uid="{8326B6C6-5254-41DF-854E-FDC8147F24E4}"/>
    <cellStyle name="40% - Akzent6 2 2 2 5 2" xfId="8785" xr:uid="{0156DBDA-627C-4661-BA80-E49A08A9EB50}"/>
    <cellStyle name="40% - Akzent6 2 2 2 5 2 2" xfId="8786" xr:uid="{7663002E-2EB3-42BD-8283-7BC7E9ADE4C4}"/>
    <cellStyle name="40% - Akzent6 2 2 2 5 2 2 2" xfId="28223" xr:uid="{D203C348-5539-40DB-9291-C2D22BA481A5}"/>
    <cellStyle name="40% - Akzent6 2 2 2 5 2 3" xfId="28222" xr:uid="{784FD392-2615-4C62-B49A-247C97F213CF}"/>
    <cellStyle name="40% - Akzent6 2 2 2 5 3" xfId="28221" xr:uid="{BA118952-8078-403C-B986-B8B73CBCB720}"/>
    <cellStyle name="40% - Akzent6 2 2 2 6" xfId="8787" xr:uid="{20C7DFA9-8417-44A2-8B0F-55E4C5A3C8B0}"/>
    <cellStyle name="40% - Akzent6 2 2 2 6 2" xfId="8788" xr:uid="{7B7ABAA9-D5AB-40DB-A474-6E399B43983A}"/>
    <cellStyle name="40% - Akzent6 2 2 2 6 2 2" xfId="28225" xr:uid="{FC1BF478-8BD1-4642-9431-2B52A0017F55}"/>
    <cellStyle name="40% - Akzent6 2 2 2 6 3" xfId="28224" xr:uid="{6655A176-504A-422A-9464-307D3D41F50C}"/>
    <cellStyle name="40% - Akzent6 2 2 2 7" xfId="8789" xr:uid="{4B6FDA96-3983-45FF-B4B8-ACEB3F2BEE1E}"/>
    <cellStyle name="40% - Akzent6 2 2 2 7 2" xfId="8790" xr:uid="{68B7551C-153B-4BB3-860A-D43C92754EDB}"/>
    <cellStyle name="40% - Akzent6 2 2 2 7 2 2" xfId="28227" xr:uid="{AE778253-1902-4302-A1E2-122D4E5F2EFA}"/>
    <cellStyle name="40% - Akzent6 2 2 2 7 3" xfId="28226" xr:uid="{581C565D-1164-4BD1-A87D-A03F443C041A}"/>
    <cellStyle name="40% - Akzent6 2 2 2 8" xfId="8791" xr:uid="{B3972656-3D64-4D9D-8025-69BFB934F9D9}"/>
    <cellStyle name="40% - Akzent6 2 2 2 8 2" xfId="8792" xr:uid="{55B139DC-BA4E-4BAE-9DE6-E53126229400}"/>
    <cellStyle name="40% - Akzent6 2 2 2 8 2 2" xfId="28229" xr:uid="{717C524F-59E7-4316-8FA6-5C30620B1143}"/>
    <cellStyle name="40% - Akzent6 2 2 2 8 3" xfId="28228" xr:uid="{1A639F96-BEE8-4A6F-97AA-37C4D0CCC29E}"/>
    <cellStyle name="40% - Akzent6 2 2 2 9" xfId="8793" xr:uid="{B5BCCDB8-31B1-425E-B49E-4C3A106AB00C}"/>
    <cellStyle name="40% - Akzent6 2 2 2 9 2" xfId="8794" xr:uid="{1D04134A-3966-4FB9-BD8D-0C443658A72E}"/>
    <cellStyle name="40% - Akzent6 2 2 2 9 2 2" xfId="28231" xr:uid="{20D97B84-1C6B-406A-BDC3-EF0E4E78A50A}"/>
    <cellStyle name="40% - Akzent6 2 2 2 9 3" xfId="28230" xr:uid="{A9BB1EA0-3713-44C2-A252-3B41C7F444A7}"/>
    <cellStyle name="40% - Akzent6 2 2 20" xfId="8795" xr:uid="{F5F0BAE8-2047-407F-A045-FDD58D21D5D6}"/>
    <cellStyle name="40% - Akzent6 2 2 20 2" xfId="8796" xr:uid="{22A2AE91-DF0B-49E1-BC1B-F66C88A1C618}"/>
    <cellStyle name="40% - Akzent6 2 2 20 2 2" xfId="28233" xr:uid="{DD3CBFCC-BFFA-4AF8-A311-A205D392F049}"/>
    <cellStyle name="40% - Akzent6 2 2 20 3" xfId="28232" xr:uid="{F9D6C2D7-BC8B-47F3-9FB6-AA2C8AA2042B}"/>
    <cellStyle name="40% - Akzent6 2 2 21" xfId="8797" xr:uid="{97E12597-3F1A-49B3-8898-44C2B2D8C783}"/>
    <cellStyle name="40% - Akzent6 2 2 21 2" xfId="8798" xr:uid="{D0F8955B-E350-42FD-BCCA-3C481F83A24F}"/>
    <cellStyle name="40% - Akzent6 2 2 21 2 2" xfId="28235" xr:uid="{264E3EF9-CE21-4776-A83D-140F1DD3CA79}"/>
    <cellStyle name="40% - Akzent6 2 2 21 3" xfId="28234" xr:uid="{1A760A9E-2579-4FF4-9DDD-28FA6DEE4E00}"/>
    <cellStyle name="40% - Akzent6 2 2 22" xfId="8799" xr:uid="{3DDDF2C0-7A3C-429D-B49C-641CDB2A1A54}"/>
    <cellStyle name="40% - Akzent6 2 2 22 2" xfId="28236" xr:uid="{6161D6CE-9CD8-4187-94F9-B52BFB4E7DCE}"/>
    <cellStyle name="40% - Akzent6 2 2 23" xfId="28169" xr:uid="{FB96DB65-93B0-46F5-8D2A-DE75B267DEFE}"/>
    <cellStyle name="40% - Akzent6 2 2 24" xfId="39333" xr:uid="{99E99667-D68D-4EA9-A07B-D56FA29CBE7A}"/>
    <cellStyle name="40% - Akzent6 2 2 3" xfId="8800" xr:uid="{4BCBDE04-8232-4BA0-B46C-88BCE4D1BCF5}"/>
    <cellStyle name="40% - Akzent6 2 2 3 2" xfId="8801" xr:uid="{4D17B53E-4C14-4238-B0D3-AFEFEC0FEDFC}"/>
    <cellStyle name="40% - Akzent6 2 2 3 2 2" xfId="28238" xr:uid="{F1719FAB-F2E9-49FE-A513-35469D8B9A2C}"/>
    <cellStyle name="40% - Akzent6 2 2 3 3" xfId="28237" xr:uid="{CCF90223-B10B-4C06-895C-DBDD78DFD4E6}"/>
    <cellStyle name="40% - Akzent6 2 2 3 4" xfId="40475" xr:uid="{EC4716D2-E466-4BCE-B9A9-F26C7802A61A}"/>
    <cellStyle name="40% - Akzent6 2 2 4" xfId="8802" xr:uid="{551CDB35-736A-4605-B017-E4C51A3884A2}"/>
    <cellStyle name="40% - Akzent6 2 2 4 2" xfId="8803" xr:uid="{EFB6762F-AB70-4000-BD38-1C8B141A8EFD}"/>
    <cellStyle name="40% - Akzent6 2 2 4 2 2" xfId="28240" xr:uid="{A61F4AB5-8B50-4936-9FAE-6D10B51C434E}"/>
    <cellStyle name="40% - Akzent6 2 2 4 3" xfId="28239" xr:uid="{6784D94C-BF96-426C-9451-60C6D7D2C82E}"/>
    <cellStyle name="40% - Akzent6 2 2 4 4" xfId="41335" xr:uid="{D88D60E2-A6CB-40CF-880C-41948A46781E}"/>
    <cellStyle name="40% - Akzent6 2 2 5" xfId="8804" xr:uid="{9B8BA966-3E05-444E-8D01-9FF9A04939D3}"/>
    <cellStyle name="40% - Akzent6 2 2 5 2" xfId="8805" xr:uid="{96B1D805-A778-4CBC-8323-277CE34FC88E}"/>
    <cellStyle name="40% - Akzent6 2 2 5 2 2" xfId="28242" xr:uid="{93CBE6F7-8DEA-4F5F-B9C0-79F6CCB213EB}"/>
    <cellStyle name="40% - Akzent6 2 2 5 3" xfId="8806" xr:uid="{6AFA507F-DC7B-45CB-8B1A-FE3EFB873898}"/>
    <cellStyle name="40% - Akzent6 2 2 5 3 2" xfId="28243" xr:uid="{6CE3B02F-039D-4B78-AAAD-B483670D1A95}"/>
    <cellStyle name="40% - Akzent6 2 2 5 4" xfId="28241" xr:uid="{5B2D6C3A-67C6-482B-8381-EB945FC10FC1}"/>
    <cellStyle name="40% - Akzent6 2 2 6" xfId="8807" xr:uid="{B264B580-A5B3-4943-BCAD-C8539835210F}"/>
    <cellStyle name="40% - Akzent6 2 2 6 2" xfId="28244" xr:uid="{18F856D5-D78A-4491-8679-8510061C5DF7}"/>
    <cellStyle name="40% - Akzent6 2 2 7" xfId="8808" xr:uid="{56190605-2FCC-4963-B666-42634B37A35D}"/>
    <cellStyle name="40% - Akzent6 2 2 7 2" xfId="8809" xr:uid="{5B6B810E-97B7-4DC6-9DAC-BD184647A66A}"/>
    <cellStyle name="40% - Akzent6 2 2 7 2 2" xfId="28246" xr:uid="{83BEFE0A-4633-4FB7-80D9-1FBB1E0331CE}"/>
    <cellStyle name="40% - Akzent6 2 2 7 3" xfId="8810" xr:uid="{8856588E-E561-49C8-BE94-F50E1BE51670}"/>
    <cellStyle name="40% - Akzent6 2 2 7 3 2" xfId="28247" xr:uid="{99E7B5F3-B5CC-4AB7-A201-F2D4E643A343}"/>
    <cellStyle name="40% - Akzent6 2 2 7 4" xfId="28245" xr:uid="{8223C631-1A0C-4E4E-B662-EA4B8C5BDDF5}"/>
    <cellStyle name="40% - Akzent6 2 2 8" xfId="8811" xr:uid="{AFCF1C52-E100-4A77-B334-8434DC8262BB}"/>
    <cellStyle name="40% - Akzent6 2 2 8 2" xfId="28248" xr:uid="{A4BEF24F-E1C5-4053-9EC3-259162A9CED9}"/>
    <cellStyle name="40% - Akzent6 2 2 9" xfId="8812" xr:uid="{86B41D0F-8DEF-488A-9CA3-373D95C42E9D}"/>
    <cellStyle name="40% - Akzent6 2 2 9 2" xfId="28249" xr:uid="{A70DD792-3149-4105-9092-6DE04B4EE163}"/>
    <cellStyle name="40% - Akzent6 2 20" xfId="8813" xr:uid="{3B91E5CB-FEDC-4202-997E-0D2A8D916299}"/>
    <cellStyle name="40% - Akzent6 2 20 2" xfId="8814" xr:uid="{F98B6000-3805-43D5-B7D5-0898ABCC1C8E}"/>
    <cellStyle name="40% - Akzent6 2 20 2 2" xfId="28251" xr:uid="{45AF1560-8E8D-4EBD-A179-0FEF6660D5DE}"/>
    <cellStyle name="40% - Akzent6 2 20 3" xfId="28250" xr:uid="{05956D91-E0E8-4A4F-885A-69809B44638D}"/>
    <cellStyle name="40% - Akzent6 2 21" xfId="8815" xr:uid="{A9F2B15D-9998-4B29-8807-E825A51D07D7}"/>
    <cellStyle name="40% - Akzent6 2 21 2" xfId="8816" xr:uid="{86C14506-81C1-415B-9E75-7D6B5631579E}"/>
    <cellStyle name="40% - Akzent6 2 21 2 2" xfId="28253" xr:uid="{96C90BBC-B890-4963-A3FD-703D82B963D0}"/>
    <cellStyle name="40% - Akzent6 2 21 3" xfId="28252" xr:uid="{6B3CC821-3231-4B15-9299-504789FDD22C}"/>
    <cellStyle name="40% - Akzent6 2 22" xfId="8817" xr:uid="{D87C3D33-A198-4F14-9DF0-C7836CFA9407}"/>
    <cellStyle name="40% - Akzent6 2 22 2" xfId="8818" xr:uid="{B81E9D8F-EA66-45C7-908E-E3F36B63DCBE}"/>
    <cellStyle name="40% - Akzent6 2 22 2 2" xfId="28255" xr:uid="{9ABB2215-1544-4B7F-970E-F60A381194E0}"/>
    <cellStyle name="40% - Akzent6 2 22 3" xfId="28254" xr:uid="{A029C137-41F1-406F-8A1B-1A88BF396ED5}"/>
    <cellStyle name="40% - Akzent6 2 23" xfId="8819" xr:uid="{89EFFEF4-05DF-491F-B090-44DD48C5BCE1}"/>
    <cellStyle name="40% - Akzent6 2 23 2" xfId="8820" xr:uid="{865E271C-F378-4B88-8EB2-6C5349B69AD1}"/>
    <cellStyle name="40% - Akzent6 2 23 2 2" xfId="28257" xr:uid="{782BC1A8-EB8F-4817-AB88-EA69700F63C6}"/>
    <cellStyle name="40% - Akzent6 2 23 3" xfId="28256" xr:uid="{A469C550-86C2-49CC-8702-6581EE01ED46}"/>
    <cellStyle name="40% - Akzent6 2 24" xfId="8821" xr:uid="{0FE16478-5A0E-469D-9AA1-F1E6AE4CD986}"/>
    <cellStyle name="40% - Akzent6 2 24 2" xfId="28258" xr:uid="{AE35154C-9DA6-4EA7-BE6A-01BD131CAAA9}"/>
    <cellStyle name="40% - Akzent6 2 25" xfId="28148" xr:uid="{C3187771-1973-415B-B48C-E775B41F890D}"/>
    <cellStyle name="40% - Akzent6 2 26" xfId="39332" xr:uid="{526417DD-E0B4-459F-9597-1EA3348F04DD}"/>
    <cellStyle name="40% - Akzent6 2 27" xfId="8711" xr:uid="{D453CC5A-4E72-49E8-981F-FA2BBD9F0640}"/>
    <cellStyle name="40% - Akzent6 2 3" xfId="8822" xr:uid="{28AB265E-CC87-4F53-AC04-A83F97D09D1A}"/>
    <cellStyle name="40% - Akzent6 2 3 10" xfId="8823" xr:uid="{2A475CF5-512D-4742-9A87-EF2382EA1679}"/>
    <cellStyle name="40% - Akzent6 2 3 10 2" xfId="8824" xr:uid="{9BC0BAD8-0472-4DFF-AC15-9FAC55927269}"/>
    <cellStyle name="40% - Akzent6 2 3 10 2 2" xfId="28261" xr:uid="{F654D9A4-8BCD-4CB7-859D-B099275824AD}"/>
    <cellStyle name="40% - Akzent6 2 3 10 3" xfId="28260" xr:uid="{03E1B5A4-325F-47EF-A0A9-725C0CEB3256}"/>
    <cellStyle name="40% - Akzent6 2 3 11" xfId="8825" xr:uid="{F07471C6-72E1-4D69-9D9F-C2625B3D3209}"/>
    <cellStyle name="40% - Akzent6 2 3 11 2" xfId="8826" xr:uid="{CEE0CCF9-0BCE-4DEF-AC5C-DCC42C321697}"/>
    <cellStyle name="40% - Akzent6 2 3 11 2 2" xfId="28263" xr:uid="{78589F58-60D8-4B52-8F14-2100D14A163E}"/>
    <cellStyle name="40% - Akzent6 2 3 11 3" xfId="28262" xr:uid="{3E93E672-F1CA-4BDF-95EE-EFBB4C1B06A4}"/>
    <cellStyle name="40% - Akzent6 2 3 12" xfId="8827" xr:uid="{04CE4BCF-E4BE-4A18-9D0C-B6750CFAD456}"/>
    <cellStyle name="40% - Akzent6 2 3 12 2" xfId="8828" xr:uid="{D5B05000-EDF5-442F-B2D0-2E3779CB62F7}"/>
    <cellStyle name="40% - Akzent6 2 3 12 2 2" xfId="28265" xr:uid="{A3B323BA-BD74-4D86-BDFD-0A156DB5A706}"/>
    <cellStyle name="40% - Akzent6 2 3 12 3" xfId="28264" xr:uid="{D907A9C5-6892-41AB-AF0C-7A27B6C1C2E1}"/>
    <cellStyle name="40% - Akzent6 2 3 13" xfId="8829" xr:uid="{1E03F787-A644-4CE8-A45C-1313945CCC27}"/>
    <cellStyle name="40% - Akzent6 2 3 13 2" xfId="8830" xr:uid="{12B77BB1-29A6-462B-AFED-59C91D8912E2}"/>
    <cellStyle name="40% - Akzent6 2 3 13 2 2" xfId="28267" xr:uid="{C28434C0-14BB-47EC-8F39-3AC23D382A9C}"/>
    <cellStyle name="40% - Akzent6 2 3 13 3" xfId="28266" xr:uid="{8F4F8B85-0718-439C-8B8E-9E08691B0E1F}"/>
    <cellStyle name="40% - Akzent6 2 3 14" xfId="8831" xr:uid="{D85F112F-A54E-4856-A7B4-42FE7E15E399}"/>
    <cellStyle name="40% - Akzent6 2 3 14 2" xfId="8832" xr:uid="{D88A41F1-BA6F-4336-A4D7-5A266207E28B}"/>
    <cellStyle name="40% - Akzent6 2 3 14 2 2" xfId="28269" xr:uid="{F0D5EEA0-F06E-4166-A086-823BB4CA1D7A}"/>
    <cellStyle name="40% - Akzent6 2 3 14 3" xfId="28268" xr:uid="{7B8EC996-206A-4382-9EA9-7343FA657759}"/>
    <cellStyle name="40% - Akzent6 2 3 15" xfId="8833" xr:uid="{54663A41-7FAF-4850-9E67-BFF750064700}"/>
    <cellStyle name="40% - Akzent6 2 3 15 2" xfId="8834" xr:uid="{4B875121-041D-4BE8-A6BA-90D252FEBC3A}"/>
    <cellStyle name="40% - Akzent6 2 3 15 2 2" xfId="28271" xr:uid="{1A3C9E78-031A-4D30-94AB-A9F45EADE001}"/>
    <cellStyle name="40% - Akzent6 2 3 15 3" xfId="28270" xr:uid="{42D9BCD2-64F8-4552-95D4-C5A32E3C3393}"/>
    <cellStyle name="40% - Akzent6 2 3 16" xfId="8835" xr:uid="{17D3F23F-0B0B-4472-A29C-3E392E568B41}"/>
    <cellStyle name="40% - Akzent6 2 3 16 2" xfId="8836" xr:uid="{B50FCC96-5CD1-4E18-9E05-23F78ADCA88F}"/>
    <cellStyle name="40% - Akzent6 2 3 16 2 2" xfId="28273" xr:uid="{77B71C0C-E8AF-4329-BE98-504BC637F365}"/>
    <cellStyle name="40% - Akzent6 2 3 16 3" xfId="28272" xr:uid="{AC35337F-DCF2-43B2-9F23-5459A517D6E0}"/>
    <cellStyle name="40% - Akzent6 2 3 17" xfId="8837" xr:uid="{DE07AB86-9DF1-4688-AB58-D60ED7030A49}"/>
    <cellStyle name="40% - Akzent6 2 3 17 2" xfId="8838" xr:uid="{6516C94C-B17E-4E0A-A8C1-2381CFFB4EB9}"/>
    <cellStyle name="40% - Akzent6 2 3 17 2 2" xfId="28275" xr:uid="{0A608450-D759-41B1-A449-FC6435EBE777}"/>
    <cellStyle name="40% - Akzent6 2 3 17 3" xfId="28274" xr:uid="{CDA39AAA-8235-48D8-B374-3E0DD204DA2B}"/>
    <cellStyle name="40% - Akzent6 2 3 18" xfId="8839" xr:uid="{82A54412-44DB-4721-B8CB-C072D3B68D3D}"/>
    <cellStyle name="40% - Akzent6 2 3 18 2" xfId="8840" xr:uid="{22D146A8-1213-4EFE-A622-37BCD5EAF302}"/>
    <cellStyle name="40% - Akzent6 2 3 18 2 2" xfId="28277" xr:uid="{8138351C-B975-4861-B182-6604AE5D69BA}"/>
    <cellStyle name="40% - Akzent6 2 3 18 3" xfId="28276" xr:uid="{B816F3C8-0C0D-44D4-BB64-A6BE89EB163A}"/>
    <cellStyle name="40% - Akzent6 2 3 19" xfId="8841" xr:uid="{81B5842B-9BD5-436A-BB4A-DF34BA3A9BE2}"/>
    <cellStyle name="40% - Akzent6 2 3 19 2" xfId="8842" xr:uid="{ABAED401-0DEC-4D38-A4EF-4010F6221E47}"/>
    <cellStyle name="40% - Akzent6 2 3 19 2 2" xfId="28279" xr:uid="{CBD5F520-CD6B-476A-97DB-224EAFDA8635}"/>
    <cellStyle name="40% - Akzent6 2 3 19 3" xfId="28278" xr:uid="{53A80AFF-39A0-44D4-A85E-105724D91A45}"/>
    <cellStyle name="40% - Akzent6 2 3 2" xfId="8843" xr:uid="{A2127BD5-E24B-4536-BE37-37850BA62B92}"/>
    <cellStyle name="40% - Akzent6 2 3 2 2" xfId="8844" xr:uid="{2CA69C82-9790-493A-AF32-04CFA46201FC}"/>
    <cellStyle name="40% - Akzent6 2 3 2 2 2" xfId="28281" xr:uid="{F869066C-C467-4CD0-8170-ACCA0F36A985}"/>
    <cellStyle name="40% - Akzent6 2 3 2 3" xfId="28280" xr:uid="{DE464AA7-496F-4BA2-A129-2F40092ECE7F}"/>
    <cellStyle name="40% - Akzent6 2 3 2 4" xfId="40912" xr:uid="{BC1DEDCA-6763-40BC-87A0-D4AC1C77EFB9}"/>
    <cellStyle name="40% - Akzent6 2 3 20" xfId="8845" xr:uid="{92124F1F-B2D3-4D0C-A46E-99DBE0C4B4D8}"/>
    <cellStyle name="40% - Akzent6 2 3 20 2" xfId="8846" xr:uid="{508E1080-84D4-42B2-8CE2-2FCC66F6E309}"/>
    <cellStyle name="40% - Akzent6 2 3 20 2 2" xfId="28283" xr:uid="{2836023A-C3FC-4C43-909F-D133AB1D7270}"/>
    <cellStyle name="40% - Akzent6 2 3 20 3" xfId="28282" xr:uid="{7D087C48-81AA-44DA-A651-B0E9214847AA}"/>
    <cellStyle name="40% - Akzent6 2 3 21" xfId="8847" xr:uid="{71054290-6A92-4A82-960C-76E0F758ADF1}"/>
    <cellStyle name="40% - Akzent6 2 3 21 2" xfId="8848" xr:uid="{8608DA78-31E2-4ED1-A75A-8DDA67FACED6}"/>
    <cellStyle name="40% - Akzent6 2 3 21 2 2" xfId="28285" xr:uid="{33A48CAC-B19F-43FC-A45B-7E0A34ABF0E0}"/>
    <cellStyle name="40% - Akzent6 2 3 21 3" xfId="28284" xr:uid="{3B645D5D-AE55-4F05-8A54-57DAE9EF65F7}"/>
    <cellStyle name="40% - Akzent6 2 3 22" xfId="8849" xr:uid="{0E617785-B9EA-4841-9F4D-6CC9F390438A}"/>
    <cellStyle name="40% - Akzent6 2 3 22 2" xfId="28286" xr:uid="{5909F2A4-2C17-438B-B90A-240356C8F965}"/>
    <cellStyle name="40% - Akzent6 2 3 23" xfId="28259" xr:uid="{C70593D4-8248-4B36-A610-F4475B1136C5}"/>
    <cellStyle name="40% - Akzent6 2 3 24" xfId="39966" xr:uid="{0EA12815-2353-45C4-824D-13F294C83FDA}"/>
    <cellStyle name="40% - Akzent6 2 3 3" xfId="8850" xr:uid="{01CC9D04-1E29-4CEF-927A-83810D515E6C}"/>
    <cellStyle name="40% - Akzent6 2 3 3 2" xfId="8851" xr:uid="{7CB4F6A1-F6E0-4DAF-BB44-8CDF075E7080}"/>
    <cellStyle name="40% - Akzent6 2 3 3 2 2" xfId="28288" xr:uid="{15670682-968A-4B05-B176-C187C78D8DFE}"/>
    <cellStyle name="40% - Akzent6 2 3 3 3" xfId="28287" xr:uid="{56C3841F-1D1B-49C2-82DF-13DDC00937CA}"/>
    <cellStyle name="40% - Akzent6 2 3 3 4" xfId="41772" xr:uid="{FBF5EAA7-EF97-4A62-962C-5BCAFB642656}"/>
    <cellStyle name="40% - Akzent6 2 3 4" xfId="8852" xr:uid="{C4D4B41C-DD2F-4A89-9A12-236B87430EF8}"/>
    <cellStyle name="40% - Akzent6 2 3 4 2" xfId="8853" xr:uid="{F04BA9F7-BF85-4FCF-AF2F-658204F39633}"/>
    <cellStyle name="40% - Akzent6 2 3 4 2 2" xfId="28290" xr:uid="{7E4ABECE-2048-4A31-9358-E12F7E511BC1}"/>
    <cellStyle name="40% - Akzent6 2 3 4 3" xfId="28289" xr:uid="{D3075E57-6251-4BC8-9E5D-393DF143B3EF}"/>
    <cellStyle name="40% - Akzent6 2 3 5" xfId="8854" xr:uid="{105453C0-79AC-43A5-B0B8-D12A562842FC}"/>
    <cellStyle name="40% - Akzent6 2 3 5 2" xfId="8855" xr:uid="{F6A0BD65-BDF0-41E8-A4B1-75E6BCC00028}"/>
    <cellStyle name="40% - Akzent6 2 3 5 2 2" xfId="28292" xr:uid="{0362ED4E-3CCD-4949-8C6D-5EDDBF9A1301}"/>
    <cellStyle name="40% - Akzent6 2 3 5 3" xfId="28291" xr:uid="{E04CB7AD-11C9-446B-A7C8-C68FCF137CCA}"/>
    <cellStyle name="40% - Akzent6 2 3 6" xfId="8856" xr:uid="{F1FA1742-0171-4957-A767-0BD8494E7B59}"/>
    <cellStyle name="40% - Akzent6 2 3 6 2" xfId="8857" xr:uid="{42C9D81A-1A4A-4DC6-BD90-41DFF368B7DD}"/>
    <cellStyle name="40% - Akzent6 2 3 6 2 2" xfId="28294" xr:uid="{90F8C42E-5D1D-4B6C-886C-7E932AF37BC1}"/>
    <cellStyle name="40% - Akzent6 2 3 6 3" xfId="28293" xr:uid="{68252489-B36E-43D4-8A2C-0E913244B02D}"/>
    <cellStyle name="40% - Akzent6 2 3 7" xfId="8858" xr:uid="{DA5C01CE-D2D0-470E-9F24-FDC79415D603}"/>
    <cellStyle name="40% - Akzent6 2 3 7 2" xfId="8859" xr:uid="{B3A45253-19A6-4750-B49B-320E8D001D89}"/>
    <cellStyle name="40% - Akzent6 2 3 7 2 2" xfId="28296" xr:uid="{29AABD15-71CB-457F-A526-4A32AC6AF060}"/>
    <cellStyle name="40% - Akzent6 2 3 7 3" xfId="28295" xr:uid="{51D53822-B1C0-4E24-80D1-FDC9840EF9C9}"/>
    <cellStyle name="40% - Akzent6 2 3 8" xfId="8860" xr:uid="{D636D05C-FB86-476F-BE7D-9820D5637E98}"/>
    <cellStyle name="40% - Akzent6 2 3 8 2" xfId="8861" xr:uid="{D726F298-5CF9-4651-84EF-D1D71B01F035}"/>
    <cellStyle name="40% - Akzent6 2 3 8 2 2" xfId="28298" xr:uid="{10F16080-AB3A-418F-B649-46A6F798F44B}"/>
    <cellStyle name="40% - Akzent6 2 3 8 3" xfId="28297" xr:uid="{5F4E3367-153B-4521-8FCC-E554601790A7}"/>
    <cellStyle name="40% - Akzent6 2 3 9" xfId="8862" xr:uid="{81DB9257-B92D-4417-96B9-1F66AAC9167F}"/>
    <cellStyle name="40% - Akzent6 2 3 9 2" xfId="8863" xr:uid="{FB8D4D74-8006-4182-A16D-04F4694447E6}"/>
    <cellStyle name="40% - Akzent6 2 3 9 2 2" xfId="28300" xr:uid="{DC0E1E37-744D-492A-A8A6-AAA8DEED29A6}"/>
    <cellStyle name="40% - Akzent6 2 3 9 3" xfId="28299" xr:uid="{920A4E57-6051-4FFF-B5D6-241B57D01937}"/>
    <cellStyle name="40% - Akzent6 2 4" xfId="8864" xr:uid="{CCAC89A1-8C8B-41E3-89BD-A642C540E729}"/>
    <cellStyle name="40% - Akzent6 2 4 2" xfId="8865" xr:uid="{25E04BE4-BCEB-4F69-A760-E692F374BC71}"/>
    <cellStyle name="40% - Akzent6 2 4 2 2" xfId="8866" xr:uid="{BF10A8DE-54D3-4FE3-A379-79EFA3B3F7BC}"/>
    <cellStyle name="40% - Akzent6 2 4 2 2 2" xfId="28303" xr:uid="{FEC6CCF1-5484-42EB-9BE0-81EA93C2005F}"/>
    <cellStyle name="40% - Akzent6 2 4 2 3" xfId="8867" xr:uid="{A5F09633-904C-4437-81B4-C1FEA9F9D687}"/>
    <cellStyle name="40% - Akzent6 2 4 2 3 2" xfId="28304" xr:uid="{883B715E-4498-4076-97E9-7C60E17D61DF}"/>
    <cellStyle name="40% - Akzent6 2 4 2 4" xfId="28302" xr:uid="{1071D2BE-27A6-4133-948A-49EC42247E3F}"/>
    <cellStyle name="40% - Akzent6 2 4 3" xfId="8868" xr:uid="{FA8FBAF7-0ADD-4E40-9397-51073BCD34CB}"/>
    <cellStyle name="40% - Akzent6 2 4 3 2" xfId="28305" xr:uid="{B8AC5D90-49A4-4FBC-AF02-C42F1B0EC078}"/>
    <cellStyle name="40% - Akzent6 2 4 4" xfId="8869" xr:uid="{C31817F3-00B4-4569-B98C-9A04688C8999}"/>
    <cellStyle name="40% - Akzent6 2 4 4 2" xfId="28306" xr:uid="{A203DDF3-0D5B-481B-A8BE-E5A8701ACB7D}"/>
    <cellStyle name="40% - Akzent6 2 4 5" xfId="28301" xr:uid="{180D21C4-89F2-46D5-87BF-BA3EF5E86A17}"/>
    <cellStyle name="40% - Akzent6 2 4 6" xfId="40474" xr:uid="{C2DED3F2-4FC3-4B8C-A8C2-934EB18718C6}"/>
    <cellStyle name="40% - Akzent6 2 5" xfId="8870" xr:uid="{28755E2E-6716-42B4-8D0C-455115A8455A}"/>
    <cellStyle name="40% - Akzent6 2 5 2" xfId="28307" xr:uid="{1BD0EA95-5CCC-48C8-BCF1-91799737B6F5}"/>
    <cellStyle name="40% - Akzent6 2 5 3" xfId="41334" xr:uid="{65E1BAE1-98DC-4D22-84FD-5C62539EDBBB}"/>
    <cellStyle name="40% - Akzent6 2 6" xfId="8871" xr:uid="{814B9A91-1E7F-42F8-A2F4-6E5D0A0EB02A}"/>
    <cellStyle name="40% - Akzent6 2 6 2" xfId="8872" xr:uid="{6C58BD35-94A2-4AB7-82B8-68CE17377272}"/>
    <cellStyle name="40% - Akzent6 2 6 2 2" xfId="8873" xr:uid="{80539A5D-1616-43AD-A83D-92878B1C6BB3}"/>
    <cellStyle name="40% - Akzent6 2 6 2 2 2" xfId="28310" xr:uid="{3175B420-E050-45D3-BD0D-76EB31A142B5}"/>
    <cellStyle name="40% - Akzent6 2 6 2 3" xfId="28309" xr:uid="{A084D6D7-715E-45B6-A837-B83EFEDCA890}"/>
    <cellStyle name="40% - Akzent6 2 6 3" xfId="28308" xr:uid="{16306DBF-4653-49FB-9F0A-29CBEEBAEB04}"/>
    <cellStyle name="40% - Akzent6 2 7" xfId="8874" xr:uid="{31D56D4E-74E6-4FFF-BD3E-41D0E714420E}"/>
    <cellStyle name="40% - Akzent6 2 7 2" xfId="8875" xr:uid="{3AE1B47E-8998-4C88-9DBC-281E22125D59}"/>
    <cellStyle name="40% - Akzent6 2 7 2 2" xfId="28312" xr:uid="{6D17E425-E9E8-4F02-AAE0-DA1587FE80D4}"/>
    <cellStyle name="40% - Akzent6 2 7 3" xfId="28311" xr:uid="{0EFC275B-0962-41C7-8E12-4D15DD0606E5}"/>
    <cellStyle name="40% - Akzent6 2 8" xfId="8876" xr:uid="{8FD92E72-8DD5-464D-B3B4-5BA9A070B66D}"/>
    <cellStyle name="40% - Akzent6 2 8 2" xfId="8877" xr:uid="{ABDB7DE9-2984-4683-B429-55C42AE77248}"/>
    <cellStyle name="40% - Akzent6 2 8 2 2" xfId="8878" xr:uid="{0ED623A9-AFC2-4420-992A-34D61F1CCFDB}"/>
    <cellStyle name="40% - Akzent6 2 8 2 2 2" xfId="28315" xr:uid="{54CC2084-7C79-4040-8650-53E31A68614E}"/>
    <cellStyle name="40% - Akzent6 2 8 2 3" xfId="28314" xr:uid="{2FD2B754-E1C3-49B3-8AE8-25D24C2296DF}"/>
    <cellStyle name="40% - Akzent6 2 8 3" xfId="28313" xr:uid="{8D758F95-460E-4A7A-ACC7-AB246FFD0B1C}"/>
    <cellStyle name="40% - Akzent6 2 9" xfId="8879" xr:uid="{A28B0F6B-48E6-4C28-A8D6-FE1151C2F4F5}"/>
    <cellStyle name="40% - Akzent6 2 9 2" xfId="8880" xr:uid="{B3A79890-A3E2-4931-BE61-6019C4D278B0}"/>
    <cellStyle name="40% - Akzent6 2 9 2 2" xfId="28317" xr:uid="{40C7675E-EFF8-46ED-8FC8-875D4D30C923}"/>
    <cellStyle name="40% - Akzent6 2 9 3" xfId="28316" xr:uid="{B7177B8A-BA61-4E1B-A577-DFDB82479EC0}"/>
    <cellStyle name="40% - Akzent6 20" xfId="8881" xr:uid="{5ABB94D3-413C-40F6-A04E-5C343D8C196C}"/>
    <cellStyle name="40% - Akzent6 20 2" xfId="8882" xr:uid="{96B41EF0-0907-4755-9E55-D305F3BCEAA4}"/>
    <cellStyle name="40% - Akzent6 20 2 2" xfId="28319" xr:uid="{AD37E33C-FCB5-4326-A2C2-4F9554D13871}"/>
    <cellStyle name="40% - Akzent6 20 3" xfId="8883" xr:uid="{B2D7D346-1485-49EE-8BE0-6517CAB350ED}"/>
    <cellStyle name="40% - Akzent6 20 3 2" xfId="28320" xr:uid="{8EE69F14-972E-4824-B9DB-DDFD02888327}"/>
    <cellStyle name="40% - Akzent6 20 4" xfId="28318" xr:uid="{F686375A-E830-4E7A-89A6-28FF0CC07C21}"/>
    <cellStyle name="40% - Akzent6 21" xfId="8884" xr:uid="{BB190330-9708-45D1-8B88-FF302A7014DF}"/>
    <cellStyle name="40% - Akzent6 21 2" xfId="8885" xr:uid="{27AA21CC-F950-485E-9417-9FB5340AC418}"/>
    <cellStyle name="40% - Akzent6 21 2 2" xfId="28322" xr:uid="{4726E370-61A0-4578-9CFC-E1BBF39C550A}"/>
    <cellStyle name="40% - Akzent6 21 3" xfId="8886" xr:uid="{58CA8739-EFCE-420D-968C-DCBF92BF9428}"/>
    <cellStyle name="40% - Akzent6 21 3 2" xfId="28323" xr:uid="{9F3B4DE9-24A7-44C5-A788-3EDA9EBA1792}"/>
    <cellStyle name="40% - Akzent6 21 4" xfId="28321" xr:uid="{A74EEF52-EB33-4553-9133-DF3C5E173D48}"/>
    <cellStyle name="40% - Akzent6 22" xfId="8887" xr:uid="{066CCA41-E429-4126-8A13-BBA19BE1AC7C}"/>
    <cellStyle name="40% - Akzent6 22 2" xfId="8888" xr:uid="{50F5F4E7-A559-4F46-8F1D-CBCB6436E0D5}"/>
    <cellStyle name="40% - Akzent6 22 2 2" xfId="28325" xr:uid="{2334D193-E2F4-46D9-A00D-751A86A3D414}"/>
    <cellStyle name="40% - Akzent6 22 3" xfId="8889" xr:uid="{6A5E28CE-7732-41FF-928A-185E57F98195}"/>
    <cellStyle name="40% - Akzent6 22 3 2" xfId="28326" xr:uid="{39481729-B575-4300-9893-F1D0A3486877}"/>
    <cellStyle name="40% - Akzent6 22 4" xfId="28324" xr:uid="{C9E25447-C45C-4E4D-812C-9B33C28AEF56}"/>
    <cellStyle name="40% - Akzent6 23" xfId="8890" xr:uid="{EB8FA663-BF95-4240-9E3E-6332F3760139}"/>
    <cellStyle name="40% - Akzent6 23 2" xfId="8891" xr:uid="{4E4DB3DE-32F6-410A-9695-D79507F48BD8}"/>
    <cellStyle name="40% - Akzent6 23 2 2" xfId="28328" xr:uid="{E029AA7D-A9DF-4CCD-AFFE-114CCACDCD9E}"/>
    <cellStyle name="40% - Akzent6 23 3" xfId="8892" xr:uid="{0723E5AF-A828-4FAE-BB66-651D3904A604}"/>
    <cellStyle name="40% - Akzent6 23 3 2" xfId="28329" xr:uid="{A577615A-478B-4BFF-A548-336A0191E387}"/>
    <cellStyle name="40% - Akzent6 23 4" xfId="28327" xr:uid="{23B54F87-5AB2-45C0-8F6D-0E99048E9563}"/>
    <cellStyle name="40% - Akzent6 24" xfId="8893" xr:uid="{F6BB76E5-6923-4068-B9E3-84ADDF4C48D2}"/>
    <cellStyle name="40% - Akzent6 24 2" xfId="8894" xr:uid="{D1DD2D79-5DB7-4E32-84FB-240B23FCE03D}"/>
    <cellStyle name="40% - Akzent6 24 2 2" xfId="28331" xr:uid="{05739A58-B79B-4FF7-A26A-846DCE05F209}"/>
    <cellStyle name="40% - Akzent6 24 3" xfId="8895" xr:uid="{A2200C3D-1561-4BB3-B00F-5FFD94E840B5}"/>
    <cellStyle name="40% - Akzent6 24 3 2" xfId="28332" xr:uid="{8F368355-362F-4388-9CDF-862B3C28C675}"/>
    <cellStyle name="40% - Akzent6 24 4" xfId="28330" xr:uid="{5235437B-C159-4CD4-97E1-4194A441EC75}"/>
    <cellStyle name="40% - Akzent6 25" xfId="8896" xr:uid="{FF35D3D6-5B50-4BE3-B7ED-AFA50C7F70D6}"/>
    <cellStyle name="40% - Akzent6 25 2" xfId="8897" xr:uid="{AC58AD2A-4C73-46DD-AC7C-49666BB54827}"/>
    <cellStyle name="40% - Akzent6 25 2 2" xfId="28334" xr:uid="{86B0648D-5D61-455A-A81E-8365617C5F71}"/>
    <cellStyle name="40% - Akzent6 25 3" xfId="8898" xr:uid="{3BECB08A-663F-4292-AB50-4E788ED70B5B}"/>
    <cellStyle name="40% - Akzent6 25 3 2" xfId="28335" xr:uid="{E4FF79F1-622E-400E-9696-9813E71AAC43}"/>
    <cellStyle name="40% - Akzent6 25 4" xfId="28333" xr:uid="{9F037396-9D6B-403F-ABB3-C8496E2358C0}"/>
    <cellStyle name="40% - Akzent6 26" xfId="8899" xr:uid="{0A88D132-01F8-4375-BD5C-6961D8742720}"/>
    <cellStyle name="40% - Akzent6 26 2" xfId="8900" xr:uid="{FAA207FF-C7CD-4B0D-BAF9-1C3EC948370C}"/>
    <cellStyle name="40% - Akzent6 26 2 2" xfId="28337" xr:uid="{EB9012E8-C5AB-4C77-A4BF-68F73CA2C489}"/>
    <cellStyle name="40% - Akzent6 26 3" xfId="8901" xr:uid="{098C0CE6-5A6B-427D-A27A-0FD8EE25B746}"/>
    <cellStyle name="40% - Akzent6 26 3 2" xfId="28338" xr:uid="{43492DE8-C1CF-44CC-A7DE-42A0E33E19E0}"/>
    <cellStyle name="40% - Akzent6 26 4" xfId="28336" xr:uid="{C89A3BF2-326A-49CE-922F-21E108B51852}"/>
    <cellStyle name="40% - Akzent6 27" xfId="8902" xr:uid="{E1B19A36-C906-4739-8AF0-8630D84A7F69}"/>
    <cellStyle name="40% - Akzent6 27 2" xfId="8903" xr:uid="{130CF8BC-B699-4C54-BD0C-678FF62D3218}"/>
    <cellStyle name="40% - Akzent6 27 2 2" xfId="28340" xr:uid="{9423538B-2AEE-4A09-BCA3-4E54634A28A8}"/>
    <cellStyle name="40% - Akzent6 27 3" xfId="8904" xr:uid="{5A6D4651-102B-41A2-A1C2-F8BF769654AA}"/>
    <cellStyle name="40% - Akzent6 27 3 2" xfId="28341" xr:uid="{BBE54DFB-5CD6-4050-B2B4-93A7D0EDED5A}"/>
    <cellStyle name="40% - Akzent6 27 4" xfId="28339" xr:uid="{48503EE7-E4DC-416B-BFF8-173F231825AA}"/>
    <cellStyle name="40% - Akzent6 28" xfId="8905" xr:uid="{9DC077AE-2CAD-4D28-AF67-181012379EB0}"/>
    <cellStyle name="40% - Akzent6 28 2" xfId="8906" xr:uid="{F130216F-687D-41B2-843A-668430785132}"/>
    <cellStyle name="40% - Akzent6 28 2 2" xfId="28343" xr:uid="{41CBCB77-53AF-4B73-BF85-2503ACF9AD90}"/>
    <cellStyle name="40% - Akzent6 28 3" xfId="8907" xr:uid="{C6818297-28C7-48E0-A5DE-EB17D042CE05}"/>
    <cellStyle name="40% - Akzent6 28 3 2" xfId="28344" xr:uid="{46E8B925-84C9-411D-9B77-C4F439B0D2F2}"/>
    <cellStyle name="40% - Akzent6 28 4" xfId="28342" xr:uid="{7B561EBE-E24E-4D7E-9D97-39200D7C4417}"/>
    <cellStyle name="40% - Akzent6 29" xfId="8908" xr:uid="{FD70BF2B-189F-43B7-83FC-350A9974E351}"/>
    <cellStyle name="40% - Akzent6 29 2" xfId="8909" xr:uid="{92C09391-6395-4A13-B8F9-BFE9A629A0C8}"/>
    <cellStyle name="40% - Akzent6 29 2 2" xfId="28346" xr:uid="{D700CD26-78CE-4FC9-B24F-0A96E70BFD49}"/>
    <cellStyle name="40% - Akzent6 29 3" xfId="8910" xr:uid="{B530114D-5840-4F0B-9738-0DC6F588E9C1}"/>
    <cellStyle name="40% - Akzent6 29 3 2" xfId="28347" xr:uid="{243948CB-C779-4615-8FE4-8A699DDDD9A9}"/>
    <cellStyle name="40% - Akzent6 29 4" xfId="28345" xr:uid="{4DE3EBEF-613E-4D58-B1C8-345B20B58A0C}"/>
    <cellStyle name="40% - Akzent6 3" xfId="124" xr:uid="{CF6CCE52-975B-4ABC-BAAC-2046839A5D2F}"/>
    <cellStyle name="40% - Akzent6 3 10" xfId="8912" xr:uid="{7DB9640A-6CCF-41B0-A6F7-9C5623E76952}"/>
    <cellStyle name="40% - Akzent6 3 10 2" xfId="8913" xr:uid="{7C5F6176-4202-4A86-B443-4BB337535C5F}"/>
    <cellStyle name="40% - Akzent6 3 10 2 2" xfId="28350" xr:uid="{239EAEC0-C14F-4D50-94A2-D8F27679550E}"/>
    <cellStyle name="40% - Akzent6 3 10 3" xfId="28349" xr:uid="{4B693E68-19AE-482E-829A-32A7F813F4EC}"/>
    <cellStyle name="40% - Akzent6 3 11" xfId="8914" xr:uid="{B082B316-5477-4786-81ED-8D419EDC5E79}"/>
    <cellStyle name="40% - Akzent6 3 11 2" xfId="8915" xr:uid="{394F959B-C318-48A0-8FFF-E1C8BAE99DC3}"/>
    <cellStyle name="40% - Akzent6 3 11 2 2" xfId="28352" xr:uid="{6A7B645C-BC4F-421E-B36D-F17617A1EA2B}"/>
    <cellStyle name="40% - Akzent6 3 11 3" xfId="28351" xr:uid="{F3604352-64F5-45C6-ABF3-FFF3F3CC8ECD}"/>
    <cellStyle name="40% - Akzent6 3 12" xfId="8916" xr:uid="{69FC8E02-20C4-4D57-9A9E-A8308F0F55E2}"/>
    <cellStyle name="40% - Akzent6 3 12 2" xfId="8917" xr:uid="{73D09768-97B8-4F60-A929-86BD14F82741}"/>
    <cellStyle name="40% - Akzent6 3 12 2 2" xfId="28354" xr:uid="{4023B628-A036-4E10-B0BB-556CC6243FF8}"/>
    <cellStyle name="40% - Akzent6 3 12 3" xfId="28353" xr:uid="{563BE206-9375-40C4-899F-009E3D4954FB}"/>
    <cellStyle name="40% - Akzent6 3 13" xfId="8918" xr:uid="{F82E83B8-8905-47BE-902C-EB9BAF65E6BB}"/>
    <cellStyle name="40% - Akzent6 3 13 2" xfId="8919" xr:uid="{CF6E4783-E757-4C7C-B5EA-6A391529D2B5}"/>
    <cellStyle name="40% - Akzent6 3 13 2 2" xfId="28356" xr:uid="{CD1D4B27-3933-428A-951D-F1572A8A19C9}"/>
    <cellStyle name="40% - Akzent6 3 13 3" xfId="28355" xr:uid="{0782E8F3-0853-4414-A05A-887B620E0ADF}"/>
    <cellStyle name="40% - Akzent6 3 14" xfId="8920" xr:uid="{6F28BB50-3372-4DAA-9081-6BBD5F851F57}"/>
    <cellStyle name="40% - Akzent6 3 14 2" xfId="8921" xr:uid="{10ACBEA2-F845-4D70-8639-FC4B48CE768D}"/>
    <cellStyle name="40% - Akzent6 3 14 2 2" xfId="28358" xr:uid="{06138207-30BC-49AB-9CFA-4594EF9813BE}"/>
    <cellStyle name="40% - Akzent6 3 14 3" xfId="28357" xr:uid="{0FC5FE8E-3469-440D-84EA-687CC77C11FE}"/>
    <cellStyle name="40% - Akzent6 3 15" xfId="8922" xr:uid="{2F7878DD-3B35-4FC9-A6F1-AA67347E66AF}"/>
    <cellStyle name="40% - Akzent6 3 15 2" xfId="8923" xr:uid="{4FD5D57B-C087-46A1-BC24-99010355BA72}"/>
    <cellStyle name="40% - Akzent6 3 15 2 2" xfId="28360" xr:uid="{3EE88DD7-FCF4-460F-84BC-6EA4DB2933AC}"/>
    <cellStyle name="40% - Akzent6 3 15 3" xfId="28359" xr:uid="{B14AC2BD-85CB-4333-AA64-45B29D1BD9AD}"/>
    <cellStyle name="40% - Akzent6 3 16" xfId="8924" xr:uid="{4CE81FD0-BFEA-42E2-A3E8-80AE4407A58D}"/>
    <cellStyle name="40% - Akzent6 3 16 2" xfId="8925" xr:uid="{0E582E66-F52C-4FD2-A5D5-EE436B477383}"/>
    <cellStyle name="40% - Akzent6 3 16 2 2" xfId="28362" xr:uid="{39ECD2C0-E041-4FD9-9D38-1AD2C712F872}"/>
    <cellStyle name="40% - Akzent6 3 16 3" xfId="28361" xr:uid="{FAA013BC-7D7E-4EF9-9E3F-2FFFCE330909}"/>
    <cellStyle name="40% - Akzent6 3 17" xfId="8926" xr:uid="{423C8EC1-F7FE-4AFC-B3A6-EC734A7DAFE9}"/>
    <cellStyle name="40% - Akzent6 3 17 2" xfId="8927" xr:uid="{3FFF58CF-81A6-4C62-9801-3D4654A2FB9F}"/>
    <cellStyle name="40% - Akzent6 3 17 2 2" xfId="28364" xr:uid="{9F1020E2-80EC-49FB-A616-114618E8674F}"/>
    <cellStyle name="40% - Akzent6 3 17 3" xfId="28363" xr:uid="{07DAE45C-12E6-40C3-B523-F31CB3F25E93}"/>
    <cellStyle name="40% - Akzent6 3 18" xfId="8928" xr:uid="{524D1C53-1FAD-4C51-85A0-AB3F655FF220}"/>
    <cellStyle name="40% - Akzent6 3 18 2" xfId="8929" xr:uid="{D8ED56F9-E749-40C2-A440-781B1008B3CA}"/>
    <cellStyle name="40% - Akzent6 3 18 2 2" xfId="28366" xr:uid="{38378AA2-3C33-46E1-896D-086570D7FBBC}"/>
    <cellStyle name="40% - Akzent6 3 18 3" xfId="28365" xr:uid="{89EC6523-C73B-4EE4-8491-03C2DB6B321E}"/>
    <cellStyle name="40% - Akzent6 3 19" xfId="8930" xr:uid="{02C4A267-2AE1-46B9-B37A-3796898BD481}"/>
    <cellStyle name="40% - Akzent6 3 19 2" xfId="8931" xr:uid="{09894B28-A76D-4AF9-B3B3-688109F45248}"/>
    <cellStyle name="40% - Akzent6 3 19 2 2" xfId="28368" xr:uid="{C2C0DD6B-4601-4383-987E-9677DEB46E1D}"/>
    <cellStyle name="40% - Akzent6 3 19 3" xfId="28367" xr:uid="{C01F3900-EFA6-4E0C-B0B1-D49C3AE74950}"/>
    <cellStyle name="40% - Akzent6 3 2" xfId="8932" xr:uid="{F69A79FF-F63A-4E30-BBDC-2EFC2807B971}"/>
    <cellStyle name="40% - Akzent6 3 2 2" xfId="8933" xr:uid="{A0F0F938-D88A-43AA-BDB0-5C3A106E60D7}"/>
    <cellStyle name="40% - Akzent6 3 2 2 2" xfId="8934" xr:uid="{B65DE0D4-D24B-4E17-A704-B47CF7CFE610}"/>
    <cellStyle name="40% - Akzent6 3 2 2 2 2" xfId="28371" xr:uid="{53D74F0D-7ECA-42E0-BD3F-FC5A24378F73}"/>
    <cellStyle name="40% - Akzent6 3 2 2 3" xfId="8935" xr:uid="{71ADC17A-28F1-4E9C-917A-B88048100BC4}"/>
    <cellStyle name="40% - Akzent6 3 2 2 3 2" xfId="28372" xr:uid="{F8119923-909C-47BC-8429-2763CC5D4270}"/>
    <cellStyle name="40% - Akzent6 3 2 2 4" xfId="28370" xr:uid="{180F610D-4198-4B34-8878-257D471B4DCA}"/>
    <cellStyle name="40% - Akzent6 3 2 2 5" xfId="40915" xr:uid="{7750A47F-9993-4284-AC70-DE9729C1439F}"/>
    <cellStyle name="40% - Akzent6 3 2 3" xfId="8936" xr:uid="{37286AAE-B553-4F7C-B316-70D9147BD3CD}"/>
    <cellStyle name="40% - Akzent6 3 2 3 2" xfId="28373" xr:uid="{B0593590-56FD-4DF8-9844-3566FEE7D849}"/>
    <cellStyle name="40% - Akzent6 3 2 3 3" xfId="41775" xr:uid="{67E988C9-FC06-4097-BBF0-8C7E70A82AFA}"/>
    <cellStyle name="40% - Akzent6 3 2 4" xfId="8937" xr:uid="{2DE5B900-5031-4083-A064-45162ABF73FE}"/>
    <cellStyle name="40% - Akzent6 3 2 4 2" xfId="28374" xr:uid="{1721EFB4-815A-4E1E-A200-BE6A6BF6EFFD}"/>
    <cellStyle name="40% - Akzent6 3 2 5" xfId="28369" xr:uid="{BF26D7CF-1EA9-49B0-90BB-F0F3CFDBB093}"/>
    <cellStyle name="40% - Akzent6 3 2 6" xfId="39969" xr:uid="{0E1A2D34-D396-49B7-BDF2-65C51C9F55E5}"/>
    <cellStyle name="40% - Akzent6 3 20" xfId="8938" xr:uid="{3756FE90-DA90-4F4E-BB4C-8D05FBE25EA1}"/>
    <cellStyle name="40% - Akzent6 3 20 2" xfId="8939" xr:uid="{AA8F9A8F-1942-4C44-82AC-EB71BA80FE82}"/>
    <cellStyle name="40% - Akzent6 3 20 2 2" xfId="28376" xr:uid="{D7F55309-180E-47F0-93C3-F4719FD89578}"/>
    <cellStyle name="40% - Akzent6 3 20 3" xfId="28375" xr:uid="{23F0F6F4-987D-4D6E-BA20-0BFE1E42D477}"/>
    <cellStyle name="40% - Akzent6 3 21" xfId="8940" xr:uid="{882D6A73-B6E0-475B-B0B3-18626C2D8F66}"/>
    <cellStyle name="40% - Akzent6 3 21 2" xfId="8941" xr:uid="{EA1A93C6-107A-4C3D-9F2E-08B5DE3A2D2C}"/>
    <cellStyle name="40% - Akzent6 3 21 2 2" xfId="28378" xr:uid="{F73DA145-602E-4037-A1DF-813D9D9A753E}"/>
    <cellStyle name="40% - Akzent6 3 21 3" xfId="28377" xr:uid="{7B3FB111-EEB1-47C2-A176-CD26A267A5C8}"/>
    <cellStyle name="40% - Akzent6 3 22" xfId="8942" xr:uid="{F8FC4EF8-1C39-454D-A4DA-B9C8814C86BA}"/>
    <cellStyle name="40% - Akzent6 3 22 2" xfId="28379" xr:uid="{E0A8959A-506C-4DCA-AEF1-8ED382946453}"/>
    <cellStyle name="40% - Akzent6 3 23" xfId="8943" xr:uid="{E504A3C1-CAD6-4487-80A8-F099CEC1046D}"/>
    <cellStyle name="40% - Akzent6 3 23 2" xfId="28380" xr:uid="{4C9E2D16-0640-4853-A84F-0C1DB8F32628}"/>
    <cellStyle name="40% - Akzent6 3 24" xfId="28348" xr:uid="{894C31FE-330E-4CE9-B8CE-EBBEDCE124FA}"/>
    <cellStyle name="40% - Akzent6 3 25" xfId="39334" xr:uid="{C17F574D-1E2E-420F-BD97-CBEF39898C35}"/>
    <cellStyle name="40% - Akzent6 3 26" xfId="8911" xr:uid="{24A24155-ADC6-4289-9545-6AE503CD34E0}"/>
    <cellStyle name="40% - Akzent6 3 3" xfId="8944" xr:uid="{622B1023-2D5B-4BF1-B11B-1D3B2F6D6956}"/>
    <cellStyle name="40% - Akzent6 3 3 2" xfId="28381" xr:uid="{3FAD4FE5-2204-4E3D-91C1-EF3FD162DA12}"/>
    <cellStyle name="40% - Akzent6 3 3 2 2" xfId="40914" xr:uid="{74F3A165-CF3E-4D50-BC55-B66E51FA0A70}"/>
    <cellStyle name="40% - Akzent6 3 3 3" xfId="41774" xr:uid="{22990EEC-5668-4FFD-B794-4CBB62AE92DE}"/>
    <cellStyle name="40% - Akzent6 3 3 4" xfId="39968" xr:uid="{01292829-1E2D-43DA-8FD7-DEFCEF7F03AC}"/>
    <cellStyle name="40% - Akzent6 3 4" xfId="8945" xr:uid="{B995C31B-75D6-4AED-9060-C2A2BD68318A}"/>
    <cellStyle name="40% - Akzent6 3 4 2" xfId="28382" xr:uid="{CFB6565C-85F2-45B2-9E7C-1601160F4244}"/>
    <cellStyle name="40% - Akzent6 3 4 3" xfId="40476" xr:uid="{7627811A-3101-42CF-90BD-8A30A4FDC494}"/>
    <cellStyle name="40% - Akzent6 3 5" xfId="8946" xr:uid="{3662AD0D-8A33-4017-AF95-FA4D591CD615}"/>
    <cellStyle name="40% - Akzent6 3 5 2" xfId="8947" xr:uid="{D8EC46AA-ED7B-4A78-9496-33B40734CABD}"/>
    <cellStyle name="40% - Akzent6 3 5 2 2" xfId="8948" xr:uid="{21845DD4-91D6-4DBD-AE99-37089F8BDC3E}"/>
    <cellStyle name="40% - Akzent6 3 5 2 2 2" xfId="28385" xr:uid="{71B3E368-FE67-4D44-9BD9-A9BFB61EEBAA}"/>
    <cellStyle name="40% - Akzent6 3 5 2 3" xfId="28384" xr:uid="{2D373540-194F-4D51-A752-33F789505BE3}"/>
    <cellStyle name="40% - Akzent6 3 5 3" xfId="28383" xr:uid="{1A40DBDC-706A-43DC-A148-68BB38E7B4BB}"/>
    <cellStyle name="40% - Akzent6 3 5 4" xfId="41336" xr:uid="{B6AF5401-079B-40B3-B4B1-C871F01BBCF9}"/>
    <cellStyle name="40% - Akzent6 3 6" xfId="8949" xr:uid="{C2440224-5D05-482D-9A72-492DBDF112A2}"/>
    <cellStyle name="40% - Akzent6 3 6 2" xfId="8950" xr:uid="{7CC54E72-C596-4D3F-9462-E27559BDA362}"/>
    <cellStyle name="40% - Akzent6 3 6 2 2" xfId="28387" xr:uid="{11E93F82-7F41-4091-9A9C-5E7F01382221}"/>
    <cellStyle name="40% - Akzent6 3 6 3" xfId="28386" xr:uid="{34B9631E-F5B0-4F88-AE10-BE0BC3CAA1C9}"/>
    <cellStyle name="40% - Akzent6 3 7" xfId="8951" xr:uid="{418807EE-D071-4342-AE79-F19F50CE5BC6}"/>
    <cellStyle name="40% - Akzent6 3 7 2" xfId="8952" xr:uid="{052E3213-BD07-487A-8240-6F51B972892A}"/>
    <cellStyle name="40% - Akzent6 3 7 2 2" xfId="28389" xr:uid="{8D6D53FC-E8CD-47AC-9D10-24E38F43B64F}"/>
    <cellStyle name="40% - Akzent6 3 7 3" xfId="28388" xr:uid="{89322C69-FCD7-43FD-8E4C-BFC857E802B1}"/>
    <cellStyle name="40% - Akzent6 3 8" xfId="8953" xr:uid="{638D4BEC-CCF3-47AF-9A07-A4BF9406D300}"/>
    <cellStyle name="40% - Akzent6 3 8 2" xfId="8954" xr:uid="{ACB5771F-234F-4BD6-9492-0D5075D7C62D}"/>
    <cellStyle name="40% - Akzent6 3 8 2 2" xfId="28391" xr:uid="{D658F047-9025-4C65-A936-4DBEDE2E04EE}"/>
    <cellStyle name="40% - Akzent6 3 8 3" xfId="28390" xr:uid="{FA0ACDBD-D6C3-42D7-ACB3-8499B581AF89}"/>
    <cellStyle name="40% - Akzent6 3 9" xfId="8955" xr:uid="{47EB7FD2-7F8C-45CE-9514-9244C82FBDBC}"/>
    <cellStyle name="40% - Akzent6 3 9 2" xfId="8956" xr:uid="{AD324288-FD78-45EC-A5F7-2AD3A8C54BB3}"/>
    <cellStyle name="40% - Akzent6 3 9 2 2" xfId="28393" xr:uid="{A205AE75-3ECB-4F64-8BD2-F69C6DFCF4A2}"/>
    <cellStyle name="40% - Akzent6 3 9 3" xfId="28392" xr:uid="{4393F6D5-8181-4FB0-8F7A-7395013CC72E}"/>
    <cellStyle name="40% - Akzent6 30" xfId="8957" xr:uid="{A4751BFA-B864-4ECC-B058-DDBD4805B566}"/>
    <cellStyle name="40% - Akzent6 30 2" xfId="8958" xr:uid="{BB75ADAD-66E6-4E5F-B441-14CD56F9BD2F}"/>
    <cellStyle name="40% - Akzent6 30 2 2" xfId="28395" xr:uid="{01129758-CC94-4668-907F-8D343CA6B5E0}"/>
    <cellStyle name="40% - Akzent6 30 3" xfId="8959" xr:uid="{BA2DB4F4-9030-49D9-BBE1-D03F7608AA03}"/>
    <cellStyle name="40% - Akzent6 30 3 2" xfId="28396" xr:uid="{D6934BAC-E52A-43F6-8A0B-948F9662E2C1}"/>
    <cellStyle name="40% - Akzent6 30 4" xfId="28394" xr:uid="{2C675484-37D3-4745-AF38-59C7842476FD}"/>
    <cellStyle name="40% - Akzent6 31" xfId="8960" xr:uid="{F700A483-D33D-4A6F-9AC7-7B4375FEF433}"/>
    <cellStyle name="40% - Akzent6 31 2" xfId="8961" xr:uid="{31C53F0E-5C71-4E88-A255-B368F34840D5}"/>
    <cellStyle name="40% - Akzent6 31 2 2" xfId="28398" xr:uid="{CB2AC07B-0661-4C9E-BFEC-4AE5D456EF08}"/>
    <cellStyle name="40% - Akzent6 31 3" xfId="8962" xr:uid="{5FD04CAA-49E6-4F3D-B2F8-AD78C076BBE4}"/>
    <cellStyle name="40% - Akzent6 31 3 2" xfId="28399" xr:uid="{717EF36A-0B10-41C3-813A-6FB34F52E072}"/>
    <cellStyle name="40% - Akzent6 31 4" xfId="28397" xr:uid="{46C4E928-12F4-4F01-90FF-C5B8E5D9C851}"/>
    <cellStyle name="40% - Akzent6 32" xfId="8963" xr:uid="{E6DF5DAE-453A-44C5-90CA-B7AECC0280D5}"/>
    <cellStyle name="40% - Akzent6 32 2" xfId="8964" xr:uid="{ABA603F4-F34A-4C7B-A888-2B5606481278}"/>
    <cellStyle name="40% - Akzent6 32 2 2" xfId="28401" xr:uid="{10578C34-0554-4625-A0B0-2946E1E31515}"/>
    <cellStyle name="40% - Akzent6 32 3" xfId="8965" xr:uid="{F7A4F931-E2D3-4E57-B3ED-CC7923634E8E}"/>
    <cellStyle name="40% - Akzent6 32 3 2" xfId="28402" xr:uid="{A8AD0086-9AC9-445D-8A68-5CC107DEFA58}"/>
    <cellStyle name="40% - Akzent6 32 4" xfId="28400" xr:uid="{74F38401-D15F-4066-9B5C-E5C0B527E032}"/>
    <cellStyle name="40% - Akzent6 33" xfId="8966" xr:uid="{98EA9A2E-7668-4E70-BB73-029B13DE620D}"/>
    <cellStyle name="40% - Akzent6 33 2" xfId="8967" xr:uid="{29814CAA-A475-4D56-8019-D8F1FEBEF2ED}"/>
    <cellStyle name="40% - Akzent6 33 2 2" xfId="28404" xr:uid="{1FB870EB-CCB2-403B-A0E5-136A04FE7E69}"/>
    <cellStyle name="40% - Akzent6 33 3" xfId="8968" xr:uid="{A44C2AB6-969A-4A16-B4D9-FE5254ADCCA8}"/>
    <cellStyle name="40% - Akzent6 33 3 2" xfId="28405" xr:uid="{15C8EED3-DE54-4501-B2D2-B53386475CD4}"/>
    <cellStyle name="40% - Akzent6 33 4" xfId="28403" xr:uid="{0D9D96B2-F09A-4E51-B3FF-2F5329AA7CF0}"/>
    <cellStyle name="40% - Akzent6 34" xfId="8969" xr:uid="{392054B8-5641-4064-B5C4-B4F2BBFEA4CF}"/>
    <cellStyle name="40% - Akzent6 34 2" xfId="8970" xr:uid="{514323F8-9E71-4CF9-8E54-6F21E3649BA8}"/>
    <cellStyle name="40% - Akzent6 34 2 2" xfId="28407" xr:uid="{E87E5C09-6D68-4A67-B0B7-AF96FF302F6E}"/>
    <cellStyle name="40% - Akzent6 34 3" xfId="8971" xr:uid="{16C90AA7-89ED-4FD4-8F37-5A0E7507C881}"/>
    <cellStyle name="40% - Akzent6 34 3 2" xfId="28408" xr:uid="{61B9B7EA-5C1C-4F72-9A52-8444AEF19A6F}"/>
    <cellStyle name="40% - Akzent6 34 4" xfId="28406" xr:uid="{4226E475-31FE-45F4-96A5-E01F4B0FAF11}"/>
    <cellStyle name="40% - Akzent6 35" xfId="8972" xr:uid="{557E67EF-A530-4E6D-AD03-70E8FC6F880E}"/>
    <cellStyle name="40% - Akzent6 35 2" xfId="8973" xr:uid="{57059D68-20EE-4394-B8D3-07F8164198A6}"/>
    <cellStyle name="40% - Akzent6 35 2 2" xfId="28410" xr:uid="{6B7A5797-D14E-4E6B-8B21-BA2A58EDA9E6}"/>
    <cellStyle name="40% - Akzent6 35 3" xfId="8974" xr:uid="{A263D06D-8950-468D-91A3-D18BC3BFC184}"/>
    <cellStyle name="40% - Akzent6 35 3 2" xfId="28411" xr:uid="{E2533EAC-1DB0-4CC8-933E-077BB4E63486}"/>
    <cellStyle name="40% - Akzent6 35 4" xfId="28409" xr:uid="{2478C505-6D69-4F32-8192-4E1E3820F846}"/>
    <cellStyle name="40% - Akzent6 36" xfId="8975" xr:uid="{94B5BB26-E2D1-4465-ADD6-9CBAED502C33}"/>
    <cellStyle name="40% - Akzent6 36 2" xfId="8976" xr:uid="{CB499E2F-D779-4128-B3BF-F227CE60A8E1}"/>
    <cellStyle name="40% - Akzent6 36 2 2" xfId="28413" xr:uid="{4153AE27-13E3-46F7-9639-BDD351365CFE}"/>
    <cellStyle name="40% - Akzent6 36 3" xfId="8977" xr:uid="{AEBA9031-15E6-4D49-816B-D712F6722D11}"/>
    <cellStyle name="40% - Akzent6 36 3 2" xfId="28414" xr:uid="{A34B65D3-487C-4CFD-AC28-E1E843772F44}"/>
    <cellStyle name="40% - Akzent6 36 4" xfId="28412" xr:uid="{9796C3AD-C26A-4FFC-A043-B781AC3D691D}"/>
    <cellStyle name="40% - Akzent6 37" xfId="8978" xr:uid="{D175F733-C40C-4134-B1A8-83D515636FA7}"/>
    <cellStyle name="40% - Akzent6 37 2" xfId="8979" xr:uid="{96031AAC-CA91-4AD6-8080-C7CDC7F4CAF8}"/>
    <cellStyle name="40% - Akzent6 37 2 2" xfId="28416" xr:uid="{6D9493E7-79C3-41F8-AD00-777ABC96B78E}"/>
    <cellStyle name="40% - Akzent6 37 3" xfId="28415" xr:uid="{73AF8667-9D7E-4804-942C-259EACB2F220}"/>
    <cellStyle name="40% - Akzent6 38" xfId="8980" xr:uid="{917BC53A-BB0E-4D85-8840-45EE93E24CBB}"/>
    <cellStyle name="40% - Akzent6 38 2" xfId="8981" xr:uid="{92B951FC-D7C0-48A9-BBD9-CA17574FFF1E}"/>
    <cellStyle name="40% - Akzent6 38 2 2" xfId="28418" xr:uid="{A8CF7DD9-195F-461D-9338-2630378DE45A}"/>
    <cellStyle name="40% - Akzent6 38 3" xfId="28417" xr:uid="{45A1D581-F4B6-49BF-9AB6-607571CCC099}"/>
    <cellStyle name="40% - Akzent6 39" xfId="8982" xr:uid="{226E2DCB-47FB-4E2E-B05A-EB1484A188FF}"/>
    <cellStyle name="40% - Akzent6 39 2" xfId="8983" xr:uid="{4337DB35-F9E2-4044-A342-E926049A13E2}"/>
    <cellStyle name="40% - Akzent6 39 2 2" xfId="28420" xr:uid="{DEF00059-1F87-4A5D-A867-E36EFB5B236B}"/>
    <cellStyle name="40% - Akzent6 39 3" xfId="28419" xr:uid="{2ABCAA44-6C78-4967-AAA3-36E80D63264C}"/>
    <cellStyle name="40% - Akzent6 4" xfId="138" xr:uid="{AFE54B74-14D2-49B1-BA0E-5688C00F6B78}"/>
    <cellStyle name="40% - Akzent6 4 10" xfId="8985" xr:uid="{34F7D8EC-EAB4-48CC-B5A9-E33631DBE23B}"/>
    <cellStyle name="40% - Akzent6 4 10 2" xfId="8986" xr:uid="{A2014E34-9368-4E33-8732-E0EE8886DA0C}"/>
    <cellStyle name="40% - Akzent6 4 10 2 2" xfId="28423" xr:uid="{1D50095C-41DA-4CB9-B398-E8D2F04403CC}"/>
    <cellStyle name="40% - Akzent6 4 10 3" xfId="28422" xr:uid="{228537FD-10E8-49D3-8D51-A43AC3F0B79B}"/>
    <cellStyle name="40% - Akzent6 4 11" xfId="8987" xr:uid="{40D9CF52-2CD8-4777-9D49-D9A0663CCD11}"/>
    <cellStyle name="40% - Akzent6 4 11 2" xfId="8988" xr:uid="{6EBC6C1C-2D8C-43E3-B56F-FB30FC5B7CF6}"/>
    <cellStyle name="40% - Akzent6 4 11 2 2" xfId="28425" xr:uid="{71B792DC-0188-48E6-A335-CA172536B1CC}"/>
    <cellStyle name="40% - Akzent6 4 11 3" xfId="28424" xr:uid="{556D18E5-52FC-4471-9E74-04CC8AC114AD}"/>
    <cellStyle name="40% - Akzent6 4 12" xfId="8989" xr:uid="{9388419F-B7CA-49B7-AB27-2ACFBF62F381}"/>
    <cellStyle name="40% - Akzent6 4 12 2" xfId="8990" xr:uid="{A58A08C1-0F9B-484F-AC18-8068AE52A829}"/>
    <cellStyle name="40% - Akzent6 4 12 2 2" xfId="28427" xr:uid="{18BF87E4-FC13-4C9F-B0BF-A610793B7A08}"/>
    <cellStyle name="40% - Akzent6 4 12 3" xfId="28426" xr:uid="{22272DFD-DDA9-4FB3-81F0-1E81EDF66AD3}"/>
    <cellStyle name="40% - Akzent6 4 13" xfId="8991" xr:uid="{9C726E62-9F02-4188-9BD1-427D6773F8E5}"/>
    <cellStyle name="40% - Akzent6 4 13 2" xfId="8992" xr:uid="{A49F3C7F-E5A1-48FB-B33A-0A1C139241C9}"/>
    <cellStyle name="40% - Akzent6 4 13 2 2" xfId="28429" xr:uid="{833FD290-0056-4725-8DBA-B65839847DC7}"/>
    <cellStyle name="40% - Akzent6 4 13 3" xfId="28428" xr:uid="{AA589692-8751-4BF3-BAE2-5150A88BF40D}"/>
    <cellStyle name="40% - Akzent6 4 14" xfId="8993" xr:uid="{6B0E58DD-C551-43FE-BF6A-2B84E8AF30E5}"/>
    <cellStyle name="40% - Akzent6 4 14 2" xfId="8994" xr:uid="{34D40C73-FF63-418F-9549-F8011892C5BA}"/>
    <cellStyle name="40% - Akzent6 4 14 2 2" xfId="28431" xr:uid="{F6917D67-279F-4D37-B86B-C5083EDBB863}"/>
    <cellStyle name="40% - Akzent6 4 14 3" xfId="28430" xr:uid="{5DFCF713-C534-4F27-B88A-9EEF8EF52F30}"/>
    <cellStyle name="40% - Akzent6 4 15" xfId="8995" xr:uid="{87DB96F5-CE16-4B16-9541-F9672F0867C6}"/>
    <cellStyle name="40% - Akzent6 4 15 2" xfId="8996" xr:uid="{79BE2647-A771-4AF6-BBFB-E5FBBA7019BB}"/>
    <cellStyle name="40% - Akzent6 4 15 2 2" xfId="28433" xr:uid="{F16BF6DE-0B62-46D8-BCF7-98B2893A0CCF}"/>
    <cellStyle name="40% - Akzent6 4 15 3" xfId="28432" xr:uid="{2963C35C-ED0F-4DDD-B470-EE2B00704311}"/>
    <cellStyle name="40% - Akzent6 4 16" xfId="8997" xr:uid="{C3A48787-2071-46D3-8C52-FF9129DACC68}"/>
    <cellStyle name="40% - Akzent6 4 16 2" xfId="8998" xr:uid="{2610302E-785F-4A88-A4F0-E844006B3641}"/>
    <cellStyle name="40% - Akzent6 4 16 2 2" xfId="28435" xr:uid="{05E8286F-D9E9-47BE-80BE-7556F5830892}"/>
    <cellStyle name="40% - Akzent6 4 16 3" xfId="28434" xr:uid="{137B7655-92B5-4CC7-A98A-B7677D34B4B8}"/>
    <cellStyle name="40% - Akzent6 4 17" xfId="8999" xr:uid="{731FF06C-0EFD-4C19-94F1-E73591BE00CB}"/>
    <cellStyle name="40% - Akzent6 4 17 2" xfId="9000" xr:uid="{76CF567B-198E-4BD0-ACF3-C03BE98047F5}"/>
    <cellStyle name="40% - Akzent6 4 17 2 2" xfId="28437" xr:uid="{8D905045-6C7B-481E-9069-4C8AB2BA5B51}"/>
    <cellStyle name="40% - Akzent6 4 17 3" xfId="28436" xr:uid="{359A3035-A1BC-460D-8424-85E95ED84F73}"/>
    <cellStyle name="40% - Akzent6 4 18" xfId="9001" xr:uid="{6097BC5A-0005-40F8-A774-3FDF82998309}"/>
    <cellStyle name="40% - Akzent6 4 18 2" xfId="9002" xr:uid="{1B29B0A2-2814-43AA-BA79-8A583EFCCEAA}"/>
    <cellStyle name="40% - Akzent6 4 18 2 2" xfId="28439" xr:uid="{47EB2909-1DB9-4A6E-8E1C-38FAA655275F}"/>
    <cellStyle name="40% - Akzent6 4 18 3" xfId="28438" xr:uid="{7AB7AB7A-28AF-4A7D-A601-8F167C267CC2}"/>
    <cellStyle name="40% - Akzent6 4 19" xfId="9003" xr:uid="{6263DF42-BED4-4443-9E8A-82F4F29F2689}"/>
    <cellStyle name="40% - Akzent6 4 19 2" xfId="9004" xr:uid="{4A50BAEC-4EB3-416B-B4C6-ED3180EA60E6}"/>
    <cellStyle name="40% - Akzent6 4 19 2 2" xfId="28441" xr:uid="{7CFF9C8C-0DA1-4ED8-8998-271271F577E7}"/>
    <cellStyle name="40% - Akzent6 4 19 3" xfId="28440" xr:uid="{9DE1EE6D-4131-41AE-A138-7A082079661F}"/>
    <cellStyle name="40% - Akzent6 4 2" xfId="9005" xr:uid="{EE0E59E6-CD80-420B-A0F7-0D1C80868824}"/>
    <cellStyle name="40% - Akzent6 4 2 2" xfId="9006" xr:uid="{C3AA0AF2-2619-4522-85C7-874F5F1885BB}"/>
    <cellStyle name="40% - Akzent6 4 2 2 2" xfId="9007" xr:uid="{8AEB162E-7728-48F8-95A7-13325CFB803F}"/>
    <cellStyle name="40% - Akzent6 4 2 2 2 2" xfId="28444" xr:uid="{31D9FA77-F2D9-4BB0-AF0F-58E9B9B6F970}"/>
    <cellStyle name="40% - Akzent6 4 2 2 3" xfId="28443" xr:uid="{5375B8EA-98B2-480B-9D2B-C373DFA4773A}"/>
    <cellStyle name="40% - Akzent6 4 2 2 4" xfId="40917" xr:uid="{9EE7382D-25CE-4297-BD51-0857F23EC8EA}"/>
    <cellStyle name="40% - Akzent6 4 2 3" xfId="28442" xr:uid="{7F509764-8FD7-4E76-83B7-D1D23BB68957}"/>
    <cellStyle name="40% - Akzent6 4 2 3 2" xfId="41777" xr:uid="{7CA4C094-AC31-4168-9545-E97B81C7DBF1}"/>
    <cellStyle name="40% - Akzent6 4 2 4" xfId="39971" xr:uid="{45230612-DD5F-43EE-8759-E94333A7B913}"/>
    <cellStyle name="40% - Akzent6 4 20" xfId="9008" xr:uid="{419252FF-171D-480B-86AA-4FC781C47AA4}"/>
    <cellStyle name="40% - Akzent6 4 20 2" xfId="9009" xr:uid="{9EA70753-3D09-43F8-AEB4-45EB4EAC5B54}"/>
    <cellStyle name="40% - Akzent6 4 20 2 2" xfId="28446" xr:uid="{9269D736-39A5-40FC-B938-5F716AA5B1F6}"/>
    <cellStyle name="40% - Akzent6 4 20 3" xfId="28445" xr:uid="{68E5930B-D054-435D-A741-A54C297FEC5A}"/>
    <cellStyle name="40% - Akzent6 4 21" xfId="9010" xr:uid="{3AA8BF92-E56F-4F82-A82B-318EA4B187FF}"/>
    <cellStyle name="40% - Akzent6 4 21 2" xfId="9011" xr:uid="{EF5C7AFD-A897-4C5F-9A84-00CCE0282903}"/>
    <cellStyle name="40% - Akzent6 4 21 2 2" xfId="28448" xr:uid="{23F84CA8-C0E2-46A2-8F60-D6D08C38F941}"/>
    <cellStyle name="40% - Akzent6 4 21 3" xfId="28447" xr:uid="{6CD8E516-08AC-488D-AC19-0AD25C770EFE}"/>
    <cellStyle name="40% - Akzent6 4 22" xfId="9012" xr:uid="{1351FFBF-BF42-43A0-A3F3-276ED0E3159F}"/>
    <cellStyle name="40% - Akzent6 4 22 2" xfId="28449" xr:uid="{9D11A40A-531A-429B-95E2-11234F2340C2}"/>
    <cellStyle name="40% - Akzent6 4 23" xfId="9013" xr:uid="{238AD0FF-AB2F-457C-AB17-26932952BEE1}"/>
    <cellStyle name="40% - Akzent6 4 23 2" xfId="28450" xr:uid="{99384849-D3CB-4835-9047-DE0C20C8DD1E}"/>
    <cellStyle name="40% - Akzent6 4 24" xfId="28421" xr:uid="{3D0F3D74-5F26-4E58-850B-70E5B587460E}"/>
    <cellStyle name="40% - Akzent6 4 25" xfId="39335" xr:uid="{C3C2C381-3E53-4BEA-A23B-AD27E74C821C}"/>
    <cellStyle name="40% - Akzent6 4 26" xfId="8984" xr:uid="{1734B248-63F2-4B26-8D27-5A7F44942F50}"/>
    <cellStyle name="40% - Akzent6 4 3" xfId="9014" xr:uid="{CEC6492A-FCF9-4DAB-B914-A50160DEBB66}"/>
    <cellStyle name="40% - Akzent6 4 3 2" xfId="9015" xr:uid="{D5631405-AE87-4EAB-8D9D-B2ECF0216F5F}"/>
    <cellStyle name="40% - Akzent6 4 3 2 2" xfId="28452" xr:uid="{BAEAE913-443A-4E7D-A830-73197B38D637}"/>
    <cellStyle name="40% - Akzent6 4 3 2 3" xfId="40916" xr:uid="{F7696FAC-A3F6-4C2A-8A03-3389D9EA04FB}"/>
    <cellStyle name="40% - Akzent6 4 3 3" xfId="28451" xr:uid="{2F1E176D-667A-4C40-A30F-06F4F05B495D}"/>
    <cellStyle name="40% - Akzent6 4 3 3 2" xfId="41776" xr:uid="{9E28B90D-AD42-44DE-A6A9-AF61B94199E6}"/>
    <cellStyle name="40% - Akzent6 4 3 4" xfId="39970" xr:uid="{01C330F4-91C2-471A-A783-40D636070442}"/>
    <cellStyle name="40% - Akzent6 4 4" xfId="9016" xr:uid="{5DDB0C6E-1960-4113-9076-5AD82DEE56F4}"/>
    <cellStyle name="40% - Akzent6 4 4 2" xfId="9017" xr:uid="{C7FE403E-F5A2-42AA-96DC-6DB60D482D86}"/>
    <cellStyle name="40% - Akzent6 4 4 2 2" xfId="28454" xr:uid="{D5C37588-B8DB-41C5-9D04-AED5FE61FD85}"/>
    <cellStyle name="40% - Akzent6 4 4 3" xfId="28453" xr:uid="{CEEF06EB-B304-44B6-8E6C-C263B85C49F4}"/>
    <cellStyle name="40% - Akzent6 4 4 4" xfId="40477" xr:uid="{7A2AAEDB-C2BD-4C1A-96BE-B0F32C99AD1B}"/>
    <cellStyle name="40% - Akzent6 4 5" xfId="9018" xr:uid="{C7D09F45-DB0E-41F8-964D-86E2518001CE}"/>
    <cellStyle name="40% - Akzent6 4 5 2" xfId="9019" xr:uid="{299D6B0F-7C9D-4A0A-8503-B22DC37CD709}"/>
    <cellStyle name="40% - Akzent6 4 5 2 2" xfId="28456" xr:uid="{2DF028F9-9157-49BD-B2F6-4800DD613A4E}"/>
    <cellStyle name="40% - Akzent6 4 5 3" xfId="28455" xr:uid="{308A7DD6-D2F1-4B4F-B50C-3714ADFB99FE}"/>
    <cellStyle name="40% - Akzent6 4 5 4" xfId="41337" xr:uid="{D2F4E3B2-E650-4A05-8BCE-FCE44023990E}"/>
    <cellStyle name="40% - Akzent6 4 6" xfId="9020" xr:uid="{508A7E65-B17D-4598-A46C-F20FC5353DBD}"/>
    <cellStyle name="40% - Akzent6 4 6 2" xfId="9021" xr:uid="{8CECE3F2-21E5-436E-B0F8-6C84D7A09C0A}"/>
    <cellStyle name="40% - Akzent6 4 6 2 2" xfId="28458" xr:uid="{9C90B70B-4A20-40A9-9436-87664E188C76}"/>
    <cellStyle name="40% - Akzent6 4 6 3" xfId="28457" xr:uid="{28083FF1-8A37-4B94-8326-033FA3CF177A}"/>
    <cellStyle name="40% - Akzent6 4 7" xfId="9022" xr:uid="{38AE4994-724E-4791-AD4F-C7E98EA92077}"/>
    <cellStyle name="40% - Akzent6 4 7 2" xfId="9023" xr:uid="{9FFAE326-8CC5-4D18-8DF4-F5C20C6B73A6}"/>
    <cellStyle name="40% - Akzent6 4 7 2 2" xfId="28460" xr:uid="{7EC27E33-86F3-4848-953A-115E0EF05CEA}"/>
    <cellStyle name="40% - Akzent6 4 7 3" xfId="28459" xr:uid="{B9AD8014-4F7C-42E7-B7CB-9BA7ADBE70D5}"/>
    <cellStyle name="40% - Akzent6 4 8" xfId="9024" xr:uid="{70ED6FDF-88B2-4087-A2D2-58112290A4F4}"/>
    <cellStyle name="40% - Akzent6 4 8 2" xfId="9025" xr:uid="{5D4F2B13-7607-49BB-A7F6-A54EDB9200A1}"/>
    <cellStyle name="40% - Akzent6 4 8 2 2" xfId="28462" xr:uid="{F48B4B11-C608-4658-922E-7C1D0268B862}"/>
    <cellStyle name="40% - Akzent6 4 8 3" xfId="28461" xr:uid="{196D8315-653B-4D9E-9323-DD70530313D5}"/>
    <cellStyle name="40% - Akzent6 4 9" xfId="9026" xr:uid="{5917D429-FC7B-4C80-A94D-67F1C88A2580}"/>
    <cellStyle name="40% - Akzent6 4 9 2" xfId="9027" xr:uid="{90365B0F-FAE3-486F-92F9-E9AA0DB17EEB}"/>
    <cellStyle name="40% - Akzent6 4 9 2 2" xfId="28464" xr:uid="{CFDFE68F-590C-4FEB-8D1E-DDA692F61C46}"/>
    <cellStyle name="40% - Akzent6 4 9 3" xfId="28463" xr:uid="{A770B894-1C8F-4FCF-8940-F05A718394D5}"/>
    <cellStyle name="40% - Akzent6 40" xfId="9028" xr:uid="{AB8D00E1-F63F-42AF-8BC8-8C63817FC819}"/>
    <cellStyle name="40% - Akzent6 40 2" xfId="9029" xr:uid="{ADE63CE8-0922-4F65-B5FB-C6FBFA2355BA}"/>
    <cellStyle name="40% - Akzent6 40 2 2" xfId="28466" xr:uid="{BBD03A24-A387-4C3E-BC9E-EB538722AAC5}"/>
    <cellStyle name="40% - Akzent6 40 3" xfId="28465" xr:uid="{D1B9C276-FD01-411D-A553-539DBF98E01C}"/>
    <cellStyle name="40% - Akzent6 41" xfId="9030" xr:uid="{8541A055-2AF2-46E9-8AC6-EAF0CEA70139}"/>
    <cellStyle name="40% - Akzent6 41 2" xfId="9031" xr:uid="{171647A5-6EA1-4432-8F77-E4B5D621737A}"/>
    <cellStyle name="40% - Akzent6 41 2 2" xfId="28468" xr:uid="{90023BEB-0B6A-4670-B964-5865BF27788E}"/>
    <cellStyle name="40% - Akzent6 41 3" xfId="28467" xr:uid="{104DBB39-91A1-48BC-89ED-5F54F3399B8C}"/>
    <cellStyle name="40% - Akzent6 42" xfId="9032" xr:uid="{F8E8AEBC-B7E2-47F2-82CB-DD75CF294F52}"/>
    <cellStyle name="40% - Akzent6 42 2" xfId="9033" xr:uid="{59FF3182-CF3D-4C3D-B9C9-0BD8B0946561}"/>
    <cellStyle name="40% - Akzent6 42 2 2" xfId="28470" xr:uid="{3028B6B7-860E-4ECF-9D8B-D4F68B8A6A9F}"/>
    <cellStyle name="40% - Akzent6 42 3" xfId="28469" xr:uid="{824D8119-6578-4107-A883-A8DEB3EF6E4A}"/>
    <cellStyle name="40% - Akzent6 43" xfId="9034" xr:uid="{C2F7CA99-2EF8-4313-97D2-EF2B80EF0EE7}"/>
    <cellStyle name="40% - Akzent6 43 2" xfId="9035" xr:uid="{429535E4-4F74-41F7-8E41-C7FB9B4CA5E9}"/>
    <cellStyle name="40% - Akzent6 43 2 2" xfId="28472" xr:uid="{6621C9A7-10D0-4906-B4A9-59925B4326C2}"/>
    <cellStyle name="40% - Akzent6 43 3" xfId="28471" xr:uid="{6AE9C3C5-7D64-41C6-9524-3C02D0010C7E}"/>
    <cellStyle name="40% - Akzent6 44" xfId="9036" xr:uid="{D0732542-0E12-4CAF-B972-B9813DDF1B93}"/>
    <cellStyle name="40% - Akzent6 44 2" xfId="9037" xr:uid="{AA410F07-9476-467D-8162-AAF9A4E5488C}"/>
    <cellStyle name="40% - Akzent6 44 2 2" xfId="28474" xr:uid="{F0D7E218-B601-45AD-9A80-1383244F6087}"/>
    <cellStyle name="40% - Akzent6 44 3" xfId="28473" xr:uid="{B8E8628A-8ABC-4962-B7F6-2F4DA24E12A4}"/>
    <cellStyle name="40% - Akzent6 45" xfId="9038" xr:uid="{381FD01F-531A-4E9E-9E7B-1A8354C34B06}"/>
    <cellStyle name="40% - Akzent6 45 2" xfId="9039" xr:uid="{025A9F9D-7A1C-4B85-ADA3-0986D9E1C8F5}"/>
    <cellStyle name="40% - Akzent6 45 2 2" xfId="28476" xr:uid="{558BDB7B-436B-467C-8466-6DE460A1F0FF}"/>
    <cellStyle name="40% - Akzent6 45 3" xfId="28475" xr:uid="{D7F4231E-90C3-45DE-8F1A-0F56087C003E}"/>
    <cellStyle name="40% - Akzent6 46" xfId="9040" xr:uid="{E07C0C4A-E882-42C2-9E3F-87D0E0E9F7C1}"/>
    <cellStyle name="40% - Akzent6 46 2" xfId="9041" xr:uid="{6F184956-6A96-4B3B-BF97-A6202C07C08D}"/>
    <cellStyle name="40% - Akzent6 46 2 2" xfId="28478" xr:uid="{076C24F4-E61E-40FF-B5E7-CBF02C54C6E0}"/>
    <cellStyle name="40% - Akzent6 46 3" xfId="28477" xr:uid="{5EE0924A-A41D-4D21-9FA3-A2DCAF73D093}"/>
    <cellStyle name="40% - Akzent6 47" xfId="9042" xr:uid="{FC1D6934-D26E-4444-BF7F-8C5C75221D3C}"/>
    <cellStyle name="40% - Akzent6 47 2" xfId="9043" xr:uid="{EB63C0CD-1B81-4447-AC87-E3472110301C}"/>
    <cellStyle name="40% - Akzent6 47 2 2" xfId="28480" xr:uid="{0AD63BDB-F408-4A3E-8596-E7A36C9344B2}"/>
    <cellStyle name="40% - Akzent6 47 3" xfId="28479" xr:uid="{BBAC65BA-0D25-44E8-AF6A-D9DD90788076}"/>
    <cellStyle name="40% - Akzent6 48" xfId="9044" xr:uid="{F6EAFBB1-E056-4DB0-8FC8-28426C13F4CA}"/>
    <cellStyle name="40% - Akzent6 48 2" xfId="9045" xr:uid="{1B1CBF72-D7B4-4101-80D0-2174952D3276}"/>
    <cellStyle name="40% - Akzent6 48 2 2" xfId="28482" xr:uid="{D150B8B0-A0C9-419A-B534-983E5296A818}"/>
    <cellStyle name="40% - Akzent6 48 3" xfId="28481" xr:uid="{363E8976-7207-4657-9B5F-207F23C19E4D}"/>
    <cellStyle name="40% - Akzent6 49" xfId="9046" xr:uid="{367088E2-194E-4243-8758-36BB77B73501}"/>
    <cellStyle name="40% - Akzent6 49 2" xfId="9047" xr:uid="{D8F16EA9-FA13-4964-B037-C193C5D5780C}"/>
    <cellStyle name="40% - Akzent6 49 2 2" xfId="28484" xr:uid="{F11BF361-4A6D-4936-BC1C-0C1A60B3C1E3}"/>
    <cellStyle name="40% - Akzent6 49 3" xfId="28483" xr:uid="{C93E8FB9-2B22-42DA-9350-3AC851233267}"/>
    <cellStyle name="40% - Akzent6 5" xfId="9048" xr:uid="{E6AAE782-264D-4AE8-8594-A0914C9E095E}"/>
    <cellStyle name="40% - Akzent6 5 10" xfId="9049" xr:uid="{8533BD2F-92F9-4EF3-93D8-5A440507E1FE}"/>
    <cellStyle name="40% - Akzent6 5 10 2" xfId="9050" xr:uid="{F719DB0A-10AB-4226-A327-E61B74974589}"/>
    <cellStyle name="40% - Akzent6 5 10 2 2" xfId="28487" xr:uid="{D1732C4C-E9DB-4490-8317-E6C2E7A520B0}"/>
    <cellStyle name="40% - Akzent6 5 10 3" xfId="28486" xr:uid="{96A1B0DE-FDEE-4E8E-BCEC-C61F1EDACE50}"/>
    <cellStyle name="40% - Akzent6 5 11" xfId="9051" xr:uid="{BEB76947-CEE5-47B6-8CC9-42E60A389F3D}"/>
    <cellStyle name="40% - Akzent6 5 11 2" xfId="9052" xr:uid="{56CAD48A-F752-488E-BD59-8B86326307A0}"/>
    <cellStyle name="40% - Akzent6 5 11 2 2" xfId="28489" xr:uid="{37F3F9FD-CC37-48A5-A4B9-EDA29DA5D02D}"/>
    <cellStyle name="40% - Akzent6 5 11 3" xfId="28488" xr:uid="{2ABF41A2-16CC-4BE8-9A4D-427DEDFA7A77}"/>
    <cellStyle name="40% - Akzent6 5 12" xfId="9053" xr:uid="{C2A9AA2A-6776-4C68-9FFB-40C1C6C996C5}"/>
    <cellStyle name="40% - Akzent6 5 12 2" xfId="9054" xr:uid="{14C53AB5-35ED-42C6-B697-587F7AA6ACA0}"/>
    <cellStyle name="40% - Akzent6 5 12 2 2" xfId="28491" xr:uid="{E50B27BB-B576-4885-90A3-84FA20F8AE7A}"/>
    <cellStyle name="40% - Akzent6 5 12 3" xfId="28490" xr:uid="{52B0FB33-F904-4F13-BB00-986C5307E4CF}"/>
    <cellStyle name="40% - Akzent6 5 13" xfId="9055" xr:uid="{1B6AE161-4F81-47DC-A944-D0EF22875FA4}"/>
    <cellStyle name="40% - Akzent6 5 13 2" xfId="9056" xr:uid="{8F45C8D6-8093-44B7-B5B7-6344E75911E0}"/>
    <cellStyle name="40% - Akzent6 5 13 2 2" xfId="28493" xr:uid="{287C32E7-A0A6-4E24-A4EF-A2C15E7265C4}"/>
    <cellStyle name="40% - Akzent6 5 13 3" xfId="28492" xr:uid="{85CEBA81-32DC-4EA5-BE6B-52A623476409}"/>
    <cellStyle name="40% - Akzent6 5 14" xfId="9057" xr:uid="{859B8BC5-0211-4D69-8F0A-4D4CEA2C71F7}"/>
    <cellStyle name="40% - Akzent6 5 14 2" xfId="9058" xr:uid="{8704036C-527C-4BAA-A02A-7CB2D8C66065}"/>
    <cellStyle name="40% - Akzent6 5 14 2 2" xfId="28495" xr:uid="{C3C91CA9-5532-4153-BEE3-CE737E386B33}"/>
    <cellStyle name="40% - Akzent6 5 14 3" xfId="28494" xr:uid="{E69194CA-4CE1-4789-BD2C-40E8C71D8406}"/>
    <cellStyle name="40% - Akzent6 5 15" xfId="9059" xr:uid="{FD5FFC56-D8D1-442E-9092-374D8484F712}"/>
    <cellStyle name="40% - Akzent6 5 15 2" xfId="9060" xr:uid="{3DEB7195-88FE-452A-9CCB-A7309D20C7DB}"/>
    <cellStyle name="40% - Akzent6 5 15 2 2" xfId="28497" xr:uid="{E68AE358-66DC-4AA1-A4D3-D5937A0D213A}"/>
    <cellStyle name="40% - Akzent6 5 15 3" xfId="28496" xr:uid="{6BB8B788-D0A6-4C0C-B8E1-E1399A55B9BF}"/>
    <cellStyle name="40% - Akzent6 5 16" xfId="9061" xr:uid="{3B823FFA-EEB4-49C8-8AD8-AF7CFF55E4AB}"/>
    <cellStyle name="40% - Akzent6 5 16 2" xfId="9062" xr:uid="{5BF4DA95-1C0F-41F3-A4D9-39046AAE3715}"/>
    <cellStyle name="40% - Akzent6 5 16 2 2" xfId="28499" xr:uid="{804533EE-5DD7-49E6-A12B-C2E2AB0C149E}"/>
    <cellStyle name="40% - Akzent6 5 16 3" xfId="28498" xr:uid="{25E190F4-A4D3-41BD-96B0-81DC7DD62DA6}"/>
    <cellStyle name="40% - Akzent6 5 17" xfId="9063" xr:uid="{F5EDF07F-9F8D-42D0-96AA-B76694770D74}"/>
    <cellStyle name="40% - Akzent6 5 17 2" xfId="9064" xr:uid="{DD015B40-56CF-4A28-88A1-F6B14F977FD9}"/>
    <cellStyle name="40% - Akzent6 5 17 2 2" xfId="28501" xr:uid="{3D7FD312-71E9-49B1-86F0-86AF1B6A68DE}"/>
    <cellStyle name="40% - Akzent6 5 17 3" xfId="28500" xr:uid="{D1290DE5-1CDF-483D-8488-68B6980A7938}"/>
    <cellStyle name="40% - Akzent6 5 18" xfId="9065" xr:uid="{C51B3101-D391-4E45-91D4-107B2BCEBC35}"/>
    <cellStyle name="40% - Akzent6 5 18 2" xfId="9066" xr:uid="{54787349-5406-4FE9-B369-B581E628B3EB}"/>
    <cellStyle name="40% - Akzent6 5 18 2 2" xfId="28503" xr:uid="{9604EC3E-186D-402A-9180-68AD7695413F}"/>
    <cellStyle name="40% - Akzent6 5 18 3" xfId="28502" xr:uid="{987DA7B0-81C1-4311-B5B1-5CC70375C9D2}"/>
    <cellStyle name="40% - Akzent6 5 19" xfId="9067" xr:uid="{3060FD30-0212-4092-A9F8-EE3E2DA58AE9}"/>
    <cellStyle name="40% - Akzent6 5 19 2" xfId="9068" xr:uid="{6C7E6129-DA7A-48A4-862D-DFAF438D65F2}"/>
    <cellStyle name="40% - Akzent6 5 19 2 2" xfId="28505" xr:uid="{09BF7E61-9F23-4015-9AEB-DED671468856}"/>
    <cellStyle name="40% - Akzent6 5 19 3" xfId="28504" xr:uid="{8BF76B58-C771-40FD-8675-6FB197207483}"/>
    <cellStyle name="40% - Akzent6 5 2" xfId="9069" xr:uid="{C8908A34-AE62-4999-BE92-EC32736C8D55}"/>
    <cellStyle name="40% - Akzent6 5 2 2" xfId="9070" xr:uid="{61E97B5D-D198-48B8-A6BF-1E258BF28DDE}"/>
    <cellStyle name="40% - Akzent6 5 2 2 2" xfId="28507" xr:uid="{3DEAECE7-3697-480B-A048-CAB495DA3447}"/>
    <cellStyle name="40% - Akzent6 5 2 3" xfId="28506" xr:uid="{3B63A0BE-2614-4B65-B4D1-510FD854A50C}"/>
    <cellStyle name="40% - Akzent6 5 20" xfId="9071" xr:uid="{8F586E0F-5E8F-4B24-8D8D-34A4A7A6D09C}"/>
    <cellStyle name="40% - Akzent6 5 20 2" xfId="9072" xr:uid="{B58EA6B1-D5FA-41BC-88F7-0106701903BA}"/>
    <cellStyle name="40% - Akzent6 5 20 2 2" xfId="28509" xr:uid="{36A52B28-3CD5-4D8D-9E99-DBF1E9C51E4C}"/>
    <cellStyle name="40% - Akzent6 5 20 3" xfId="28508" xr:uid="{4C5C9987-CD58-47C9-90E0-39712036F4A2}"/>
    <cellStyle name="40% - Akzent6 5 21" xfId="9073" xr:uid="{06A638DC-A47E-4DDD-A174-4DC6B93BB120}"/>
    <cellStyle name="40% - Akzent6 5 21 2" xfId="9074" xr:uid="{D856695D-7F97-4EA9-BBE5-FFC3FC4BEBF7}"/>
    <cellStyle name="40% - Akzent6 5 21 2 2" xfId="28511" xr:uid="{5DE2ED66-E510-41C4-BB3D-EEFF4948321E}"/>
    <cellStyle name="40% - Akzent6 5 21 3" xfId="28510" xr:uid="{BF155ED6-0EF2-4B86-860C-4A1962C6337F}"/>
    <cellStyle name="40% - Akzent6 5 22" xfId="9075" xr:uid="{B0FFEFDF-AEC0-4364-A555-20A80FE40347}"/>
    <cellStyle name="40% - Akzent6 5 22 2" xfId="28512" xr:uid="{74A4F9A6-90E8-4FB1-B471-F80E433E3F44}"/>
    <cellStyle name="40% - Akzent6 5 23" xfId="9076" xr:uid="{59EC94A2-72E8-433A-A375-CEEA3601BA43}"/>
    <cellStyle name="40% - Akzent6 5 23 2" xfId="28513" xr:uid="{1DA4B6BE-70DD-4C76-8542-627B5AD5E2D8}"/>
    <cellStyle name="40% - Akzent6 5 24" xfId="28485" xr:uid="{C5E6AC5D-D365-40C9-9293-92F0E167CD04}"/>
    <cellStyle name="40% - Akzent6 5 25" xfId="39336" xr:uid="{4B6EBCE5-3E96-48AB-8570-47BA7F5A5FE7}"/>
    <cellStyle name="40% - Akzent6 5 3" xfId="9077" xr:uid="{141DBE28-BA06-482D-B2D3-0DAA509B1C32}"/>
    <cellStyle name="40% - Akzent6 5 3 2" xfId="9078" xr:uid="{30569835-F084-479D-973F-026D1273AC65}"/>
    <cellStyle name="40% - Akzent6 5 3 2 2" xfId="28515" xr:uid="{7017914F-08B5-4C6F-B795-EBF11364CE40}"/>
    <cellStyle name="40% - Akzent6 5 3 3" xfId="28514" xr:uid="{C1746443-F0E1-4039-93B7-6C6A6AA1624C}"/>
    <cellStyle name="40% - Akzent6 5 4" xfId="9079" xr:uid="{069AC3A6-F252-4449-BAC7-5939910A57C9}"/>
    <cellStyle name="40% - Akzent6 5 4 2" xfId="9080" xr:uid="{BD16B367-5831-40FF-9EC1-8B4CF8FBDF09}"/>
    <cellStyle name="40% - Akzent6 5 4 2 2" xfId="28517" xr:uid="{7A288CB1-C18B-4BCB-897E-7A769DE008A1}"/>
    <cellStyle name="40% - Akzent6 5 4 3" xfId="28516" xr:uid="{A3016F0D-A086-490D-9FF2-128FC0BE1A4A}"/>
    <cellStyle name="40% - Akzent6 5 5" xfId="9081" xr:uid="{05A2F994-F990-4285-AB25-933D4E371FDE}"/>
    <cellStyle name="40% - Akzent6 5 5 2" xfId="9082" xr:uid="{2B95577D-9A28-4EEA-A6CD-12B7702CFDC4}"/>
    <cellStyle name="40% - Akzent6 5 5 2 2" xfId="28519" xr:uid="{638E11AC-2C1D-41B4-9192-6C5EB40E9AF5}"/>
    <cellStyle name="40% - Akzent6 5 5 3" xfId="28518" xr:uid="{EDC6B790-E9EF-4F07-AEF0-71831F4A23D2}"/>
    <cellStyle name="40% - Akzent6 5 6" xfId="9083" xr:uid="{0E648804-2827-42CB-9CFF-E8434D4933E8}"/>
    <cellStyle name="40% - Akzent6 5 6 2" xfId="9084" xr:uid="{23B844D4-C58B-4965-A62C-BBFEFA9F78CB}"/>
    <cellStyle name="40% - Akzent6 5 6 2 2" xfId="28521" xr:uid="{7A879B53-7536-4C3A-A8B0-63D9D7A0D068}"/>
    <cellStyle name="40% - Akzent6 5 6 3" xfId="28520" xr:uid="{E1799182-452E-456F-8BE3-28149BCE8B55}"/>
    <cellStyle name="40% - Akzent6 5 7" xfId="9085" xr:uid="{3AB0DAB1-579E-47DF-B14B-337DFAC8C7CF}"/>
    <cellStyle name="40% - Akzent6 5 7 2" xfId="9086" xr:uid="{D2EAFF60-942A-4748-A87B-D3F4EFF51044}"/>
    <cellStyle name="40% - Akzent6 5 7 2 2" xfId="28523" xr:uid="{38CA379D-5882-49F3-98E5-9F1AAA57F408}"/>
    <cellStyle name="40% - Akzent6 5 7 3" xfId="28522" xr:uid="{763641CA-0A45-4A51-8298-0B619BED3910}"/>
    <cellStyle name="40% - Akzent6 5 8" xfId="9087" xr:uid="{AFA6B133-C1EE-4449-A95E-CE31C1FAA713}"/>
    <cellStyle name="40% - Akzent6 5 8 2" xfId="9088" xr:uid="{7C046405-9E17-4DAA-A370-63BD9BE6D4A1}"/>
    <cellStyle name="40% - Akzent6 5 8 2 2" xfId="28525" xr:uid="{5BCD2272-A20E-47A8-85FC-DA94F69DB441}"/>
    <cellStyle name="40% - Akzent6 5 8 3" xfId="28524" xr:uid="{C8E2A105-540E-4944-BD99-3F80E402AEBC}"/>
    <cellStyle name="40% - Akzent6 5 9" xfId="9089" xr:uid="{47822996-BBFC-4892-9FF5-60740F11F855}"/>
    <cellStyle name="40% - Akzent6 5 9 2" xfId="9090" xr:uid="{DEE93F51-9306-4208-827A-3D8DA035C01A}"/>
    <cellStyle name="40% - Akzent6 5 9 2 2" xfId="28527" xr:uid="{8729C6E4-FBE2-447F-BF6D-63C5BEDABC26}"/>
    <cellStyle name="40% - Akzent6 5 9 3" xfId="28526" xr:uid="{F866BFA5-C55A-4769-8D4D-E13D6431B560}"/>
    <cellStyle name="40% - Akzent6 50" xfId="9091" xr:uid="{98494D5E-0CFF-4FB8-895B-5224B7E30201}"/>
    <cellStyle name="40% - Akzent6 50 2" xfId="9092" xr:uid="{C23BB057-7FEE-479F-B77D-B385F6A80B8B}"/>
    <cellStyle name="40% - Akzent6 50 2 2" xfId="28529" xr:uid="{058978B7-B9BC-44CE-90BA-0E91AFBDC101}"/>
    <cellStyle name="40% - Akzent6 50 3" xfId="28528" xr:uid="{67F15C44-EF05-42F3-A85E-E350C51E8A83}"/>
    <cellStyle name="40% - Akzent6 51" xfId="9093" xr:uid="{0149C434-FC40-4EFF-B7DE-4021BBF89848}"/>
    <cellStyle name="40% - Akzent6 51 2" xfId="9094" xr:uid="{7EE6AA9B-07DF-4533-B26A-8BA4353D6376}"/>
    <cellStyle name="40% - Akzent6 51 2 2" xfId="28531" xr:uid="{B37D2AE4-471D-4470-B418-5F5D64BCC180}"/>
    <cellStyle name="40% - Akzent6 51 3" xfId="28530" xr:uid="{5FBFCB04-F4EF-45CC-B35A-A3152FA68F0A}"/>
    <cellStyle name="40% - Akzent6 52" xfId="9095" xr:uid="{207F09E1-141D-498B-9D11-149F44037E6F}"/>
    <cellStyle name="40% - Akzent6 52 2" xfId="9096" xr:uid="{B13B29B7-F1DE-4720-A2B9-9B08DFD3413D}"/>
    <cellStyle name="40% - Akzent6 52 2 2" xfId="28533" xr:uid="{D0182FA7-CE63-49A7-90CC-CB7280C1D179}"/>
    <cellStyle name="40% - Akzent6 52 3" xfId="28532" xr:uid="{0D99F240-8B7B-4116-BAAD-FE91F6791B41}"/>
    <cellStyle name="40% - Akzent6 53" xfId="9097" xr:uid="{30CEEEBC-D202-4C44-82C2-E7F16651BBF6}"/>
    <cellStyle name="40% - Akzent6 53 2" xfId="9098" xr:uid="{45880857-5DA4-47A0-B2BA-8A0D3F4D7B25}"/>
    <cellStyle name="40% - Akzent6 53 2 2" xfId="28535" xr:uid="{17277CD5-87A2-4D5B-8769-CADAFB31E3DA}"/>
    <cellStyle name="40% - Akzent6 53 3" xfId="28534" xr:uid="{E9CE3B4A-7162-466F-8755-0882A7800512}"/>
    <cellStyle name="40% - Akzent6 54" xfId="9099" xr:uid="{4ADF51A0-1971-4562-967F-BDECDCA38A74}"/>
    <cellStyle name="40% - Akzent6 54 2" xfId="9100" xr:uid="{66D6FFCF-9A89-4439-80A1-19671D7A17BC}"/>
    <cellStyle name="40% - Akzent6 54 2 2" xfId="28537" xr:uid="{5CABF12B-8B0C-4074-93B0-2311A69E9955}"/>
    <cellStyle name="40% - Akzent6 54 3" xfId="28536" xr:uid="{DFFBB681-1BAD-49C3-8C35-F5DAEE928B27}"/>
    <cellStyle name="40% - Akzent6 55" xfId="9101" xr:uid="{E8306B8F-E4F4-4360-B434-103C6D3E508C}"/>
    <cellStyle name="40% - Akzent6 55 2" xfId="9102" xr:uid="{4D543898-9564-4068-BFB9-DEA04A5243F6}"/>
    <cellStyle name="40% - Akzent6 55 2 2" xfId="28539" xr:uid="{B323FFDC-FE88-4F41-ADF4-BE1C3C817809}"/>
    <cellStyle name="40% - Akzent6 55 3" xfId="28538" xr:uid="{4E936C65-829D-430F-BE1E-C810FBCE4539}"/>
    <cellStyle name="40% - Akzent6 56" xfId="9103" xr:uid="{6A1254AA-C891-4584-92D8-E54A0E034638}"/>
    <cellStyle name="40% - Akzent6 56 2" xfId="9104" xr:uid="{2F60776F-A8AF-419F-8AB2-480DAC693915}"/>
    <cellStyle name="40% - Akzent6 56 2 2" xfId="28541" xr:uid="{7A510128-B03C-45AA-80E8-3CF9B504D01B}"/>
    <cellStyle name="40% - Akzent6 56 3" xfId="28540" xr:uid="{5BE73F5F-9787-4C5A-AE30-52C8044729B2}"/>
    <cellStyle name="40% - Akzent6 57" xfId="9105" xr:uid="{066DBBA7-8B84-4217-9A8F-810DF2B800AB}"/>
    <cellStyle name="40% - Akzent6 57 2" xfId="9106" xr:uid="{492F7B92-DF78-43C9-AEEA-DEAD4304E7D5}"/>
    <cellStyle name="40% - Akzent6 57 2 2" xfId="28543" xr:uid="{873AA22E-F244-426E-92E2-C88C5EDE2BB2}"/>
    <cellStyle name="40% - Akzent6 57 3" xfId="28542" xr:uid="{427FD9C1-6449-4586-AE6A-9929CF2073D7}"/>
    <cellStyle name="40% - Akzent6 58" xfId="9107" xr:uid="{8425F223-44AB-4A16-83BA-9FA036D00C4A}"/>
    <cellStyle name="40% - Akzent6 58 2" xfId="9108" xr:uid="{AA74A646-F026-4928-9350-E3A39BCB10C1}"/>
    <cellStyle name="40% - Akzent6 58 2 2" xfId="28545" xr:uid="{29DBE1A9-7DD1-48C2-AFE9-F30DB79C0242}"/>
    <cellStyle name="40% - Akzent6 58 3" xfId="28544" xr:uid="{F697033A-4AF8-4B6C-B673-6B3C6570365B}"/>
    <cellStyle name="40% - Akzent6 59" xfId="9109" xr:uid="{0EAED53D-A742-4AF7-9D04-10F3B4C3A6FF}"/>
    <cellStyle name="40% - Akzent6 59 2" xfId="9110" xr:uid="{5AEEA344-98BF-4E2D-B315-F752D5E0AEC8}"/>
    <cellStyle name="40% - Akzent6 59 2 2" xfId="28547" xr:uid="{2A331745-6C58-4DB5-8AEB-F9C62C478BBA}"/>
    <cellStyle name="40% - Akzent6 59 3" xfId="28546" xr:uid="{C6539BBB-0D63-4895-9939-A4EAC65BD580}"/>
    <cellStyle name="40% - Akzent6 6" xfId="9111" xr:uid="{FB5F56F9-B011-4891-95EA-CFB3AB1892F5}"/>
    <cellStyle name="40% - Akzent6 6 10" xfId="9112" xr:uid="{0364C8D6-24C7-4151-8D92-693DB2B03A39}"/>
    <cellStyle name="40% - Akzent6 6 10 2" xfId="9113" xr:uid="{70CB3A5A-4692-4265-9AA3-997035CE3869}"/>
    <cellStyle name="40% - Akzent6 6 10 2 2" xfId="28550" xr:uid="{7E746D71-6A14-45D7-A1EC-D5695C8450EF}"/>
    <cellStyle name="40% - Akzent6 6 10 3" xfId="28549" xr:uid="{617AABA8-9563-4E8B-909D-15D750C3585E}"/>
    <cellStyle name="40% - Akzent6 6 11" xfId="9114" xr:uid="{AABB1E1D-2F80-41BD-9359-712D08896485}"/>
    <cellStyle name="40% - Akzent6 6 11 2" xfId="9115" xr:uid="{31038EAA-BDC7-4CCD-A4B5-2001823A9CA7}"/>
    <cellStyle name="40% - Akzent6 6 11 2 2" xfId="28552" xr:uid="{103A39D7-8F71-4B0F-8B09-8D9A5A75BA5D}"/>
    <cellStyle name="40% - Akzent6 6 11 3" xfId="28551" xr:uid="{F703EB04-8508-4E1F-9A2D-69FB8EBB7EB8}"/>
    <cellStyle name="40% - Akzent6 6 12" xfId="9116" xr:uid="{63A6B01A-2F8D-4DF2-9217-3424C1768385}"/>
    <cellStyle name="40% - Akzent6 6 12 2" xfId="9117" xr:uid="{0F59C0F1-DC0F-40FC-9DFB-F2DC96AA57CA}"/>
    <cellStyle name="40% - Akzent6 6 12 2 2" xfId="28554" xr:uid="{6CE0EDFB-6C1F-4497-B531-43F4E22F7590}"/>
    <cellStyle name="40% - Akzent6 6 12 3" xfId="28553" xr:uid="{20FB3099-AF21-494F-9111-D492FDE468EF}"/>
    <cellStyle name="40% - Akzent6 6 13" xfId="9118" xr:uid="{A75900C2-4F6A-4F71-9001-0C1F34CDA86A}"/>
    <cellStyle name="40% - Akzent6 6 13 2" xfId="9119" xr:uid="{4EF6EEC1-6941-471E-8358-A7DFEBBD26F4}"/>
    <cellStyle name="40% - Akzent6 6 13 2 2" xfId="28556" xr:uid="{C6EDDCD8-F96B-4EE3-BDC2-FFF9F0E9C2E9}"/>
    <cellStyle name="40% - Akzent6 6 13 3" xfId="28555" xr:uid="{C290FA22-8966-4B0D-B7FE-7177F1C0ECE9}"/>
    <cellStyle name="40% - Akzent6 6 14" xfId="9120" xr:uid="{5176B48D-EDEF-494B-A21D-7AAF8D38EA46}"/>
    <cellStyle name="40% - Akzent6 6 14 2" xfId="9121" xr:uid="{25B2EA1D-105B-4F9D-856D-3CCB25995CB4}"/>
    <cellStyle name="40% - Akzent6 6 14 2 2" xfId="28558" xr:uid="{FC540813-8037-4EEE-9585-E87D2888C042}"/>
    <cellStyle name="40% - Akzent6 6 14 3" xfId="28557" xr:uid="{7C45D005-6DDC-40B9-BB25-58729ABE0919}"/>
    <cellStyle name="40% - Akzent6 6 15" xfId="9122" xr:uid="{ADFC68CC-D204-4FEB-878A-FACD962DFFB9}"/>
    <cellStyle name="40% - Akzent6 6 15 2" xfId="9123" xr:uid="{B345DD4C-77D6-480B-96C2-D5EFF985A8F3}"/>
    <cellStyle name="40% - Akzent6 6 15 2 2" xfId="28560" xr:uid="{C36B6C16-F837-4E54-AA6A-33DC6DD4F147}"/>
    <cellStyle name="40% - Akzent6 6 15 3" xfId="28559" xr:uid="{91A006B5-4256-4279-8FB5-BE657526A356}"/>
    <cellStyle name="40% - Akzent6 6 16" xfId="9124" xr:uid="{FBE38A86-EDED-4D44-B880-A234338F4269}"/>
    <cellStyle name="40% - Akzent6 6 16 2" xfId="9125" xr:uid="{B9B5D3F8-D222-4EC8-8E3E-4BEFF18236A1}"/>
    <cellStyle name="40% - Akzent6 6 16 2 2" xfId="28562" xr:uid="{26DE891D-F313-4378-86A7-4100A54C1943}"/>
    <cellStyle name="40% - Akzent6 6 16 3" xfId="28561" xr:uid="{494BA9B1-94A9-450B-87E9-949D2262E166}"/>
    <cellStyle name="40% - Akzent6 6 17" xfId="9126" xr:uid="{B80A3B43-A038-4A57-8BBB-8B3BE6278F67}"/>
    <cellStyle name="40% - Akzent6 6 17 2" xfId="9127" xr:uid="{3C67CABD-DBA1-43CC-A83F-D591B474A3A0}"/>
    <cellStyle name="40% - Akzent6 6 17 2 2" xfId="28564" xr:uid="{BAF16AC9-0DFA-46D4-B326-53B8AFD04238}"/>
    <cellStyle name="40% - Akzent6 6 17 3" xfId="28563" xr:uid="{BF4CF229-5444-4BEB-A9F5-5499859500D4}"/>
    <cellStyle name="40% - Akzent6 6 18" xfId="9128" xr:uid="{37B9D8B6-23EF-4506-8FA8-B378CA16E5EA}"/>
    <cellStyle name="40% - Akzent6 6 18 2" xfId="9129" xr:uid="{6F58DB93-740D-4FB7-8D99-21F76AE70B64}"/>
    <cellStyle name="40% - Akzent6 6 18 2 2" xfId="28566" xr:uid="{286B6C78-692B-4FB4-A829-3255A27BE557}"/>
    <cellStyle name="40% - Akzent6 6 18 3" xfId="28565" xr:uid="{C3F3DD02-B98C-428C-AEE2-3FA56C2E3D12}"/>
    <cellStyle name="40% - Akzent6 6 19" xfId="9130" xr:uid="{C1DD86B9-7B89-44F6-952C-462B3BAE6F8C}"/>
    <cellStyle name="40% - Akzent6 6 19 2" xfId="9131" xr:uid="{D678D8E1-8BCE-4E39-9149-DAA11F584FB8}"/>
    <cellStyle name="40% - Akzent6 6 19 2 2" xfId="28568" xr:uid="{6AF749A3-1E41-4F70-AB21-37BAB648E041}"/>
    <cellStyle name="40% - Akzent6 6 19 3" xfId="28567" xr:uid="{052ED01C-7D6E-4180-B64B-EF875B61A727}"/>
    <cellStyle name="40% - Akzent6 6 2" xfId="9132" xr:uid="{2E485C92-E4C2-4677-8E02-04F73425F001}"/>
    <cellStyle name="40% - Akzent6 6 2 2" xfId="28569" xr:uid="{2FC4B7BE-0B04-4005-A0DD-D86BFF8C349D}"/>
    <cellStyle name="40% - Akzent6 6 20" xfId="9133" xr:uid="{2355A52E-FE7B-4C46-81AE-B306B0286374}"/>
    <cellStyle name="40% - Akzent6 6 20 2" xfId="9134" xr:uid="{7C62B87E-880A-4AD0-AE8E-63CC622DF2FF}"/>
    <cellStyle name="40% - Akzent6 6 20 2 2" xfId="28571" xr:uid="{A1D72B0D-5748-4FAD-8681-DAF32F489F4D}"/>
    <cellStyle name="40% - Akzent6 6 20 3" xfId="28570" xr:uid="{FAAFA730-24CE-4E47-B5F7-4AB79291C45D}"/>
    <cellStyle name="40% - Akzent6 6 21" xfId="9135" xr:uid="{3A2E0B6D-8705-4513-850A-B0EB5AA0A4F3}"/>
    <cellStyle name="40% - Akzent6 6 21 2" xfId="9136" xr:uid="{03CE8B73-8E45-4720-9FA2-44E9FFB899CA}"/>
    <cellStyle name="40% - Akzent6 6 21 2 2" xfId="28573" xr:uid="{CFE37898-0034-4D02-8FC1-D283756D9912}"/>
    <cellStyle name="40% - Akzent6 6 21 3" xfId="28572" xr:uid="{119999C3-B3A0-42C4-8DD6-FBDD8DDB14B2}"/>
    <cellStyle name="40% - Akzent6 6 22" xfId="9137" xr:uid="{4B2F2002-4101-42BD-9605-FD22530B12F0}"/>
    <cellStyle name="40% - Akzent6 6 22 2" xfId="28574" xr:uid="{24BD4565-48CB-4CE1-9CC3-003F1DDAF5AE}"/>
    <cellStyle name="40% - Akzent6 6 23" xfId="9138" xr:uid="{6107B16C-058E-4717-A921-9DF21A69FA1B}"/>
    <cellStyle name="40% - Akzent6 6 23 2" xfId="28575" xr:uid="{115F3730-9C9D-4C4A-9E89-4B534BA16EB9}"/>
    <cellStyle name="40% - Akzent6 6 24" xfId="28548" xr:uid="{D064B93A-5CC0-45BA-B4C7-526D9721EAFB}"/>
    <cellStyle name="40% - Akzent6 6 25" xfId="39331" xr:uid="{B535683C-1D16-42DB-9111-42B73DB67EB0}"/>
    <cellStyle name="40% - Akzent6 6 3" xfId="9139" xr:uid="{7D9DA3A1-668F-48CD-8086-853614EB355D}"/>
    <cellStyle name="40% - Akzent6 6 3 2" xfId="9140" xr:uid="{1970F35C-477F-42FC-AB20-AF00BEDA46B5}"/>
    <cellStyle name="40% - Akzent6 6 3 2 2" xfId="28577" xr:uid="{20E5AC47-B026-4E20-A3F6-DD3AAA6A11CE}"/>
    <cellStyle name="40% - Akzent6 6 3 3" xfId="28576" xr:uid="{9A614CB2-074C-40C3-A92E-2714CB9FE1A2}"/>
    <cellStyle name="40% - Akzent6 6 4" xfId="9141" xr:uid="{957E713E-FA26-444B-B455-63BA4FC1E019}"/>
    <cellStyle name="40% - Akzent6 6 4 2" xfId="9142" xr:uid="{3B40D7C5-B74A-4CF2-8983-6F66D128E748}"/>
    <cellStyle name="40% - Akzent6 6 4 2 2" xfId="28579" xr:uid="{283DEDCF-0CC3-4B29-BB69-48BE9C62FC67}"/>
    <cellStyle name="40% - Akzent6 6 4 3" xfId="28578" xr:uid="{09A2F51B-C9F9-4CFF-A6A0-280297248F85}"/>
    <cellStyle name="40% - Akzent6 6 5" xfId="9143" xr:uid="{A6741F93-7E31-4052-9550-8362D72BBDBF}"/>
    <cellStyle name="40% - Akzent6 6 5 2" xfId="9144" xr:uid="{7E040024-6767-43A1-8FD0-7B6AECBC124D}"/>
    <cellStyle name="40% - Akzent6 6 5 2 2" xfId="28581" xr:uid="{AD81BE7B-8091-471E-BB39-4EC7A353CA9C}"/>
    <cellStyle name="40% - Akzent6 6 5 3" xfId="28580" xr:uid="{1129FD9D-B446-4BAE-B549-75F6AC8C0271}"/>
    <cellStyle name="40% - Akzent6 6 6" xfId="9145" xr:uid="{9DAC10D4-94AB-4F09-95AF-FCC93356B51A}"/>
    <cellStyle name="40% - Akzent6 6 6 2" xfId="9146" xr:uid="{70392BF0-D195-4D6B-B1B1-B5FFA93D104D}"/>
    <cellStyle name="40% - Akzent6 6 6 2 2" xfId="28583" xr:uid="{F5260EA1-D906-4417-A88C-26E778E97CDE}"/>
    <cellStyle name="40% - Akzent6 6 6 3" xfId="28582" xr:uid="{EE8C7FC1-4F81-4A5F-9102-0109FE4FC40E}"/>
    <cellStyle name="40% - Akzent6 6 7" xfId="9147" xr:uid="{034A9BB3-F802-4B8F-8B15-F9C82C7AF5D3}"/>
    <cellStyle name="40% - Akzent6 6 7 2" xfId="9148" xr:uid="{844F0145-53ED-4649-8446-FCE4E234DD03}"/>
    <cellStyle name="40% - Akzent6 6 7 2 2" xfId="28585" xr:uid="{69163DDE-DEFF-44D7-ABE1-4F478F28B2DC}"/>
    <cellStyle name="40% - Akzent6 6 7 3" xfId="28584" xr:uid="{0AB2831E-8506-46CF-99B6-6D069B2C5452}"/>
    <cellStyle name="40% - Akzent6 6 8" xfId="9149" xr:uid="{329BD52E-0300-4D1A-9469-528F7449CFAA}"/>
    <cellStyle name="40% - Akzent6 6 8 2" xfId="9150" xr:uid="{3DD54951-8F31-4B70-B7F2-C2EEF0C2B21E}"/>
    <cellStyle name="40% - Akzent6 6 8 2 2" xfId="28587" xr:uid="{57F23B06-3E0A-421F-B88B-B47EDC83C8B8}"/>
    <cellStyle name="40% - Akzent6 6 8 3" xfId="28586" xr:uid="{2D17CD02-769F-4B76-920D-599975476F4A}"/>
    <cellStyle name="40% - Akzent6 6 9" xfId="9151" xr:uid="{43D3FEB8-7E9E-4802-8D28-7FE63CAB3D9C}"/>
    <cellStyle name="40% - Akzent6 6 9 2" xfId="9152" xr:uid="{E71494D9-5174-4162-9784-4B58A55B032A}"/>
    <cellStyle name="40% - Akzent6 6 9 2 2" xfId="28589" xr:uid="{E76FE795-1F54-4F5B-9D63-9159D6A301F3}"/>
    <cellStyle name="40% - Akzent6 6 9 3" xfId="28588" xr:uid="{28CC7FC3-25A3-485F-9168-F7927BB04F97}"/>
    <cellStyle name="40% - Akzent6 60" xfId="9153" xr:uid="{4A3D442E-0D12-4F58-810D-8F5444520312}"/>
    <cellStyle name="40% - Akzent6 60 2" xfId="9154" xr:uid="{1BD74868-7B43-48BE-AB6B-C5FBEB36D986}"/>
    <cellStyle name="40% - Akzent6 60 2 2" xfId="28591" xr:uid="{1D92400B-9540-4CC6-A032-86C83489CB69}"/>
    <cellStyle name="40% - Akzent6 60 3" xfId="28590" xr:uid="{F15FB258-0A49-46E1-A29B-4AD5E87B2850}"/>
    <cellStyle name="40% - Akzent6 61" xfId="9155" xr:uid="{D3A11D63-E42D-468B-8DE5-8C71E0E48FB8}"/>
    <cellStyle name="40% - Akzent6 61 2" xfId="9156" xr:uid="{0B9EAC97-0A3B-4335-B9BE-15B7C3902C42}"/>
    <cellStyle name="40% - Akzent6 61 2 2" xfId="28593" xr:uid="{DB3C249B-D251-4B67-B08B-09573357944F}"/>
    <cellStyle name="40% - Akzent6 61 3" xfId="28592" xr:uid="{A0A6ECCF-2E37-4F59-BC33-E7C5AB077D89}"/>
    <cellStyle name="40% - Akzent6 62" xfId="9157" xr:uid="{1ECB1782-0544-481C-B196-660E9A648680}"/>
    <cellStyle name="40% - Akzent6 62 2" xfId="9158" xr:uid="{066DCE0C-03CF-4AF1-B3AF-D1D4B06914C7}"/>
    <cellStyle name="40% - Akzent6 62 2 2" xfId="28595" xr:uid="{69D781A8-9566-41D6-8ED4-B47848674D48}"/>
    <cellStyle name="40% - Akzent6 62 3" xfId="28594" xr:uid="{D576FAF9-BFFB-4A0D-B8EB-D5FBEF3DC80E}"/>
    <cellStyle name="40% - Akzent6 63" xfId="9159" xr:uid="{590F0056-BD2D-48CD-89F7-9A50F689490E}"/>
    <cellStyle name="40% - Akzent6 63 2" xfId="9160" xr:uid="{4E0E540B-E9DE-416B-B5B3-70F3578CA2EC}"/>
    <cellStyle name="40% - Akzent6 63 2 2" xfId="28597" xr:uid="{8C1FFC16-7E88-407F-917A-7AC8A7D268BF}"/>
    <cellStyle name="40% - Akzent6 63 3" xfId="28596" xr:uid="{8AB61311-69AB-49A2-8E94-7ADCB3872FEA}"/>
    <cellStyle name="40% - Akzent6 64" xfId="9161" xr:uid="{B9FB6B21-D698-4592-B714-97CA39E9C86F}"/>
    <cellStyle name="40% - Akzent6 64 2" xfId="9162" xr:uid="{C135DC59-D053-49C8-ADE2-D08B59ED6C08}"/>
    <cellStyle name="40% - Akzent6 64 2 2" xfId="28599" xr:uid="{7832093C-B9E6-42B7-A48D-5708CC580701}"/>
    <cellStyle name="40% - Akzent6 64 3" xfId="28598" xr:uid="{9A04D9C3-50C8-4352-AEEE-4D972EDC85C1}"/>
    <cellStyle name="40% - Akzent6 65" xfId="9163" xr:uid="{4C086F10-0F41-43FC-AADA-FDE5A908139F}"/>
    <cellStyle name="40% - Akzent6 65 2" xfId="9164" xr:uid="{46F81CDE-CC73-4970-BC93-8E9B2D545A19}"/>
    <cellStyle name="40% - Akzent6 65 2 2" xfId="28601" xr:uid="{B2AFADBD-DDCC-4506-A9EC-6C3EA33E41EB}"/>
    <cellStyle name="40% - Akzent6 65 3" xfId="28600" xr:uid="{01F62F41-708D-4325-A1A9-CF79A3FABDCC}"/>
    <cellStyle name="40% - Akzent6 66" xfId="9165" xr:uid="{D304EC1C-B6D4-4D2A-BD83-F6FC2C4A530E}"/>
    <cellStyle name="40% - Akzent6 66 2" xfId="9166" xr:uid="{89431533-FA2B-40C3-B091-F50CCEB95C9E}"/>
    <cellStyle name="40% - Akzent6 66 2 2" xfId="28603" xr:uid="{BA8856D5-CEF4-4055-8DE5-1B2768CDA571}"/>
    <cellStyle name="40% - Akzent6 66 3" xfId="28602" xr:uid="{98CB9528-85BF-4C73-9DF1-55F5B833F517}"/>
    <cellStyle name="40% - Akzent6 67" xfId="9167" xr:uid="{949CAE05-64BA-49D4-B25B-0D330D43837A}"/>
    <cellStyle name="40% - Akzent6 67 2" xfId="9168" xr:uid="{D0F18A60-3690-41FC-8FFC-781319E1338F}"/>
    <cellStyle name="40% - Akzent6 67 2 2" xfId="28605" xr:uid="{E42DBBF1-282B-4F0D-B2D7-168B714431C9}"/>
    <cellStyle name="40% - Akzent6 67 3" xfId="28604" xr:uid="{E396C84E-86B5-4533-B923-5B6307AE2A82}"/>
    <cellStyle name="40% - Akzent6 68" xfId="9169" xr:uid="{E4000410-FFEB-496E-B28A-889C6851D2B0}"/>
    <cellStyle name="40% - Akzent6 68 2" xfId="9170" xr:uid="{873A802F-836B-404F-A6D4-BFADFEDB4CF8}"/>
    <cellStyle name="40% - Akzent6 68 2 2" xfId="28607" xr:uid="{5A95C936-8AEF-4309-933B-D6048B1F3B0D}"/>
    <cellStyle name="40% - Akzent6 68 3" xfId="28606" xr:uid="{8B6FD214-CD76-4FA1-A23A-F073870B2812}"/>
    <cellStyle name="40% - Akzent6 69" xfId="9171" xr:uid="{C462B7FD-DC90-4CA0-8BC0-E8998E1E735E}"/>
    <cellStyle name="40% - Akzent6 69 2" xfId="9172" xr:uid="{A8503911-E191-4BE9-A215-AD261B5F3F6C}"/>
    <cellStyle name="40% - Akzent6 69 2 2" xfId="28609" xr:uid="{564AB783-BF38-43DF-8D32-1544B53D5B1A}"/>
    <cellStyle name="40% - Akzent6 69 3" xfId="28608" xr:uid="{059CBB25-771F-411A-B3A1-AF8A5C099844}"/>
    <cellStyle name="40% - Akzent6 7" xfId="9173" xr:uid="{35C29515-C0D5-41A7-8115-6F182B78E4DF}"/>
    <cellStyle name="40% - Akzent6 7 10" xfId="9174" xr:uid="{2C4BCE0D-6FF6-4A9B-B2FF-DDF0C68228F3}"/>
    <cellStyle name="40% - Akzent6 7 10 2" xfId="9175" xr:uid="{7361B240-4A20-4635-9614-674A8D7DB357}"/>
    <cellStyle name="40% - Akzent6 7 10 2 2" xfId="28612" xr:uid="{772BBBD2-74F7-4604-A550-BC3D96144774}"/>
    <cellStyle name="40% - Akzent6 7 10 3" xfId="28611" xr:uid="{6B21D6B1-40CB-489B-8903-BE787BB5A12B}"/>
    <cellStyle name="40% - Akzent6 7 11" xfId="9176" xr:uid="{E153F5B8-89FC-4504-90F6-D192B8F863CC}"/>
    <cellStyle name="40% - Akzent6 7 11 2" xfId="9177" xr:uid="{935A50E6-E555-4C35-A1F4-E36317A2F28E}"/>
    <cellStyle name="40% - Akzent6 7 11 2 2" xfId="28614" xr:uid="{4B726467-433D-49C9-87EB-A6E36E9A7FDB}"/>
    <cellStyle name="40% - Akzent6 7 11 3" xfId="28613" xr:uid="{2B8DE7D5-F120-4D9D-AFCF-75842FA3EC1D}"/>
    <cellStyle name="40% - Akzent6 7 12" xfId="9178" xr:uid="{057DEEB8-B10F-4AED-B115-F17C54E7C8BE}"/>
    <cellStyle name="40% - Akzent6 7 12 2" xfId="9179" xr:uid="{5D2FF7F6-04C1-4A8D-8A2F-0AD02416A09B}"/>
    <cellStyle name="40% - Akzent6 7 12 2 2" xfId="28616" xr:uid="{CF8EE7D6-4836-41A4-B5EC-F73FCCB8AA5A}"/>
    <cellStyle name="40% - Akzent6 7 12 3" xfId="28615" xr:uid="{F58572A9-129C-4E49-B979-C91E53EA4284}"/>
    <cellStyle name="40% - Akzent6 7 13" xfId="9180" xr:uid="{D90D8666-2DD4-4EFB-8AC0-DD1942DD030E}"/>
    <cellStyle name="40% - Akzent6 7 13 2" xfId="9181" xr:uid="{4A2F00A5-5573-41D7-81C1-4EB12D25823C}"/>
    <cellStyle name="40% - Akzent6 7 13 2 2" xfId="28618" xr:uid="{695B76CB-AECB-4C20-B680-6E3C16C3753E}"/>
    <cellStyle name="40% - Akzent6 7 13 3" xfId="28617" xr:uid="{E33A5C29-17EE-4A9C-AC9C-C247BC344722}"/>
    <cellStyle name="40% - Akzent6 7 14" xfId="9182" xr:uid="{74C8F4FF-4ED0-463D-AD61-22C192F371D5}"/>
    <cellStyle name="40% - Akzent6 7 14 2" xfId="9183" xr:uid="{13A70CA4-EF6A-4526-9E38-A32DC1CDF553}"/>
    <cellStyle name="40% - Akzent6 7 14 2 2" xfId="28620" xr:uid="{08A20D6E-1C53-40E6-9E64-C4CDC63F3AA6}"/>
    <cellStyle name="40% - Akzent6 7 14 3" xfId="28619" xr:uid="{1C7B8276-5A69-474F-99E3-6486AD279B0D}"/>
    <cellStyle name="40% - Akzent6 7 15" xfId="9184" xr:uid="{AF849FA5-306D-4340-846A-4F3880FDBBEB}"/>
    <cellStyle name="40% - Akzent6 7 15 2" xfId="9185" xr:uid="{27BC45D8-5E79-4903-B46B-85BBE955E18F}"/>
    <cellStyle name="40% - Akzent6 7 15 2 2" xfId="28622" xr:uid="{131C65F1-9C70-46BA-AB73-9138D75C7C79}"/>
    <cellStyle name="40% - Akzent6 7 15 3" xfId="28621" xr:uid="{0BABAEDF-737A-44D1-B66C-E60F756C0451}"/>
    <cellStyle name="40% - Akzent6 7 16" xfId="9186" xr:uid="{38E2C641-65ED-4695-A004-3A9BB022B763}"/>
    <cellStyle name="40% - Akzent6 7 16 2" xfId="9187" xr:uid="{41E6F5B3-7762-4E1B-B834-E3F738D0F9AB}"/>
    <cellStyle name="40% - Akzent6 7 16 2 2" xfId="28624" xr:uid="{4702CDD1-D990-48BA-96E1-CF8381CF9B3B}"/>
    <cellStyle name="40% - Akzent6 7 16 3" xfId="28623" xr:uid="{9B028390-7543-44B3-8C19-98656133E235}"/>
    <cellStyle name="40% - Akzent6 7 17" xfId="9188" xr:uid="{7B022909-9945-466A-AF6C-E4E9E5113E67}"/>
    <cellStyle name="40% - Akzent6 7 17 2" xfId="9189" xr:uid="{DEB8F66E-5E1F-4547-87EB-4FFAF5269E36}"/>
    <cellStyle name="40% - Akzent6 7 17 2 2" xfId="28626" xr:uid="{155936E5-715C-46D6-A865-9B8833235849}"/>
    <cellStyle name="40% - Akzent6 7 17 3" xfId="28625" xr:uid="{6108D41A-F7BE-43F8-A055-79018A31C2A1}"/>
    <cellStyle name="40% - Akzent6 7 18" xfId="9190" xr:uid="{E54AA457-610F-4530-A607-E3AFAD67B267}"/>
    <cellStyle name="40% - Akzent6 7 18 2" xfId="9191" xr:uid="{3149784A-364F-45F7-A328-65DEEA11CA26}"/>
    <cellStyle name="40% - Akzent6 7 18 2 2" xfId="28628" xr:uid="{FE3C429F-6943-4A9A-B049-9DF41F2A1921}"/>
    <cellStyle name="40% - Akzent6 7 18 3" xfId="28627" xr:uid="{0C73E9F8-04F6-4C64-A748-1BBADC44EDAC}"/>
    <cellStyle name="40% - Akzent6 7 19" xfId="9192" xr:uid="{9D61F293-4D09-4AD4-881A-3A67D8FF76DE}"/>
    <cellStyle name="40% - Akzent6 7 19 2" xfId="9193" xr:uid="{81B75122-3A2B-4EFB-A2C0-CF5CBBFD75A1}"/>
    <cellStyle name="40% - Akzent6 7 19 2 2" xfId="28630" xr:uid="{CF92CD80-EED7-4696-A168-8E7E59E94218}"/>
    <cellStyle name="40% - Akzent6 7 19 3" xfId="28629" xr:uid="{C3626BBF-BF05-4131-B771-652965C0B418}"/>
    <cellStyle name="40% - Akzent6 7 2" xfId="9194" xr:uid="{7968510F-3AF5-47F6-ABC7-A02BF7764355}"/>
    <cellStyle name="40% - Akzent6 7 2 2" xfId="9195" xr:uid="{B4DFF6D1-C1AC-45E0-A110-C1D416B70042}"/>
    <cellStyle name="40% - Akzent6 7 2 2 2" xfId="28632" xr:uid="{421485EF-E02D-44FB-B0FD-C481972B5962}"/>
    <cellStyle name="40% - Akzent6 7 2 3" xfId="28631" xr:uid="{78CB85B4-B90E-4D71-AAC4-C22F4475D3F3}"/>
    <cellStyle name="40% - Akzent6 7 20" xfId="9196" xr:uid="{0B9D259B-A3F6-418F-B6FF-F5DB5BA5BB37}"/>
    <cellStyle name="40% - Akzent6 7 20 2" xfId="9197" xr:uid="{04788F0B-6625-4CB4-BE27-22065F0A6460}"/>
    <cellStyle name="40% - Akzent6 7 20 2 2" xfId="28634" xr:uid="{3FEBFC91-5D62-4346-9AE9-62183F97590E}"/>
    <cellStyle name="40% - Akzent6 7 20 3" xfId="28633" xr:uid="{5292D880-BDFC-4F67-87A1-B778A2D94122}"/>
    <cellStyle name="40% - Akzent6 7 21" xfId="9198" xr:uid="{8DDA3D2E-CAA2-4942-8D5C-839A538A2B45}"/>
    <cellStyle name="40% - Akzent6 7 21 2" xfId="9199" xr:uid="{82795AF9-FD06-45FD-98AD-4785661AC67B}"/>
    <cellStyle name="40% - Akzent6 7 21 2 2" xfId="28636" xr:uid="{E5ABF559-B82F-4738-AA5F-D46E8227A7FA}"/>
    <cellStyle name="40% - Akzent6 7 21 3" xfId="28635" xr:uid="{BBB5C802-5F19-4461-8C32-1F91B61A44B5}"/>
    <cellStyle name="40% - Akzent6 7 22" xfId="9200" xr:uid="{84E708D1-7CB2-46B6-9069-4B3967C334C0}"/>
    <cellStyle name="40% - Akzent6 7 22 2" xfId="28637" xr:uid="{EF98C7CC-08EA-4A87-979F-432EED1B1425}"/>
    <cellStyle name="40% - Akzent6 7 23" xfId="28610" xr:uid="{5A7CA349-BA8C-497A-B4DA-8881A496ED00}"/>
    <cellStyle name="40% - Akzent6 7 3" xfId="9201" xr:uid="{86283075-56FF-4CFA-876C-4856DBED6681}"/>
    <cellStyle name="40% - Akzent6 7 3 2" xfId="9202" xr:uid="{5AAD8D1A-DD06-4504-8972-755F0D0D9391}"/>
    <cellStyle name="40% - Akzent6 7 3 2 2" xfId="28639" xr:uid="{210B096E-81A8-48A2-B384-15629290801D}"/>
    <cellStyle name="40% - Akzent6 7 3 3" xfId="28638" xr:uid="{EECD970D-C155-4938-B4E0-E90D86A3F385}"/>
    <cellStyle name="40% - Akzent6 7 4" xfId="9203" xr:uid="{40CF0DCD-B8B4-4BE3-910D-92FD3E7FAF26}"/>
    <cellStyle name="40% - Akzent6 7 4 2" xfId="9204" xr:uid="{2F837F6C-6EEE-4EE5-88B1-611C1874847C}"/>
    <cellStyle name="40% - Akzent6 7 4 2 2" xfId="28641" xr:uid="{73D521C8-AC71-4E4F-BA9D-5E4435AC7D44}"/>
    <cellStyle name="40% - Akzent6 7 4 3" xfId="28640" xr:uid="{BB289009-76B3-4C80-83C5-97F9D1BB3A46}"/>
    <cellStyle name="40% - Akzent6 7 5" xfId="9205" xr:uid="{AC8E7900-2C3A-44D5-9054-7F094C5D0C07}"/>
    <cellStyle name="40% - Akzent6 7 5 2" xfId="9206" xr:uid="{94EE0DF7-7A60-4FA6-8E7D-1EF8996C9AC6}"/>
    <cellStyle name="40% - Akzent6 7 5 2 2" xfId="28643" xr:uid="{A30AD43B-879F-4AD3-B97E-869188767B7C}"/>
    <cellStyle name="40% - Akzent6 7 5 3" xfId="28642" xr:uid="{A984205D-391F-4CD8-BC36-61565F5D74F4}"/>
    <cellStyle name="40% - Akzent6 7 6" xfId="9207" xr:uid="{106410C0-C21D-4627-906F-8CA2B42FAB9D}"/>
    <cellStyle name="40% - Akzent6 7 6 2" xfId="9208" xr:uid="{06E154E3-73E9-4F31-A633-DC30521DB236}"/>
    <cellStyle name="40% - Akzent6 7 6 2 2" xfId="28645" xr:uid="{02BC650D-EADE-477B-87D4-53C04590EA90}"/>
    <cellStyle name="40% - Akzent6 7 6 3" xfId="28644" xr:uid="{C0DE21E5-DF58-4B95-BF78-04378B51F0C6}"/>
    <cellStyle name="40% - Akzent6 7 7" xfId="9209" xr:uid="{DFE449C0-5269-4E8C-AABC-5626E260AB9E}"/>
    <cellStyle name="40% - Akzent6 7 7 2" xfId="9210" xr:uid="{A8031899-523E-48EE-84F4-7B7B966CCBEF}"/>
    <cellStyle name="40% - Akzent6 7 7 2 2" xfId="28647" xr:uid="{9FD9D231-A4BA-45B4-A53F-AF5A781DE600}"/>
    <cellStyle name="40% - Akzent6 7 7 3" xfId="28646" xr:uid="{82CAEF5D-50E3-4593-8EC4-84CE7F3A0099}"/>
    <cellStyle name="40% - Akzent6 7 8" xfId="9211" xr:uid="{5F061D6C-AE8B-475F-A859-43469B2600A6}"/>
    <cellStyle name="40% - Akzent6 7 8 2" xfId="9212" xr:uid="{8BB6D14D-0F4A-4E0F-AA58-D4C5EBD9C21E}"/>
    <cellStyle name="40% - Akzent6 7 8 2 2" xfId="28649" xr:uid="{EDD08292-5205-45C2-90FA-E509F68DFE43}"/>
    <cellStyle name="40% - Akzent6 7 8 3" xfId="28648" xr:uid="{725B4659-11D0-4BF5-8C99-69140651BA08}"/>
    <cellStyle name="40% - Akzent6 7 9" xfId="9213" xr:uid="{D1D41D98-8181-4438-98BC-F2C41D010F4A}"/>
    <cellStyle name="40% - Akzent6 7 9 2" xfId="9214" xr:uid="{B2DA45B4-2E24-4828-9309-5AD1F9ED6E99}"/>
    <cellStyle name="40% - Akzent6 7 9 2 2" xfId="28651" xr:uid="{90B513D0-697F-4EE5-8564-A55B866133F4}"/>
    <cellStyle name="40% - Akzent6 7 9 3" xfId="28650" xr:uid="{E7B5213C-C1D0-4CD9-863F-51112BD7156C}"/>
    <cellStyle name="40% - Akzent6 70" xfId="9215" xr:uid="{3845EEFE-998A-43B7-910C-F0B587F50ACC}"/>
    <cellStyle name="40% - Akzent6 70 2" xfId="28652" xr:uid="{8BE16F25-6941-4269-960D-04E2CC65E449}"/>
    <cellStyle name="40% - Akzent6 71" xfId="27977" xr:uid="{A2AF3EAC-F191-4F47-A538-79053F4E969A}"/>
    <cellStyle name="40% - Akzent6 72" xfId="8540" xr:uid="{1A7CA511-96F5-4450-BF04-49D607705B36}"/>
    <cellStyle name="40% - Akzent6 8" xfId="9216" xr:uid="{326D8BED-2D89-4682-927E-1861D30DDEEA}"/>
    <cellStyle name="40% - Akzent6 8 10" xfId="9217" xr:uid="{32E9D272-296C-43F1-AA5F-66EBFFBBB977}"/>
    <cellStyle name="40% - Akzent6 8 10 2" xfId="9218" xr:uid="{6D71764E-3B94-41D7-9565-72987C1DF4F0}"/>
    <cellStyle name="40% - Akzent6 8 10 2 2" xfId="28655" xr:uid="{447062E4-3277-4C81-AFDB-CFEB7D1A30BC}"/>
    <cellStyle name="40% - Akzent6 8 10 3" xfId="28654" xr:uid="{5C152725-F170-480F-8F76-B8F7577F9F2A}"/>
    <cellStyle name="40% - Akzent6 8 11" xfId="9219" xr:uid="{683A4498-25AA-4AE4-81A4-79A2E7007F00}"/>
    <cellStyle name="40% - Akzent6 8 11 2" xfId="9220" xr:uid="{9334DE5B-653F-4B91-8351-26117AFEA083}"/>
    <cellStyle name="40% - Akzent6 8 11 2 2" xfId="28657" xr:uid="{C690291C-97D2-4A86-A72C-33D58835A3D5}"/>
    <cellStyle name="40% - Akzent6 8 11 3" xfId="28656" xr:uid="{F670B6E8-8680-481B-8202-AE0D46F84A71}"/>
    <cellStyle name="40% - Akzent6 8 12" xfId="9221" xr:uid="{5A04C2D8-DC6E-4FFB-A406-8E944940E0A1}"/>
    <cellStyle name="40% - Akzent6 8 12 2" xfId="9222" xr:uid="{275B43BE-080C-4D4D-BFB8-6687131FE867}"/>
    <cellStyle name="40% - Akzent6 8 12 2 2" xfId="28659" xr:uid="{29FF9190-5821-4E37-B4AD-AFE50C31B698}"/>
    <cellStyle name="40% - Akzent6 8 12 3" xfId="28658" xr:uid="{9E8ED820-3B15-4405-A3A9-8025DFBFADB6}"/>
    <cellStyle name="40% - Akzent6 8 13" xfId="9223" xr:uid="{13456E53-E4A5-4BB1-B993-C27013B5E826}"/>
    <cellStyle name="40% - Akzent6 8 13 2" xfId="9224" xr:uid="{A4B0A3B6-0DA4-4352-940C-BB010F956860}"/>
    <cellStyle name="40% - Akzent6 8 13 2 2" xfId="28661" xr:uid="{83B7B1CE-DD1E-4D3D-B5F1-B66D70178C68}"/>
    <cellStyle name="40% - Akzent6 8 13 3" xfId="28660" xr:uid="{E537C43F-7169-4B62-8DE6-8A15FFF080FD}"/>
    <cellStyle name="40% - Akzent6 8 14" xfId="9225" xr:uid="{93046D66-0383-469D-A8D6-E136A317C3E9}"/>
    <cellStyle name="40% - Akzent6 8 14 2" xfId="9226" xr:uid="{FDF8D7D2-9890-4386-9628-035F73C3E999}"/>
    <cellStyle name="40% - Akzent6 8 14 2 2" xfId="28663" xr:uid="{1B24FBBC-4E43-4E23-A768-22CA9EBDA16A}"/>
    <cellStyle name="40% - Akzent6 8 14 3" xfId="28662" xr:uid="{9BC794A0-3728-4122-93FD-9A7C5FD59981}"/>
    <cellStyle name="40% - Akzent6 8 15" xfId="9227" xr:uid="{F33608F9-C994-45D9-827A-39E10A26B44D}"/>
    <cellStyle name="40% - Akzent6 8 15 2" xfId="9228" xr:uid="{5C9C2503-9141-400E-B56D-23ED4C4BB2AB}"/>
    <cellStyle name="40% - Akzent6 8 15 2 2" xfId="28665" xr:uid="{0C72AC51-0488-4E20-8299-204C47F3C316}"/>
    <cellStyle name="40% - Akzent6 8 15 3" xfId="28664" xr:uid="{DCE5A238-72F9-405F-96FE-5436CD09096B}"/>
    <cellStyle name="40% - Akzent6 8 16" xfId="9229" xr:uid="{3DEB42C1-DE74-4711-8DEB-115D36E92BC9}"/>
    <cellStyle name="40% - Akzent6 8 16 2" xfId="9230" xr:uid="{D6F498CB-F45C-4F68-912B-57F367416A01}"/>
    <cellStyle name="40% - Akzent6 8 16 2 2" xfId="28667" xr:uid="{64D11BCA-5BA2-4CEF-8C0C-096644EB50B0}"/>
    <cellStyle name="40% - Akzent6 8 16 3" xfId="28666" xr:uid="{A0C88510-8E39-4775-814A-655BC3C2FB98}"/>
    <cellStyle name="40% - Akzent6 8 17" xfId="9231" xr:uid="{A33F463B-9EAC-432F-91B2-9639B78022FB}"/>
    <cellStyle name="40% - Akzent6 8 17 2" xfId="9232" xr:uid="{D502F827-3B1D-4E9D-8EA5-48EA62A0FB4A}"/>
    <cellStyle name="40% - Akzent6 8 17 2 2" xfId="28669" xr:uid="{0C7818E3-572E-4892-AB8F-85D0253A48FD}"/>
    <cellStyle name="40% - Akzent6 8 17 3" xfId="28668" xr:uid="{DC27F117-3D06-4CAC-9DE0-8581A3C2E24C}"/>
    <cellStyle name="40% - Akzent6 8 18" xfId="9233" xr:uid="{C49AFD89-8D56-43CE-8B85-24A0A9F0E34F}"/>
    <cellStyle name="40% - Akzent6 8 18 2" xfId="9234" xr:uid="{35A0FC8E-C42D-4709-9279-AFD353664D43}"/>
    <cellStyle name="40% - Akzent6 8 18 2 2" xfId="28671" xr:uid="{31A380E1-6D8C-4C43-A8D1-0B94904151B1}"/>
    <cellStyle name="40% - Akzent6 8 18 3" xfId="28670" xr:uid="{B47B26C1-B969-4546-849F-A2FB2644B0A3}"/>
    <cellStyle name="40% - Akzent6 8 19" xfId="9235" xr:uid="{7FABAF5C-291F-4D7C-BBDA-89DB0510BADB}"/>
    <cellStyle name="40% - Akzent6 8 19 2" xfId="9236" xr:uid="{880D5CDD-85A9-42C1-B73B-E36D636E60F5}"/>
    <cellStyle name="40% - Akzent6 8 19 2 2" xfId="28673" xr:uid="{FB21F9C4-6130-46A8-A01F-59D852650B96}"/>
    <cellStyle name="40% - Akzent6 8 19 3" xfId="28672" xr:uid="{98EFC384-F4F2-430F-9998-ED2F74106CD8}"/>
    <cellStyle name="40% - Akzent6 8 2" xfId="9237" xr:uid="{626D58CA-3E3D-4D0A-B113-74CC585F22D3}"/>
    <cellStyle name="40% - Akzent6 8 2 2" xfId="9238" xr:uid="{94F50964-286D-4B4F-B2E0-4C99DB8D15D2}"/>
    <cellStyle name="40% - Akzent6 8 2 2 2" xfId="28675" xr:uid="{0C27FA42-F470-4805-B1DB-24668B634FE7}"/>
    <cellStyle name="40% - Akzent6 8 2 3" xfId="28674" xr:uid="{FB3AFB59-3938-4A55-808F-EE14CFAD30B5}"/>
    <cellStyle name="40% - Akzent6 8 20" xfId="9239" xr:uid="{5C81829A-07D7-47A6-B786-EA3A74D48C6B}"/>
    <cellStyle name="40% - Akzent6 8 20 2" xfId="9240" xr:uid="{A23762D0-8740-4369-9709-971FD8D44147}"/>
    <cellStyle name="40% - Akzent6 8 20 2 2" xfId="28677" xr:uid="{454310D1-7A91-495B-8048-9E0C99FB3D7D}"/>
    <cellStyle name="40% - Akzent6 8 20 3" xfId="28676" xr:uid="{911F8ADA-0FC1-42F0-B323-A9665AE14CFA}"/>
    <cellStyle name="40% - Akzent6 8 21" xfId="9241" xr:uid="{C108D9FF-6D16-4FAF-928F-2FD9241E415A}"/>
    <cellStyle name="40% - Akzent6 8 21 2" xfId="9242" xr:uid="{1A58326E-9C56-4F61-AE25-04D9298EF7DA}"/>
    <cellStyle name="40% - Akzent6 8 21 2 2" xfId="28679" xr:uid="{6E277C9E-C0D6-45D8-AB06-D95A8980EA7F}"/>
    <cellStyle name="40% - Akzent6 8 21 3" xfId="28678" xr:uid="{F30FEAE9-74EA-469E-967A-C3D40F9435E7}"/>
    <cellStyle name="40% - Akzent6 8 22" xfId="9243" xr:uid="{DD53B278-233B-4390-ACDD-5B90B78A6558}"/>
    <cellStyle name="40% - Akzent6 8 22 2" xfId="28680" xr:uid="{D18AA2BD-26AF-4056-BE14-3E8521EA43E4}"/>
    <cellStyle name="40% - Akzent6 8 23" xfId="28653" xr:uid="{30C80DEC-20DA-4D33-90B0-355EB4B65348}"/>
    <cellStyle name="40% - Akzent6 8 3" xfId="9244" xr:uid="{0D358545-DD64-462C-AE39-DE1704A39E8E}"/>
    <cellStyle name="40% - Akzent6 8 3 2" xfId="9245" xr:uid="{CD2C4D6B-26DD-422A-A18D-C90DB8450A35}"/>
    <cellStyle name="40% - Akzent6 8 3 2 2" xfId="28682" xr:uid="{4EB2F759-A9EF-41B9-A76D-0FA90BB7F65B}"/>
    <cellStyle name="40% - Akzent6 8 3 3" xfId="28681" xr:uid="{37B609E7-E608-4ACA-A29D-9A77EF5F463A}"/>
    <cellStyle name="40% - Akzent6 8 4" xfId="9246" xr:uid="{B2EC2F4E-2CD2-4F68-8D17-7403BE15BB15}"/>
    <cellStyle name="40% - Akzent6 8 4 2" xfId="9247" xr:uid="{E0F75093-A242-4FF3-A13A-600A37EF5E02}"/>
    <cellStyle name="40% - Akzent6 8 4 2 2" xfId="28684" xr:uid="{AF978BFF-212C-4231-B8E2-3A82AF8BFDD0}"/>
    <cellStyle name="40% - Akzent6 8 4 3" xfId="28683" xr:uid="{4304AACF-FA21-485A-A157-64EE2C855397}"/>
    <cellStyle name="40% - Akzent6 8 5" xfId="9248" xr:uid="{5A4C249D-5415-4F56-8935-75BC1376C7C4}"/>
    <cellStyle name="40% - Akzent6 8 5 2" xfId="9249" xr:uid="{ECCF0AE0-BDC5-4CA9-AC5C-59BA90570EC3}"/>
    <cellStyle name="40% - Akzent6 8 5 2 2" xfId="28686" xr:uid="{FE9F886B-81B9-433A-A979-F3CEFB21AF04}"/>
    <cellStyle name="40% - Akzent6 8 5 3" xfId="28685" xr:uid="{DD19CACC-7766-4B68-B821-B40998243401}"/>
    <cellStyle name="40% - Akzent6 8 6" xfId="9250" xr:uid="{7FB3CF3C-FEAE-49F7-9268-F9524C51AC8D}"/>
    <cellStyle name="40% - Akzent6 8 6 2" xfId="9251" xr:uid="{7AE64B32-28BF-45FE-AA53-F8DD8D0BC1D3}"/>
    <cellStyle name="40% - Akzent6 8 6 2 2" xfId="28688" xr:uid="{FE39C901-177F-492C-B5F4-9C06F1A30E7C}"/>
    <cellStyle name="40% - Akzent6 8 6 3" xfId="28687" xr:uid="{4945700C-BD9C-42EC-89EC-8208C8485DA7}"/>
    <cellStyle name="40% - Akzent6 8 7" xfId="9252" xr:uid="{928AC4CD-716C-4B39-AA3A-B097965D2382}"/>
    <cellStyle name="40% - Akzent6 8 7 2" xfId="9253" xr:uid="{1D9D8E64-A0EA-477F-8324-20C60C11B50A}"/>
    <cellStyle name="40% - Akzent6 8 7 2 2" xfId="28690" xr:uid="{2AC7C101-DFDD-44FA-8D06-73657128F88A}"/>
    <cellStyle name="40% - Akzent6 8 7 3" xfId="28689" xr:uid="{65919D35-EA00-4FAA-8B08-1CE9B06D291B}"/>
    <cellStyle name="40% - Akzent6 8 8" xfId="9254" xr:uid="{65FB470D-D615-483E-9CF9-B28492512E1A}"/>
    <cellStyle name="40% - Akzent6 8 8 2" xfId="9255" xr:uid="{A2ECF6AA-6315-44D1-8C8F-A707FA463C5D}"/>
    <cellStyle name="40% - Akzent6 8 8 2 2" xfId="28692" xr:uid="{9AF6E8DE-1208-4972-AC1C-A79EB040C996}"/>
    <cellStyle name="40% - Akzent6 8 8 3" xfId="28691" xr:uid="{A2AFA3B7-38F8-43C8-B027-48589E267A57}"/>
    <cellStyle name="40% - Akzent6 8 9" xfId="9256" xr:uid="{054152D1-1030-402B-B7B0-6556D2D1BB4B}"/>
    <cellStyle name="40% - Akzent6 8 9 2" xfId="9257" xr:uid="{EB4AB43D-13FE-49BC-94E7-B671E5B5D32F}"/>
    <cellStyle name="40% - Akzent6 8 9 2 2" xfId="28694" xr:uid="{EF91CD68-3888-4980-A6FF-3E490F2E63BC}"/>
    <cellStyle name="40% - Akzent6 8 9 3" xfId="28693" xr:uid="{66151343-9140-4FFB-88DA-0242542186D0}"/>
    <cellStyle name="40% - Akzent6 9" xfId="9258" xr:uid="{03604855-9602-4064-A29C-EF4F5803723E}"/>
    <cellStyle name="40% - Akzent6 9 10" xfId="9259" xr:uid="{D78D5B07-F635-48E9-9806-9BD5A2610C0E}"/>
    <cellStyle name="40% - Akzent6 9 10 2" xfId="9260" xr:uid="{BE58CDB5-E7C8-4639-BA83-44BDAF70E99F}"/>
    <cellStyle name="40% - Akzent6 9 10 2 2" xfId="28697" xr:uid="{89C9F189-8BA9-4FE4-B2C9-7087E01FF27E}"/>
    <cellStyle name="40% - Akzent6 9 10 3" xfId="28696" xr:uid="{F2569066-C6BA-4F39-838F-8389D20C7421}"/>
    <cellStyle name="40% - Akzent6 9 11" xfId="9261" xr:uid="{6328FD06-2F1D-46C6-A19E-F68F3D7D6E49}"/>
    <cellStyle name="40% - Akzent6 9 11 2" xfId="9262" xr:uid="{A512DC53-8ED6-4EAD-B9B0-1ABC4A8933E9}"/>
    <cellStyle name="40% - Akzent6 9 11 2 2" xfId="28699" xr:uid="{D0C8604E-1615-4CB7-8BEC-D1900A922675}"/>
    <cellStyle name="40% - Akzent6 9 11 3" xfId="28698" xr:uid="{C153013C-FFD3-454F-97BC-DA86DBE39971}"/>
    <cellStyle name="40% - Akzent6 9 12" xfId="9263" xr:uid="{61CD99F4-12A2-498E-B844-B55BF78C6809}"/>
    <cellStyle name="40% - Akzent6 9 12 2" xfId="9264" xr:uid="{3BEAE8A1-97B3-4C88-8890-DD4AE9CA04C7}"/>
    <cellStyle name="40% - Akzent6 9 12 2 2" xfId="28701" xr:uid="{9A658289-5922-4B90-AFF5-7196263D4904}"/>
    <cellStyle name="40% - Akzent6 9 12 3" xfId="28700" xr:uid="{E658B3EB-CE45-42EC-9C93-338E9E988381}"/>
    <cellStyle name="40% - Akzent6 9 13" xfId="9265" xr:uid="{243D6B32-272E-4972-8975-083D102816A0}"/>
    <cellStyle name="40% - Akzent6 9 13 2" xfId="9266" xr:uid="{8550295C-AFA6-4B7F-9240-90FCF32D94D7}"/>
    <cellStyle name="40% - Akzent6 9 13 2 2" xfId="28703" xr:uid="{F449BFDA-F19F-40C0-A441-E27336F31D3D}"/>
    <cellStyle name="40% - Akzent6 9 13 3" xfId="28702" xr:uid="{6B4DF4FE-297D-4E25-99A7-6A8BA76384D0}"/>
    <cellStyle name="40% - Akzent6 9 14" xfId="9267" xr:uid="{30128F28-DC29-438B-91CC-95603E3D1985}"/>
    <cellStyle name="40% - Akzent6 9 14 2" xfId="9268" xr:uid="{9D90EF78-83C5-41B8-9FC6-3F00669BDA7B}"/>
    <cellStyle name="40% - Akzent6 9 14 2 2" xfId="28705" xr:uid="{7F7EBB71-3CE2-4CBB-B0A1-B05A9852FEA4}"/>
    <cellStyle name="40% - Akzent6 9 14 3" xfId="28704" xr:uid="{88193405-43BB-4672-B490-5B263F8B3F7E}"/>
    <cellStyle name="40% - Akzent6 9 15" xfId="9269" xr:uid="{B0AF45B8-622A-42ED-80AF-BE32783B1365}"/>
    <cellStyle name="40% - Akzent6 9 15 2" xfId="9270" xr:uid="{64AA0402-8888-4F8A-B5ED-AB8FB1C39DBE}"/>
    <cellStyle name="40% - Akzent6 9 15 2 2" xfId="28707" xr:uid="{CCE3396F-86B9-4034-B376-78E98A3A27B0}"/>
    <cellStyle name="40% - Akzent6 9 15 3" xfId="28706" xr:uid="{58112559-5F16-4E72-AA70-14B84979B196}"/>
    <cellStyle name="40% - Akzent6 9 16" xfId="9271" xr:uid="{32749C6B-7848-4D7C-8FE4-65BC28EF1376}"/>
    <cellStyle name="40% - Akzent6 9 16 2" xfId="9272" xr:uid="{641E4B72-5100-483B-914A-24641CE3813A}"/>
    <cellStyle name="40% - Akzent6 9 16 2 2" xfId="28709" xr:uid="{F51494B7-B157-461E-80C0-19CBE4EA43B3}"/>
    <cellStyle name="40% - Akzent6 9 16 3" xfId="28708" xr:uid="{21052808-749E-42BB-BC39-4D7B8F3BE091}"/>
    <cellStyle name="40% - Akzent6 9 17" xfId="9273" xr:uid="{EFBA3E74-E182-49CA-8016-FFE4F5C86B90}"/>
    <cellStyle name="40% - Akzent6 9 17 2" xfId="9274" xr:uid="{9B29DB44-0215-489B-964C-CF4BD696A74D}"/>
    <cellStyle name="40% - Akzent6 9 17 2 2" xfId="28711" xr:uid="{EF4BC180-0711-415D-9AF6-11802EB7B00C}"/>
    <cellStyle name="40% - Akzent6 9 17 3" xfId="28710" xr:uid="{DAAC5F40-1B91-491E-AD31-133691AF7081}"/>
    <cellStyle name="40% - Akzent6 9 18" xfId="9275" xr:uid="{D374B921-353F-4BE0-9796-889D536CB840}"/>
    <cellStyle name="40% - Akzent6 9 18 2" xfId="9276" xr:uid="{886473C9-ECB3-4F5E-94D4-83606CCA6E8F}"/>
    <cellStyle name="40% - Akzent6 9 18 2 2" xfId="28713" xr:uid="{2D1C1D94-258B-46AE-A869-BEEF2A53CA47}"/>
    <cellStyle name="40% - Akzent6 9 18 3" xfId="28712" xr:uid="{2A39B619-0AAD-4955-B509-B1ED739DA461}"/>
    <cellStyle name="40% - Akzent6 9 19" xfId="9277" xr:uid="{CD246175-D270-4967-9700-54293DB31D52}"/>
    <cellStyle name="40% - Akzent6 9 19 2" xfId="9278" xr:uid="{CB35DFCB-949B-4F14-AF4B-DAFF84CD49DF}"/>
    <cellStyle name="40% - Akzent6 9 19 2 2" xfId="28715" xr:uid="{D99414A1-B094-4E8A-821B-2F25680A8F58}"/>
    <cellStyle name="40% - Akzent6 9 19 3" xfId="28714" xr:uid="{DFD096DA-A9D1-4B2A-BFB7-C1A8042C07D7}"/>
    <cellStyle name="40% - Akzent6 9 2" xfId="9279" xr:uid="{460080FC-D652-4D50-A916-A392C6C1F34C}"/>
    <cellStyle name="40% - Akzent6 9 2 2" xfId="9280" xr:uid="{2FA9E3E2-28CE-4F6B-88EC-D57C283477D5}"/>
    <cellStyle name="40% - Akzent6 9 2 2 2" xfId="28717" xr:uid="{70E0E6B8-A12D-46BD-9516-590051F3E469}"/>
    <cellStyle name="40% - Akzent6 9 2 3" xfId="28716" xr:uid="{E0D37322-A5EF-4AF4-A89F-D883D08D9347}"/>
    <cellStyle name="40% - Akzent6 9 20" xfId="9281" xr:uid="{8240F581-986A-4A4B-AAFA-6CA41C4FA326}"/>
    <cellStyle name="40% - Akzent6 9 20 2" xfId="9282" xr:uid="{766B881A-7525-4205-83E0-562B272F453F}"/>
    <cellStyle name="40% - Akzent6 9 20 2 2" xfId="28719" xr:uid="{AB3C6721-4602-4CEE-88E8-B48FFBAEE9F9}"/>
    <cellStyle name="40% - Akzent6 9 20 3" xfId="28718" xr:uid="{2776E10F-9325-418D-882A-E234FBA73AF5}"/>
    <cellStyle name="40% - Akzent6 9 21" xfId="9283" xr:uid="{926B1976-4B33-4A97-913B-F5060B1B58DD}"/>
    <cellStyle name="40% - Akzent6 9 21 2" xfId="9284" xr:uid="{03242E71-F5F0-49EA-9EB5-E9B3FE579CAF}"/>
    <cellStyle name="40% - Akzent6 9 21 2 2" xfId="28721" xr:uid="{034FC74E-7CF6-4F0A-997D-FE77E54453F6}"/>
    <cellStyle name="40% - Akzent6 9 21 3" xfId="28720" xr:uid="{031353F6-3DF5-44C9-AAAA-920748A8BE85}"/>
    <cellStyle name="40% - Akzent6 9 22" xfId="9285" xr:uid="{69EF2461-EDD6-40D4-B255-F216C7A29043}"/>
    <cellStyle name="40% - Akzent6 9 22 2" xfId="28722" xr:uid="{DFB68EDF-0675-4BD6-BA20-4D1A17CE101A}"/>
    <cellStyle name="40% - Akzent6 9 23" xfId="28695" xr:uid="{7947D4D5-B5BA-431D-B369-FF2063152C66}"/>
    <cellStyle name="40% - Akzent6 9 3" xfId="9286" xr:uid="{5BECE5CC-D283-4DAC-BD0C-7A9A61E62C90}"/>
    <cellStyle name="40% - Akzent6 9 3 2" xfId="9287" xr:uid="{04C4F1B4-12E2-4CCC-8A4A-09E4BBEDD229}"/>
    <cellStyle name="40% - Akzent6 9 3 2 2" xfId="28724" xr:uid="{C7EF2DBC-E996-4E6F-9373-D85E07977F66}"/>
    <cellStyle name="40% - Akzent6 9 3 3" xfId="28723" xr:uid="{528EDE3D-4D42-4AC3-9750-40F8BCDA5E43}"/>
    <cellStyle name="40% - Akzent6 9 4" xfId="9288" xr:uid="{4801AE29-94DC-4029-A591-E58DE23BA25A}"/>
    <cellStyle name="40% - Akzent6 9 4 2" xfId="9289" xr:uid="{CE3A327F-E617-44E8-9786-0E5815B98FB0}"/>
    <cellStyle name="40% - Akzent6 9 4 2 2" xfId="28726" xr:uid="{A549EDEF-DD58-4AD5-BB41-751D97C054AB}"/>
    <cellStyle name="40% - Akzent6 9 4 3" xfId="28725" xr:uid="{DF88DC4F-0162-436B-841F-EDD5CBFC0666}"/>
    <cellStyle name="40% - Akzent6 9 5" xfId="9290" xr:uid="{40E65D99-490F-4DF6-A566-446B1074D636}"/>
    <cellStyle name="40% - Akzent6 9 5 2" xfId="9291" xr:uid="{D823CF6A-F570-489B-A23B-AADB090BBFE8}"/>
    <cellStyle name="40% - Akzent6 9 5 2 2" xfId="28728" xr:uid="{B5D025D0-E819-499A-9C85-A84AB143301F}"/>
    <cellStyle name="40% - Akzent6 9 5 3" xfId="28727" xr:uid="{E1FED09F-C92C-4498-B788-D5DE9161B28D}"/>
    <cellStyle name="40% - Akzent6 9 6" xfId="9292" xr:uid="{711D1D60-AFB7-4EAB-9DC0-BADA6B583079}"/>
    <cellStyle name="40% - Akzent6 9 6 2" xfId="9293" xr:uid="{42CB1988-03B6-47CB-B955-0CDA3C17D894}"/>
    <cellStyle name="40% - Akzent6 9 6 2 2" xfId="28730" xr:uid="{82A52BFB-2A20-4266-9C31-A221F67A2287}"/>
    <cellStyle name="40% - Akzent6 9 6 3" xfId="28729" xr:uid="{F2D58C81-6FB3-48AB-88CD-2D542FA6CF9B}"/>
    <cellStyle name="40% - Akzent6 9 7" xfId="9294" xr:uid="{ADFD90C5-31B8-4A9F-BC92-713999D3497E}"/>
    <cellStyle name="40% - Akzent6 9 7 2" xfId="9295" xr:uid="{0E6E9088-C2FD-40BC-8987-7EF5196D3BBB}"/>
    <cellStyle name="40% - Akzent6 9 7 2 2" xfId="28732" xr:uid="{A7B8FE29-660D-4EB7-9C54-1D002D92036F}"/>
    <cellStyle name="40% - Akzent6 9 7 3" xfId="28731" xr:uid="{CE73656A-384E-42C2-AF15-32A81D85D8F7}"/>
    <cellStyle name="40% - Akzent6 9 8" xfId="9296" xr:uid="{EFAF224E-85E4-44D6-8270-F403F9E8C7A7}"/>
    <cellStyle name="40% - Akzent6 9 8 2" xfId="9297" xr:uid="{C814F5BD-4A28-44C6-B33D-07DC62ABFEAB}"/>
    <cellStyle name="40% - Akzent6 9 8 2 2" xfId="28734" xr:uid="{0A0E7310-73D3-4C7C-80AC-32F1AC351C20}"/>
    <cellStyle name="40% - Akzent6 9 8 3" xfId="28733" xr:uid="{ACEA772A-1A9D-4296-8B0E-AB7E550C3911}"/>
    <cellStyle name="40% - Akzent6 9 9" xfId="9298" xr:uid="{84795C24-1D85-4C36-9B93-8CE23478AFB2}"/>
    <cellStyle name="40% - Akzent6 9 9 2" xfId="9299" xr:uid="{153E3187-456F-4D08-83E7-15F6900B2C96}"/>
    <cellStyle name="40% - Akzent6 9 9 2 2" xfId="28736" xr:uid="{C9F68556-C117-4784-9908-F0D21AA48B9A}"/>
    <cellStyle name="40% - Akzent6 9 9 3" xfId="28735" xr:uid="{31126124-C53B-486D-850E-B4FB2B92E7D0}"/>
    <cellStyle name="60 % - Akzent1 2" xfId="33" xr:uid="{F519502E-FCA1-4FA2-A90F-D38BFC91F246}"/>
    <cellStyle name="60 % - Akzent2 2" xfId="34" xr:uid="{57848E0F-B967-4545-97AF-B1C6B9DE8964}"/>
    <cellStyle name="60 % - Akzent3 2" xfId="35" xr:uid="{AF3C8FB5-AF41-4033-A3BC-1D4AFB4B6C24}"/>
    <cellStyle name="60 % - Akzent4 2" xfId="36" xr:uid="{71A7DBE0-D85E-4AFF-B87A-8C93A4AB0882}"/>
    <cellStyle name="60 % - Akzent5 2" xfId="37" xr:uid="{D7BC4C6E-FED5-4421-A707-915E6EA10ADF}"/>
    <cellStyle name="60 % - Akzent6 2" xfId="38" xr:uid="{D00F38C4-4AA5-48D5-8789-0918EFC0B36C}"/>
    <cellStyle name="60% - Akzent1 10" xfId="9301" xr:uid="{8C799B44-D0AB-45DC-95F8-A1053455447F}"/>
    <cellStyle name="60% - Akzent1 10 2" xfId="9302" xr:uid="{2CD45127-2169-4105-9961-747A82FAF20E}"/>
    <cellStyle name="60% - Akzent1 10 2 2" xfId="28739" xr:uid="{35AD3B2C-36B2-49C0-A498-BA543DA48D09}"/>
    <cellStyle name="60% - Akzent1 10 3" xfId="28738" xr:uid="{86A946A4-0301-4C3E-A891-F5B307BBCBA0}"/>
    <cellStyle name="60% - Akzent1 11" xfId="9303" xr:uid="{F9D87397-36E4-4680-9D7B-419338FB6C32}"/>
    <cellStyle name="60% - Akzent1 11 2" xfId="9304" xr:uid="{04A95B9F-EF80-4137-82A0-F320D2306D8F}"/>
    <cellStyle name="60% - Akzent1 11 2 2" xfId="28741" xr:uid="{D9597F57-12C7-48CB-86A5-70936CE88CBE}"/>
    <cellStyle name="60% - Akzent1 11 3" xfId="28740" xr:uid="{BEC3EE17-D99D-4903-BCD1-31838ADFC3D4}"/>
    <cellStyle name="60% - Akzent1 12" xfId="9305" xr:uid="{509CCBB3-0E71-484C-AF40-562B5C7E8001}"/>
    <cellStyle name="60% - Akzent1 12 2" xfId="9306" xr:uid="{11D7826E-B144-40AB-A222-957BB02A7748}"/>
    <cellStyle name="60% - Akzent1 12 2 2" xfId="28743" xr:uid="{BAEA8F4B-F347-4D8F-8831-63160B260A82}"/>
    <cellStyle name="60% - Akzent1 12 3" xfId="28742" xr:uid="{28C8C08A-CDAE-45E7-805A-F12D101092E1}"/>
    <cellStyle name="60% - Akzent1 13" xfId="9307" xr:uid="{6F9FF218-0D80-4255-8831-809BE8A296A7}"/>
    <cellStyle name="60% - Akzent1 13 2" xfId="9308" xr:uid="{E071FD0C-F08F-41EB-914B-15506ADE5055}"/>
    <cellStyle name="60% - Akzent1 13 2 2" xfId="28745" xr:uid="{BA9C0E66-D4F0-469C-ACF7-89EC8C9019F4}"/>
    <cellStyle name="60% - Akzent1 13 3" xfId="28744" xr:uid="{09158069-871B-4B5A-BA69-B49437C5F4AC}"/>
    <cellStyle name="60% - Akzent1 14" xfId="9309" xr:uid="{A09FE7A8-8648-4222-BBC3-E901B4F320D9}"/>
    <cellStyle name="60% - Akzent1 14 2" xfId="9310" xr:uid="{CE78E71E-1274-451E-9CAD-8130A1992CFA}"/>
    <cellStyle name="60% - Akzent1 14 2 2" xfId="28747" xr:uid="{6119822C-5294-4DBD-8EF5-429C4768E8F3}"/>
    <cellStyle name="60% - Akzent1 14 3" xfId="28746" xr:uid="{7B8574F6-0CF9-40D7-9ED4-959AF427960C}"/>
    <cellStyle name="60% - Akzent1 15" xfId="9311" xr:uid="{1ACBE072-0C3F-45FE-8B85-64EE05CE35E7}"/>
    <cellStyle name="60% - Akzent1 15 2" xfId="9312" xr:uid="{B0126CCD-C498-4FB7-872C-6EF0E4F2F343}"/>
    <cellStyle name="60% - Akzent1 15 2 2" xfId="28749" xr:uid="{8A3A3857-F002-4A17-BA58-6C50020C6D69}"/>
    <cellStyle name="60% - Akzent1 15 3" xfId="28748" xr:uid="{6E44C43E-3277-4B1E-8017-16385D5DED58}"/>
    <cellStyle name="60% - Akzent1 16" xfId="9313" xr:uid="{2920CFC2-452C-4EBC-B580-58D53E181117}"/>
    <cellStyle name="60% - Akzent1 16 2" xfId="9314" xr:uid="{F6ADD660-0075-4531-8E92-0787FAACE34E}"/>
    <cellStyle name="60% - Akzent1 16 2 2" xfId="28751" xr:uid="{04EA1D48-3DEC-4245-A1B9-0399169A9A26}"/>
    <cellStyle name="60% - Akzent1 16 3" xfId="28750" xr:uid="{C35B6622-1BD3-4825-B6B1-EB7800848A20}"/>
    <cellStyle name="60% - Akzent1 17" xfId="9315" xr:uid="{B002F6F0-FB77-40F4-A4B3-4CF82205942D}"/>
    <cellStyle name="60% - Akzent1 17 2" xfId="9316" xr:uid="{E7F4F9D7-F7F4-4DAB-85DA-295CE3795558}"/>
    <cellStyle name="60% - Akzent1 17 2 2" xfId="28753" xr:uid="{93ECD871-55B1-4013-8980-6FE7D5AFA150}"/>
    <cellStyle name="60% - Akzent1 17 3" xfId="28752" xr:uid="{549DE89C-137F-4F2C-83FB-872581054CFC}"/>
    <cellStyle name="60% - Akzent1 18" xfId="9317" xr:uid="{3DDA00F0-B5A7-4539-91E7-5BC36E97DAA8}"/>
    <cellStyle name="60% - Akzent1 18 2" xfId="9318" xr:uid="{70BBD402-8926-4184-8FE8-9EB1AFE8FBEE}"/>
    <cellStyle name="60% - Akzent1 18 2 2" xfId="28755" xr:uid="{5667626E-A8E6-48E5-BA77-681A0D66DAC5}"/>
    <cellStyle name="60% - Akzent1 18 3" xfId="28754" xr:uid="{4054623E-8B0A-4B0F-A1FB-9C3B49C8D7AC}"/>
    <cellStyle name="60% - Akzent1 19" xfId="9319" xr:uid="{D765A4C3-8394-4BEA-99DC-6B9148229D01}"/>
    <cellStyle name="60% - Akzent1 19 2" xfId="9320" xr:uid="{E70DFABB-4247-4D95-85E3-C981B22F3AB6}"/>
    <cellStyle name="60% - Akzent1 19 2 2" xfId="28757" xr:uid="{57815882-61F3-4618-AFB8-277B7B6E93E8}"/>
    <cellStyle name="60% - Akzent1 19 3" xfId="28756" xr:uid="{D611BFC1-BE67-4E42-B0AE-5B41C670C2FA}"/>
    <cellStyle name="60% - Akzent1 2" xfId="9321" xr:uid="{99A12553-FF34-4FE4-88DB-8CD60B41471E}"/>
    <cellStyle name="60% - Akzent1 2 10" xfId="9322" xr:uid="{DCCC22C0-0F33-4C17-8E0A-696C4764B0B6}"/>
    <cellStyle name="60% - Akzent1 2 10 2" xfId="28759" xr:uid="{548D2309-434C-4791-9385-3976CDB27EB9}"/>
    <cellStyle name="60% - Akzent1 2 11" xfId="9323" xr:uid="{F719583A-9EBD-4A78-B993-E55D95632FA9}"/>
    <cellStyle name="60% - Akzent1 2 11 2" xfId="28760" xr:uid="{61486327-E4E5-4DCF-BDF7-699B64C5F3A7}"/>
    <cellStyle name="60% - Akzent1 2 12" xfId="9324" xr:uid="{4BD568F6-D651-4F4A-8017-D81135A19F10}"/>
    <cellStyle name="60% - Akzent1 2 12 2" xfId="28761" xr:uid="{BB544112-FE26-4B53-BF41-F14FC6933428}"/>
    <cellStyle name="60% - Akzent1 2 13" xfId="9325" xr:uid="{664162DE-3206-4683-9DE5-2CE85486E1CE}"/>
    <cellStyle name="60% - Akzent1 2 13 2" xfId="28762" xr:uid="{2375860C-38F0-4D08-BEDF-1494A445C8FC}"/>
    <cellStyle name="60% - Akzent1 2 14" xfId="9326" xr:uid="{B9A9FFED-E253-45A5-9A37-8B6449D26BFA}"/>
    <cellStyle name="60% - Akzent1 2 14 2" xfId="28763" xr:uid="{2DCD84CB-868F-4D6A-8C24-54940B083E23}"/>
    <cellStyle name="60% - Akzent1 2 15" xfId="28758" xr:uid="{0D386E6E-894C-4CA9-8237-3F6181580CD6}"/>
    <cellStyle name="60% - Akzent1 2 16" xfId="39338" xr:uid="{CEEF3050-A199-4927-8973-40BD8A4E035B}"/>
    <cellStyle name="60% - Akzent1 2 2" xfId="9327" xr:uid="{CA17F17C-8FCA-4C15-ADC2-4E61D42AC31E}"/>
    <cellStyle name="60% - Akzent1 2 2 10" xfId="9328" xr:uid="{A777018D-2710-4ACB-A7D6-48ACE6AC9AF1}"/>
    <cellStyle name="60% - Akzent1 2 2 10 2" xfId="28765" xr:uid="{EA00A7C7-84A7-4061-BE16-BA4F064271D9}"/>
    <cellStyle name="60% - Akzent1 2 2 11" xfId="9329" xr:uid="{84ABDF88-5E74-4C9D-AB4E-B42A9ECBE670}"/>
    <cellStyle name="60% - Akzent1 2 2 11 2" xfId="28766" xr:uid="{8DB75282-6424-4613-B517-C08E3743DB4C}"/>
    <cellStyle name="60% - Akzent1 2 2 12" xfId="9330" xr:uid="{AC651E91-E896-4602-983E-48BE2F860A80}"/>
    <cellStyle name="60% - Akzent1 2 2 12 2" xfId="28767" xr:uid="{8420EE99-AB6D-4E3A-AF36-A0DE89E0421E}"/>
    <cellStyle name="60% - Akzent1 2 2 13" xfId="28764" xr:uid="{E39F7637-395A-44FD-AC95-F5B62AF72716}"/>
    <cellStyle name="60% - Akzent1 2 2 14" xfId="39339" xr:uid="{FE16EEE2-6A0E-40A5-8B02-19EEDC35CF19}"/>
    <cellStyle name="60% - Akzent1 2 2 2" xfId="9331" xr:uid="{7094523A-FEF6-4D54-884A-0B826321A9F2}"/>
    <cellStyle name="60% - Akzent1 2 2 2 10" xfId="9332" xr:uid="{B3AABAA6-3AEE-43F6-B98F-736EA603CEE6}"/>
    <cellStyle name="60% - Akzent1 2 2 2 10 2" xfId="28769" xr:uid="{74121638-E4A6-4896-ABE3-E4C6C90F8BBB}"/>
    <cellStyle name="60% - Akzent1 2 2 2 11" xfId="28768" xr:uid="{60FCD319-EC4B-4230-B510-4677A2C83E0F}"/>
    <cellStyle name="60% - Akzent1 2 2 2 2" xfId="9333" xr:uid="{4860A920-13D5-4CA1-92B1-1B76B58474B3}"/>
    <cellStyle name="60% - Akzent1 2 2 2 2 2" xfId="9334" xr:uid="{F303382E-95F3-4461-A4BC-3470D355C897}"/>
    <cellStyle name="60% - Akzent1 2 2 2 2 2 2" xfId="9335" xr:uid="{6A74C2D3-2B90-4B90-88A2-722A53E608E9}"/>
    <cellStyle name="60% - Akzent1 2 2 2 2 2 2 2" xfId="9336" xr:uid="{FF0462C1-33A2-49C3-B677-8DA5AF224EA6}"/>
    <cellStyle name="60% - Akzent1 2 2 2 2 2 2 2 2" xfId="28773" xr:uid="{E319DC04-3CE5-4708-8414-E168DB51F0C3}"/>
    <cellStyle name="60% - Akzent1 2 2 2 2 2 2 3" xfId="28772" xr:uid="{BAE553C3-A2DF-49BC-8FA1-BD8EDF2D39BA}"/>
    <cellStyle name="60% - Akzent1 2 2 2 2 2 3" xfId="9337" xr:uid="{846AAA94-E4C4-44A9-BEE0-DA51E85D43C6}"/>
    <cellStyle name="60% - Akzent1 2 2 2 2 2 3 2" xfId="28774" xr:uid="{64CA66BD-F02E-45BA-8628-3AC48078CE08}"/>
    <cellStyle name="60% - Akzent1 2 2 2 2 2 4" xfId="9338" xr:uid="{3F931F2D-0F1B-412B-BACE-3ACEFFDBAE67}"/>
    <cellStyle name="60% - Akzent1 2 2 2 2 2 4 2" xfId="28775" xr:uid="{A844246B-2004-44D2-A990-9A8DE0BA9B64}"/>
    <cellStyle name="60% - Akzent1 2 2 2 2 2 5" xfId="9339" xr:uid="{861D7103-DECD-4909-9D91-8CAB753A73B7}"/>
    <cellStyle name="60% - Akzent1 2 2 2 2 2 5 2" xfId="28776" xr:uid="{FBDE7E9E-D480-4243-9D06-AE1E8D8B3211}"/>
    <cellStyle name="60% - Akzent1 2 2 2 2 2 6" xfId="9340" xr:uid="{50728E7B-C8EA-4641-B897-F7CEF55E0536}"/>
    <cellStyle name="60% - Akzent1 2 2 2 2 2 6 2" xfId="28777" xr:uid="{754229AE-B278-4F1A-ACCC-13D43ED77991}"/>
    <cellStyle name="60% - Akzent1 2 2 2 2 2 7" xfId="9341" xr:uid="{B5BB4751-DF32-4480-B715-8FA5014FA3DB}"/>
    <cellStyle name="60% - Akzent1 2 2 2 2 2 7 2" xfId="28778" xr:uid="{EB87122A-2849-4AE2-9965-1B1439A3B80A}"/>
    <cellStyle name="60% - Akzent1 2 2 2 2 2 8" xfId="9342" xr:uid="{B2A090C7-9541-4D96-ADDE-3C9C327A434E}"/>
    <cellStyle name="60% - Akzent1 2 2 2 2 2 8 2" xfId="28779" xr:uid="{9B749BA4-5102-4B86-A41B-1C4A5C4D4FB0}"/>
    <cellStyle name="60% - Akzent1 2 2 2 2 2 9" xfId="28771" xr:uid="{0EBE760D-D79B-4BBE-994D-0CA0C1E521E1}"/>
    <cellStyle name="60% - Akzent1 2 2 2 2 3" xfId="9343" xr:uid="{87335731-A7C4-4CF1-A439-4091B2F4AE8B}"/>
    <cellStyle name="60% - Akzent1 2 2 2 2 3 2" xfId="9344" xr:uid="{B71D974D-A70B-4172-AF90-250D3EA81771}"/>
    <cellStyle name="60% - Akzent1 2 2 2 2 3 2 2" xfId="28781" xr:uid="{C93AC072-CF8A-4B07-853F-7099CA18AC5F}"/>
    <cellStyle name="60% - Akzent1 2 2 2 2 3 3" xfId="28780" xr:uid="{AE6DF04E-4127-4FCF-9C16-06017197E088}"/>
    <cellStyle name="60% - Akzent1 2 2 2 2 4" xfId="9345" xr:uid="{43AC66D3-F915-4868-A401-2C395F98F524}"/>
    <cellStyle name="60% - Akzent1 2 2 2 2 4 2" xfId="28782" xr:uid="{1F48C61A-C3CB-45EB-9B89-60D1657DCBCA}"/>
    <cellStyle name="60% - Akzent1 2 2 2 2 5" xfId="9346" xr:uid="{8FFA14C2-AD80-4740-A224-77AFE371DC43}"/>
    <cellStyle name="60% - Akzent1 2 2 2 2 5 2" xfId="28783" xr:uid="{0260BDCB-B6C6-4D82-BF10-18F6BD26A62C}"/>
    <cellStyle name="60% - Akzent1 2 2 2 2 6" xfId="9347" xr:uid="{F7B34A02-E023-470A-8EB3-DC3694460AC6}"/>
    <cellStyle name="60% - Akzent1 2 2 2 2 6 2" xfId="28784" xr:uid="{7FA48A9A-C6CB-4FDD-B014-BE31067080C8}"/>
    <cellStyle name="60% - Akzent1 2 2 2 2 7" xfId="9348" xr:uid="{B4B21DAD-40EE-4A2E-A3B9-915E4567F049}"/>
    <cellStyle name="60% - Akzent1 2 2 2 2 7 2" xfId="28785" xr:uid="{88C92FE8-5400-4499-BBB0-6871F0516B9A}"/>
    <cellStyle name="60% - Akzent1 2 2 2 2 8" xfId="9349" xr:uid="{86EFAF10-C4FE-46E3-8E91-02C5E79C4EEF}"/>
    <cellStyle name="60% - Akzent1 2 2 2 2 8 2" xfId="28786" xr:uid="{74EA0E11-E3A2-42E4-A904-3E5A1AB6B13A}"/>
    <cellStyle name="60% - Akzent1 2 2 2 2 9" xfId="28770" xr:uid="{4B2685B2-7467-4203-8F77-83E7A7049F7B}"/>
    <cellStyle name="60% - Akzent1 2 2 2 3" xfId="9350" xr:uid="{7EDA18CF-C197-4D96-B6B7-9080C1E0B92E}"/>
    <cellStyle name="60% - Akzent1 2 2 2 3 2" xfId="28787" xr:uid="{253B3953-A14D-41F3-8306-CA72B95ABE82}"/>
    <cellStyle name="60% - Akzent1 2 2 2 4" xfId="9351" xr:uid="{1EB65DD0-9892-4161-A0A8-9BD6041F3F49}"/>
    <cellStyle name="60% - Akzent1 2 2 2 4 2" xfId="28788" xr:uid="{C51F58F7-32DD-459E-9526-FA9ACCC7BA5C}"/>
    <cellStyle name="60% - Akzent1 2 2 2 5" xfId="9352" xr:uid="{B8604DAF-5ACC-400B-9766-E7E898BA1B10}"/>
    <cellStyle name="60% - Akzent1 2 2 2 5 2" xfId="9353" xr:uid="{6D938DFA-1C9B-4500-9437-BE4F6D96B568}"/>
    <cellStyle name="60% - Akzent1 2 2 2 5 2 2" xfId="28790" xr:uid="{A58C6886-3628-454F-803D-9412A46DD219}"/>
    <cellStyle name="60% - Akzent1 2 2 2 5 3" xfId="28789" xr:uid="{6F4C9E74-D9FD-4BD0-91CA-60754D3E5784}"/>
    <cellStyle name="60% - Akzent1 2 2 2 6" xfId="9354" xr:uid="{44DFE19F-934B-4DE8-9DA2-0773FEF5CE16}"/>
    <cellStyle name="60% - Akzent1 2 2 2 6 2" xfId="28791" xr:uid="{D15C045E-2712-4A4E-8EC3-25446BB22DAF}"/>
    <cellStyle name="60% - Akzent1 2 2 2 7" xfId="9355" xr:uid="{F7572E4D-871A-49AD-8ADF-DD4EA41A94B0}"/>
    <cellStyle name="60% - Akzent1 2 2 2 7 2" xfId="28792" xr:uid="{659C63CA-17BA-4711-9CD1-9B579798F674}"/>
    <cellStyle name="60% - Akzent1 2 2 2 8" xfId="9356" xr:uid="{0782D455-5AFF-4B00-B9B4-98434D5CA626}"/>
    <cellStyle name="60% - Akzent1 2 2 2 8 2" xfId="28793" xr:uid="{EE41CFE1-3242-49F6-A090-DD19ECF54712}"/>
    <cellStyle name="60% - Akzent1 2 2 2 9" xfId="9357" xr:uid="{7FBFFDFA-ACA0-42DF-8845-D01C81BB51A9}"/>
    <cellStyle name="60% - Akzent1 2 2 2 9 2" xfId="28794" xr:uid="{7EA400A9-98D8-4BDA-BC3A-C4FAC23FE496}"/>
    <cellStyle name="60% - Akzent1 2 2 3" xfId="9358" xr:uid="{61E8CD8B-1DFB-4542-AE56-5DAA102ED075}"/>
    <cellStyle name="60% - Akzent1 2 2 3 2" xfId="28795" xr:uid="{6E74FA4D-81AE-4F0F-8B0A-83F804760042}"/>
    <cellStyle name="60% - Akzent1 2 2 4" xfId="9359" xr:uid="{B8901C25-BA5D-44C7-8999-63C11AC153B7}"/>
    <cellStyle name="60% - Akzent1 2 2 4 2" xfId="28796" xr:uid="{15D67A24-AF34-4CDD-A633-37C172B66575}"/>
    <cellStyle name="60% - Akzent1 2 2 5" xfId="9360" xr:uid="{BAA8D68F-A42F-4058-8B09-4A94ED068013}"/>
    <cellStyle name="60% - Akzent1 2 2 5 2" xfId="9361" xr:uid="{9384F4E6-4297-4D3F-889E-88EC7078A1B6}"/>
    <cellStyle name="60% - Akzent1 2 2 5 2 2" xfId="28798" xr:uid="{B3107B70-0A05-43CE-A452-A65C5555AA37}"/>
    <cellStyle name="60% - Akzent1 2 2 5 3" xfId="28797" xr:uid="{B00A6241-AFDA-40FB-80BF-EB0AD34D492D}"/>
    <cellStyle name="60% - Akzent1 2 2 6" xfId="9362" xr:uid="{F428A5DC-EE2C-45A1-BD5D-76929AE36399}"/>
    <cellStyle name="60% - Akzent1 2 2 6 2" xfId="28799" xr:uid="{22245EA4-B1BE-4AE8-95E5-7A537AC40B5C}"/>
    <cellStyle name="60% - Akzent1 2 2 7" xfId="9363" xr:uid="{B4C3E868-D656-4FA2-8FE4-946732E45F8C}"/>
    <cellStyle name="60% - Akzent1 2 2 7 2" xfId="9364" xr:uid="{3CF2D3AD-B624-4216-AB3A-013D1200DE87}"/>
    <cellStyle name="60% - Akzent1 2 2 7 2 2" xfId="28801" xr:uid="{F82BBA0F-FDEF-497B-8FB9-D9922FF4851F}"/>
    <cellStyle name="60% - Akzent1 2 2 7 3" xfId="28800" xr:uid="{C631139B-A852-4DF8-AB15-312A6366AA09}"/>
    <cellStyle name="60% - Akzent1 2 2 8" xfId="9365" xr:uid="{4EC9006F-FB32-4EE3-8FED-EB1A3A0C7076}"/>
    <cellStyle name="60% - Akzent1 2 2 8 2" xfId="28802" xr:uid="{ED5B83EA-1C13-41B3-AC27-0CA0107DE498}"/>
    <cellStyle name="60% - Akzent1 2 2 9" xfId="9366" xr:uid="{B14E13C8-1F0F-4B6F-B427-421601719FED}"/>
    <cellStyle name="60% - Akzent1 2 2 9 2" xfId="28803" xr:uid="{B9F6D780-E720-4C8E-81DE-88F1B5DA50C6}"/>
    <cellStyle name="60% - Akzent1 2 3" xfId="9367" xr:uid="{6292C209-AA90-441D-A8C3-7C59D64E6FB1}"/>
    <cellStyle name="60% - Akzent1 2 3 2" xfId="28804" xr:uid="{7EEC1289-A4E9-442B-A7CA-475480653D68}"/>
    <cellStyle name="60% - Akzent1 2 4" xfId="9368" xr:uid="{BCA0D7B2-4ED2-486C-9CDD-879C6BAD443C}"/>
    <cellStyle name="60% - Akzent1 2 4 2" xfId="9369" xr:uid="{CE44C32C-6099-45F4-82DC-F4699A7359F1}"/>
    <cellStyle name="60% - Akzent1 2 4 2 2" xfId="9370" xr:uid="{3B0ACB92-FB95-44D7-9F77-7B5A64E11F5D}"/>
    <cellStyle name="60% - Akzent1 2 4 2 2 2" xfId="28807" xr:uid="{22F4FA7B-A30D-49F8-8A0C-6BB4D7FBDBBE}"/>
    <cellStyle name="60% - Akzent1 2 4 2 3" xfId="28806" xr:uid="{17FDC8E7-BDE5-458C-B9F0-E94EEFDC76BB}"/>
    <cellStyle name="60% - Akzent1 2 4 3" xfId="9371" xr:uid="{A6F46B94-4C06-496D-9DD2-8AA0CF9F88A7}"/>
    <cellStyle name="60% - Akzent1 2 4 3 2" xfId="28808" xr:uid="{FFD607B3-430D-4A5B-8588-AEEE63C292FA}"/>
    <cellStyle name="60% - Akzent1 2 4 4" xfId="9372" xr:uid="{F8B119A1-1AC3-4E1F-B8A8-FB1D87EB5A49}"/>
    <cellStyle name="60% - Akzent1 2 4 4 2" xfId="28809" xr:uid="{B4B018D6-34EC-434D-A226-8E4211E7792B}"/>
    <cellStyle name="60% - Akzent1 2 4 5" xfId="28805" xr:uid="{BC14A611-FCFE-4D4D-A8E2-D6A7A15F6FD3}"/>
    <cellStyle name="60% - Akzent1 2 5" xfId="9373" xr:uid="{FE33F8B1-14A9-405E-920A-A380FC16A11E}"/>
    <cellStyle name="60% - Akzent1 2 5 2" xfId="28810" xr:uid="{F9AB1DF2-1376-44EF-95D7-9C3DF2C649A3}"/>
    <cellStyle name="60% - Akzent1 2 6" xfId="9374" xr:uid="{435B5C1C-FF3C-4B03-B647-074E6F262E80}"/>
    <cellStyle name="60% - Akzent1 2 6 2" xfId="9375" xr:uid="{249D473A-EDFB-448F-8243-5F0FE139CDF6}"/>
    <cellStyle name="60% - Akzent1 2 6 2 2" xfId="28812" xr:uid="{ED1BBDA2-92B6-44C8-B3E9-76EC8ECBB2A2}"/>
    <cellStyle name="60% - Akzent1 2 6 3" xfId="28811" xr:uid="{E5133E08-116B-4C2F-87F1-5104DAF795DE}"/>
    <cellStyle name="60% - Akzent1 2 7" xfId="9376" xr:uid="{DA881A9E-EE84-45F5-AAA0-AD9DE567BF16}"/>
    <cellStyle name="60% - Akzent1 2 7 2" xfId="28813" xr:uid="{F9DB3816-5D12-4D7C-A2FE-C51F88AC4AE6}"/>
    <cellStyle name="60% - Akzent1 2 8" xfId="9377" xr:uid="{99D2AB4D-AEFD-4740-ACC6-ED5B7410A9B7}"/>
    <cellStyle name="60% - Akzent1 2 8 2" xfId="9378" xr:uid="{12542683-4FE0-4041-A954-CE4FE9962BBB}"/>
    <cellStyle name="60% - Akzent1 2 8 2 2" xfId="28815" xr:uid="{1EA294A2-E4F0-4240-856B-4262BBB5A455}"/>
    <cellStyle name="60% - Akzent1 2 8 3" xfId="28814" xr:uid="{D45DD216-5252-49BA-BB65-0D78CB42398B}"/>
    <cellStyle name="60% - Akzent1 2 9" xfId="9379" xr:uid="{626AF179-DDCF-4B79-8896-B950B65D1DD5}"/>
    <cellStyle name="60% - Akzent1 2 9 2" xfId="28816" xr:uid="{858976CE-CC34-4E14-9E66-F4AAD658ACEA}"/>
    <cellStyle name="60% - Akzent1 20" xfId="9380" xr:uid="{578F241F-5453-4488-A1A6-C92BEB855A63}"/>
    <cellStyle name="60% - Akzent1 20 2" xfId="9381" xr:uid="{93DD18EE-2D29-4208-8236-607CBB870F41}"/>
    <cellStyle name="60% - Akzent1 20 2 2" xfId="28818" xr:uid="{B40C846F-4DC1-4C3F-B05E-C5F570B7C1F2}"/>
    <cellStyle name="60% - Akzent1 20 3" xfId="28817" xr:uid="{C675AD7E-FC27-4539-8047-9C7E56EFBEB3}"/>
    <cellStyle name="60% - Akzent1 21" xfId="9382" xr:uid="{B8FB5AC8-8CAE-4A99-B08F-D2919D30423E}"/>
    <cellStyle name="60% - Akzent1 21 2" xfId="9383" xr:uid="{A210564F-9541-4F3D-8B3B-D6160CDE8ACA}"/>
    <cellStyle name="60% - Akzent1 21 2 2" xfId="28820" xr:uid="{40657CF2-D1AA-4BFB-B4C3-5EA0457B07FF}"/>
    <cellStyle name="60% - Akzent1 21 3" xfId="28819" xr:uid="{DC844B03-78B4-4DC0-8A33-4ACEDF2DEABE}"/>
    <cellStyle name="60% - Akzent1 22" xfId="9384" xr:uid="{60147E95-56DF-43FD-97A6-DC70E2B1D05E}"/>
    <cellStyle name="60% - Akzent1 22 2" xfId="9385" xr:uid="{CD30F76A-32EB-4B9D-B392-2CFC16BCE57C}"/>
    <cellStyle name="60% - Akzent1 22 2 2" xfId="28822" xr:uid="{496D6640-5923-4EA4-9ECE-E84973536B3D}"/>
    <cellStyle name="60% - Akzent1 22 3" xfId="28821" xr:uid="{3617391B-B9FD-4CEE-BA5C-705AAEA25E00}"/>
    <cellStyle name="60% - Akzent1 23" xfId="9386" xr:uid="{C2B4B240-F039-4D9F-9353-BFA72C7937C9}"/>
    <cellStyle name="60% - Akzent1 23 2" xfId="9387" xr:uid="{0FA6FAB8-C3E1-472D-A269-42820AE70459}"/>
    <cellStyle name="60% - Akzent1 23 2 2" xfId="28824" xr:uid="{27225C89-890A-49A2-967D-E511528ADCA9}"/>
    <cellStyle name="60% - Akzent1 23 3" xfId="28823" xr:uid="{B12E6FBF-CDF6-444A-9E5B-1928C9FB84F3}"/>
    <cellStyle name="60% - Akzent1 24" xfId="9388" xr:uid="{0FE7A5FC-C79B-4FDE-B0D2-1C8ADB327F09}"/>
    <cellStyle name="60% - Akzent1 24 2" xfId="9389" xr:uid="{2BDD5DB7-E471-4A42-B804-C2160685FCA5}"/>
    <cellStyle name="60% - Akzent1 24 2 2" xfId="28826" xr:uid="{5039607C-EA10-49FA-8001-22386AF83A00}"/>
    <cellStyle name="60% - Akzent1 24 3" xfId="28825" xr:uid="{9F785FE1-7F40-4ED0-8F8A-28CB94867C70}"/>
    <cellStyle name="60% - Akzent1 25" xfId="9390" xr:uid="{BEA0951C-3042-483B-ADD2-C864401A8E31}"/>
    <cellStyle name="60% - Akzent1 25 2" xfId="9391" xr:uid="{AB8D439D-46BD-4D19-861A-7118F170D8FA}"/>
    <cellStyle name="60% - Akzent1 25 2 2" xfId="28828" xr:uid="{CC072CCB-53F0-42C8-91AE-BAEE120DAF0C}"/>
    <cellStyle name="60% - Akzent1 25 3" xfId="28827" xr:uid="{8A4BF851-28BE-4C31-BEB5-4F9C222A364D}"/>
    <cellStyle name="60% - Akzent1 26" xfId="9392" xr:uid="{A8DCA371-BEEB-4D27-B658-11DE80402251}"/>
    <cellStyle name="60% - Akzent1 26 2" xfId="9393" xr:uid="{E4615CE7-16C3-4185-80F2-CA17E280A07D}"/>
    <cellStyle name="60% - Akzent1 26 2 2" xfId="28830" xr:uid="{3EE3470C-1160-4D46-B03B-12B620037ECF}"/>
    <cellStyle name="60% - Akzent1 26 3" xfId="28829" xr:uid="{4E0B9699-977C-45E0-87CE-6C83600F3784}"/>
    <cellStyle name="60% - Akzent1 27" xfId="9394" xr:uid="{8D34858A-4653-43DD-A904-C03F5DDF8567}"/>
    <cellStyle name="60% - Akzent1 27 2" xfId="9395" xr:uid="{F5D1DAAE-84C7-429A-93F8-3CAFC254D51C}"/>
    <cellStyle name="60% - Akzent1 27 2 2" xfId="28832" xr:uid="{60999FA7-D6C0-4DA3-9ACC-CD292F3C6EB8}"/>
    <cellStyle name="60% - Akzent1 27 3" xfId="28831" xr:uid="{C6C754BC-0408-42CC-9E9B-4B31EA4981DA}"/>
    <cellStyle name="60% - Akzent1 28" xfId="9396" xr:uid="{5F73C1FF-E915-4FF4-8EC5-A518D522C684}"/>
    <cellStyle name="60% - Akzent1 28 2" xfId="9397" xr:uid="{A05365BD-6239-4392-90D2-DF2D8F55283B}"/>
    <cellStyle name="60% - Akzent1 28 2 2" xfId="28834" xr:uid="{9AAF9CA0-6DDD-4FD8-88EA-C16374CE9EF0}"/>
    <cellStyle name="60% - Akzent1 28 3" xfId="28833" xr:uid="{86B6C124-54FC-4909-A52B-A428C669DD8C}"/>
    <cellStyle name="60% - Akzent1 29" xfId="9398" xr:uid="{BF658492-1519-4042-91B9-381B446AA51E}"/>
    <cellStyle name="60% - Akzent1 29 2" xfId="9399" xr:uid="{0B9685CE-BEF4-49BB-9E76-A78C535B8787}"/>
    <cellStyle name="60% - Akzent1 29 2 2" xfId="28836" xr:uid="{E1E25C32-89B3-4F0F-9BF0-C5EBC8D04DD3}"/>
    <cellStyle name="60% - Akzent1 29 3" xfId="28835" xr:uid="{9B658C98-802E-4B09-A45D-084743169393}"/>
    <cellStyle name="60% - Akzent1 3" xfId="9400" xr:uid="{1A463978-D804-4A1C-81E8-07F60F0FA7FF}"/>
    <cellStyle name="60% - Akzent1 3 10" xfId="39340" xr:uid="{903BDD3B-0982-429C-B25B-E736E7712EEB}"/>
    <cellStyle name="60% - Akzent1 3 2" xfId="9401" xr:uid="{6EC3D50F-7EB2-4DE2-B74D-CB3FBA834623}"/>
    <cellStyle name="60% - Akzent1 3 2 2" xfId="9402" xr:uid="{2AE99F6C-2A9D-4AF2-89CE-37B3F0FE8AE6}"/>
    <cellStyle name="60% - Akzent1 3 2 2 2" xfId="9403" xr:uid="{D95F1C0B-3403-4B56-86B5-3D76512F0C0C}"/>
    <cellStyle name="60% - Akzent1 3 2 2 2 2" xfId="28840" xr:uid="{D1CB846D-67B2-4B39-8246-2311D368E39D}"/>
    <cellStyle name="60% - Akzent1 3 2 2 3" xfId="28839" xr:uid="{43E73071-B23A-43F0-B424-0C611AEA9DCF}"/>
    <cellStyle name="60% - Akzent1 3 2 3" xfId="9404" xr:uid="{8AC355A3-D5CA-420E-B539-3EDB5D56DABF}"/>
    <cellStyle name="60% - Akzent1 3 2 3 2" xfId="28841" xr:uid="{916E6A80-479E-4CDD-9130-F45E572013FD}"/>
    <cellStyle name="60% - Akzent1 3 2 4" xfId="9405" xr:uid="{19DC223E-3FE6-4771-A681-36E02D75DFDA}"/>
    <cellStyle name="60% - Akzent1 3 2 4 2" xfId="28842" xr:uid="{D276B21C-73D6-42AF-911C-E794B730DB49}"/>
    <cellStyle name="60% - Akzent1 3 2 5" xfId="28838" xr:uid="{5023177A-3E5D-4A08-AFE6-B75C2B2C6E0B}"/>
    <cellStyle name="60% - Akzent1 3 2 6" xfId="39972" xr:uid="{B07C15E9-3B32-49B9-B694-B8F1C64CC945}"/>
    <cellStyle name="60% - Akzent1 3 3" xfId="9406" xr:uid="{7663245D-9FE5-4292-9CBA-9DC0BB299B24}"/>
    <cellStyle name="60% - Akzent1 3 3 2" xfId="28843" xr:uid="{D95141BE-3A0F-4CD8-9A46-8A5B1502AC23}"/>
    <cellStyle name="60% - Akzent1 3 4" xfId="9407" xr:uid="{E116A409-C0CE-43AD-A22A-473F7B00323D}"/>
    <cellStyle name="60% - Akzent1 3 4 2" xfId="28844" xr:uid="{8C9A7E57-6447-4F0C-B4DB-A2644D7A8917}"/>
    <cellStyle name="60% - Akzent1 3 5" xfId="9408" xr:uid="{387ABAFF-DF0F-441C-8944-FC294BD8BB60}"/>
    <cellStyle name="60% - Akzent1 3 5 2" xfId="9409" xr:uid="{DCCBDF10-E662-4EBA-8601-48AF44AF6FAE}"/>
    <cellStyle name="60% - Akzent1 3 5 2 2" xfId="28846" xr:uid="{0EDB9A6F-434E-4697-8804-22CF1A9B1AD0}"/>
    <cellStyle name="60% - Akzent1 3 5 3" xfId="28845" xr:uid="{5564AAA4-FA9B-4E43-BB3F-D6303EBB4C53}"/>
    <cellStyle name="60% - Akzent1 3 6" xfId="9410" xr:uid="{01B9DD7F-4EBB-4FDD-8B62-EFA6125F113F}"/>
    <cellStyle name="60% - Akzent1 3 6 2" xfId="28847" xr:uid="{324D7B1A-0287-4274-819B-B20DA8E48208}"/>
    <cellStyle name="60% - Akzent1 3 7" xfId="9411" xr:uid="{BB03CFBB-A5F3-4956-B4C4-D35DE72D17D7}"/>
    <cellStyle name="60% - Akzent1 3 7 2" xfId="28848" xr:uid="{B758A23B-54C6-4938-8212-E43BCC88AD0E}"/>
    <cellStyle name="60% - Akzent1 3 8" xfId="9412" xr:uid="{70E54723-20EE-4CDF-ADAE-D958A6C9A747}"/>
    <cellStyle name="60% - Akzent1 3 8 2" xfId="28849" xr:uid="{AFC9B8DB-B068-4700-8EC6-63763929B9A8}"/>
    <cellStyle name="60% - Akzent1 3 9" xfId="28837" xr:uid="{65FAC488-2F05-4E23-A3C9-16477EADADA0}"/>
    <cellStyle name="60% - Akzent1 30" xfId="9413" xr:uid="{CA48891B-E3B0-4215-8881-502AAA626A57}"/>
    <cellStyle name="60% - Akzent1 30 2" xfId="9414" xr:uid="{9E2A053E-2B26-4C8A-8AFE-6F4E13C2096D}"/>
    <cellStyle name="60% - Akzent1 30 2 2" xfId="28851" xr:uid="{F89BA3E2-FE06-42B4-A50A-838521FB1D07}"/>
    <cellStyle name="60% - Akzent1 30 3" xfId="28850" xr:uid="{9630D5CF-84E1-4701-AADF-6D2708435FD0}"/>
    <cellStyle name="60% - Akzent1 31" xfId="9415" xr:uid="{84938FC1-E381-4F7F-9586-63ED1CAAB8AA}"/>
    <cellStyle name="60% - Akzent1 31 2" xfId="9416" xr:uid="{8BAB393E-D561-4297-AAA3-8B364D34D1E1}"/>
    <cellStyle name="60% - Akzent1 31 2 2" xfId="28853" xr:uid="{63279744-FD8E-431C-B216-84F5A601D2A1}"/>
    <cellStyle name="60% - Akzent1 31 3" xfId="28852" xr:uid="{C144F734-F528-483B-8317-07C2F591C6C7}"/>
    <cellStyle name="60% - Akzent1 32" xfId="9417" xr:uid="{D69ED96E-B1BE-49FE-A864-AEED7F562CDE}"/>
    <cellStyle name="60% - Akzent1 32 2" xfId="9418" xr:uid="{3BD23FD9-250E-4BF9-A776-673052869514}"/>
    <cellStyle name="60% - Akzent1 32 2 2" xfId="28855" xr:uid="{7C380117-4EE3-455B-B567-B0825BC0A478}"/>
    <cellStyle name="60% - Akzent1 32 3" xfId="28854" xr:uid="{5C2E7A69-A495-4EBC-9AE5-122F5380B5D3}"/>
    <cellStyle name="60% - Akzent1 33" xfId="9419" xr:uid="{06986726-1EDA-43C8-9E98-EC2D80190336}"/>
    <cellStyle name="60% - Akzent1 33 2" xfId="9420" xr:uid="{71414675-EECD-4C4D-B17A-164C03D904CB}"/>
    <cellStyle name="60% - Akzent1 33 2 2" xfId="28857" xr:uid="{942802E9-4CAD-4BAE-9114-57F9ED9D24E3}"/>
    <cellStyle name="60% - Akzent1 33 3" xfId="28856" xr:uid="{DEFBEA16-77DE-40BD-98D1-80B41FC78A15}"/>
    <cellStyle name="60% - Akzent1 34" xfId="9421" xr:uid="{56BE5DA1-3461-4CF7-9962-136AE73815D8}"/>
    <cellStyle name="60% - Akzent1 34 2" xfId="9422" xr:uid="{6AA6B0EB-48A1-4285-9005-E15ABA42C1AC}"/>
    <cellStyle name="60% - Akzent1 34 2 2" xfId="28859" xr:uid="{1E386DD8-C19E-447C-B559-373ED13BF8C7}"/>
    <cellStyle name="60% - Akzent1 34 3" xfId="28858" xr:uid="{3280823C-88E3-4F32-A989-94572F53F4AF}"/>
    <cellStyle name="60% - Akzent1 35" xfId="9423" xr:uid="{3A00A39D-2482-44E4-B0CB-8B73EC063FF6}"/>
    <cellStyle name="60% - Akzent1 35 2" xfId="9424" xr:uid="{DB5A05E7-6F4C-465B-92C1-3B86D474E487}"/>
    <cellStyle name="60% - Akzent1 35 2 2" xfId="28861" xr:uid="{3425D3BB-1ED8-4926-AE28-FD29D349C84B}"/>
    <cellStyle name="60% - Akzent1 35 3" xfId="28860" xr:uid="{2BC6229F-2F10-4117-A4C2-7123C9E088CD}"/>
    <cellStyle name="60% - Akzent1 36" xfId="9425" xr:uid="{CD9CB1F4-A221-40F8-A164-0219DDFDED7C}"/>
    <cellStyle name="60% - Akzent1 36 2" xfId="9426" xr:uid="{666A5B72-8728-4F0E-A702-A91E22CBE812}"/>
    <cellStyle name="60% - Akzent1 36 2 2" xfId="28863" xr:uid="{C043EEC2-117C-47A6-9557-8EE708B87E01}"/>
    <cellStyle name="60% - Akzent1 36 3" xfId="28862" xr:uid="{6D3819C0-ACC8-454E-85C6-0A95F4BF4607}"/>
    <cellStyle name="60% - Akzent1 37" xfId="28737" xr:uid="{7115BC48-88E5-4E2D-9F3E-9BE468B449CD}"/>
    <cellStyle name="60% - Akzent1 38" xfId="9300" xr:uid="{6110CF6D-440F-4768-BDF2-4A5067C22CA6}"/>
    <cellStyle name="60% - Akzent1 4" xfId="9427" xr:uid="{7F6C3A3A-149F-49CC-9B80-62C6519228C3}"/>
    <cellStyle name="60% - Akzent1 4 2" xfId="9428" xr:uid="{BBC55071-CF2D-4015-9920-402559439467}"/>
    <cellStyle name="60% - Akzent1 4 2 2" xfId="9429" xr:uid="{3C666705-F4BD-4F52-9922-8FA285BF96AB}"/>
    <cellStyle name="60% - Akzent1 4 2 2 2" xfId="28866" xr:uid="{9C4013FE-76B6-4F8C-876D-F11FC0A6107B}"/>
    <cellStyle name="60% - Akzent1 4 2 3" xfId="28865" xr:uid="{56CD2E1F-DC67-4DA0-A5A3-717DF5B15D91}"/>
    <cellStyle name="60% - Akzent1 4 2 4" xfId="39973" xr:uid="{743449C2-DD30-419A-9658-E89DF22DC138}"/>
    <cellStyle name="60% - Akzent1 4 3" xfId="9430" xr:uid="{F67A7902-52EC-485A-9186-EDE1B8AC8BD1}"/>
    <cellStyle name="60% - Akzent1 4 3 2" xfId="28867" xr:uid="{EB33AF36-8B0A-4BD3-89B2-58DE5B508C8E}"/>
    <cellStyle name="60% - Akzent1 4 4" xfId="9431" xr:uid="{12CC3A74-307F-4978-A951-4D41A13162C9}"/>
    <cellStyle name="60% - Akzent1 4 4 2" xfId="28868" xr:uid="{9AA28B19-7398-48DE-8EFE-0F8E3C202EE2}"/>
    <cellStyle name="60% - Akzent1 4 5" xfId="9432" xr:uid="{5EBD679F-6D97-492F-972E-CA18CA280703}"/>
    <cellStyle name="60% - Akzent1 4 5 2" xfId="28869" xr:uid="{A6E5385B-229E-414F-9782-BF6813B728F0}"/>
    <cellStyle name="60% - Akzent1 4 6" xfId="9433" xr:uid="{33DF800B-4880-4A35-806F-739B29CA6537}"/>
    <cellStyle name="60% - Akzent1 4 6 2" xfId="28870" xr:uid="{A72DECA2-9BA8-4AA6-9904-8B5B8D5D4B0A}"/>
    <cellStyle name="60% - Akzent1 4 7" xfId="28864" xr:uid="{971DAEFF-84D2-4CBF-816F-F951130DCA60}"/>
    <cellStyle name="60% - Akzent1 4 8" xfId="39341" xr:uid="{4D373618-F9E8-4FBE-A70A-23A52172C8C2}"/>
    <cellStyle name="60% - Akzent1 5" xfId="9434" xr:uid="{A6628CDB-E057-4FD3-A367-781D4B56C0CB}"/>
    <cellStyle name="60% - Akzent1 5 2" xfId="9435" xr:uid="{A33A8289-B204-4877-A749-7759A0A968FF}"/>
    <cellStyle name="60% - Akzent1 5 2 2" xfId="28872" xr:uid="{7CDDA66C-7C9F-4310-952A-FDDF6A662AA7}"/>
    <cellStyle name="60% - Akzent1 5 3" xfId="9436" xr:uid="{C0E4497D-8308-4037-BF85-D1BB126FD7E0}"/>
    <cellStyle name="60% - Akzent1 5 3 2" xfId="28873" xr:uid="{97CEAE02-3187-40B3-A729-87613C16D961}"/>
    <cellStyle name="60% - Akzent1 5 4" xfId="9437" xr:uid="{FB89F8A6-76DA-4AFA-A988-652AD1DD31E3}"/>
    <cellStyle name="60% - Akzent1 5 4 2" xfId="28874" xr:uid="{63B3C727-165A-47BF-9931-A2E0081E2F7B}"/>
    <cellStyle name="60% - Akzent1 5 5" xfId="28871" xr:uid="{EFE606D8-4995-4E22-933C-985FE6273835}"/>
    <cellStyle name="60% - Akzent1 5 6" xfId="39342" xr:uid="{93D7A390-B1DA-485B-AFE5-426C6C3F04F3}"/>
    <cellStyle name="60% - Akzent1 6" xfId="9438" xr:uid="{0B62A4CE-3F9F-4035-BD1E-40102074A1CA}"/>
    <cellStyle name="60% - Akzent1 6 2" xfId="9439" xr:uid="{7E29A1B5-F8B4-44BC-85F1-8AE07AA6142F}"/>
    <cellStyle name="60% - Akzent1 6 2 2" xfId="28876" xr:uid="{DCDAFEB5-8D95-43C9-9822-2145EF3A1111}"/>
    <cellStyle name="60% - Akzent1 6 3" xfId="9440" xr:uid="{A4B08CA3-89C3-41BC-9FAE-E0414D06D512}"/>
    <cellStyle name="60% - Akzent1 6 3 2" xfId="28877" xr:uid="{72814795-35E3-4A36-AC62-E21985623F09}"/>
    <cellStyle name="60% - Akzent1 6 4" xfId="9441" xr:uid="{3A43961C-178B-4B71-81A5-0783445BF850}"/>
    <cellStyle name="60% - Akzent1 6 4 2" xfId="28878" xr:uid="{CEC72391-55C9-4A9E-996D-362B04CD886D}"/>
    <cellStyle name="60% - Akzent1 6 5" xfId="28875" xr:uid="{8DD68D20-E2A3-4FAE-9DBC-A4CD46C3588A}"/>
    <cellStyle name="60% - Akzent1 6 6" xfId="39337" xr:uid="{2F0CBC0D-CB0D-4791-9768-D745082EF52D}"/>
    <cellStyle name="60% - Akzent1 7" xfId="9442" xr:uid="{F0942AC8-A547-4C3E-9EA1-6AE0B5909296}"/>
    <cellStyle name="60% - Akzent1 7 2" xfId="9443" xr:uid="{49147796-AAB4-4182-A0EF-3ED38698CD43}"/>
    <cellStyle name="60% - Akzent1 7 2 2" xfId="28880" xr:uid="{64DCA64A-8AF3-430D-91F7-74E4F2E17525}"/>
    <cellStyle name="60% - Akzent1 7 3" xfId="28879" xr:uid="{2D22BB9C-25F2-43A5-88E0-86942375CA20}"/>
    <cellStyle name="60% - Akzent1 8" xfId="9444" xr:uid="{FFC899D5-BECA-4227-BC29-9FF1FA1BD621}"/>
    <cellStyle name="60% - Akzent1 8 2" xfId="9445" xr:uid="{572D1A4A-E930-45F3-9F12-FFAC7B184FF7}"/>
    <cellStyle name="60% - Akzent1 8 2 2" xfId="28882" xr:uid="{CAD49C84-868C-4E33-B694-80074C5BA858}"/>
    <cellStyle name="60% - Akzent1 8 3" xfId="28881" xr:uid="{71311CBF-69AA-4C6D-80F1-8F1BDEED936C}"/>
    <cellStyle name="60% - Akzent1 9" xfId="9446" xr:uid="{693287E6-2A90-42FB-BB2D-CB385C2A2B19}"/>
    <cellStyle name="60% - Akzent1 9 2" xfId="9447" xr:uid="{0845B863-F640-4B12-B853-1B6423DBA080}"/>
    <cellStyle name="60% - Akzent1 9 2 2" xfId="28884" xr:uid="{F41AF8F1-8BA6-4E1B-86F7-CC4F67940D97}"/>
    <cellStyle name="60% - Akzent1 9 3" xfId="28883" xr:uid="{304070F9-D9A0-4F94-AB8C-C16CD07E48F9}"/>
    <cellStyle name="60% - Akzent2 10" xfId="9449" xr:uid="{92ACC5B5-BC6C-466A-8507-64C38ADC6C45}"/>
    <cellStyle name="60% - Akzent2 10 2" xfId="9450" xr:uid="{23335645-C3FA-418D-9ED7-A0AB74848FBE}"/>
    <cellStyle name="60% - Akzent2 10 2 2" xfId="28887" xr:uid="{0E98C0FA-9C60-4E31-B6F2-9F9400A91BCC}"/>
    <cellStyle name="60% - Akzent2 10 3" xfId="28886" xr:uid="{5FA02EC8-3971-49CB-8811-68E9444BD8F8}"/>
    <cellStyle name="60% - Akzent2 11" xfId="9451" xr:uid="{44411D0B-65B8-4309-87AD-09806CEFCA8A}"/>
    <cellStyle name="60% - Akzent2 11 2" xfId="9452" xr:uid="{E4332EFB-E036-4CEF-AD49-7923D1AAD642}"/>
    <cellStyle name="60% - Akzent2 11 2 2" xfId="28889" xr:uid="{CA2ADB39-492F-4E4E-BA71-A86788A53B64}"/>
    <cellStyle name="60% - Akzent2 11 3" xfId="28888" xr:uid="{3E7E5E24-751E-4734-929F-69B5792C2E5D}"/>
    <cellStyle name="60% - Akzent2 12" xfId="9453" xr:uid="{C67BA0D7-F3BA-493B-89FB-920C3002BC32}"/>
    <cellStyle name="60% - Akzent2 12 2" xfId="9454" xr:uid="{CC77FE79-B5D5-4A33-B02B-C24CFD1E1620}"/>
    <cellStyle name="60% - Akzent2 12 2 2" xfId="28891" xr:uid="{51B47660-723C-437A-BFF8-B0A79E1CE5F1}"/>
    <cellStyle name="60% - Akzent2 12 3" xfId="28890" xr:uid="{C44D7826-CB7F-4B36-8BC0-9F2C78B23C08}"/>
    <cellStyle name="60% - Akzent2 13" xfId="9455" xr:uid="{78A8E09D-A166-47CC-A066-13A623BF1433}"/>
    <cellStyle name="60% - Akzent2 13 2" xfId="9456" xr:uid="{1E284540-3EA4-43CE-94BB-C028DD81DAB3}"/>
    <cellStyle name="60% - Akzent2 13 2 2" xfId="28893" xr:uid="{3CE31E2C-AC58-46BB-ACCC-A8F6ECAAF2FA}"/>
    <cellStyle name="60% - Akzent2 13 3" xfId="28892" xr:uid="{BDC01FA9-B40C-477C-B8A4-2C5B046F6BE1}"/>
    <cellStyle name="60% - Akzent2 14" xfId="9457" xr:uid="{87AF1EEC-B912-4C20-A546-9A98F2823AED}"/>
    <cellStyle name="60% - Akzent2 14 2" xfId="9458" xr:uid="{93FC1F24-4B3A-48FA-9BC8-79E3BE969509}"/>
    <cellStyle name="60% - Akzent2 14 2 2" xfId="28895" xr:uid="{79473E1B-FE58-44C2-ACDE-F516177D91F3}"/>
    <cellStyle name="60% - Akzent2 14 3" xfId="28894" xr:uid="{D860BD9C-A126-4BE4-B435-0702C74B79DB}"/>
    <cellStyle name="60% - Akzent2 15" xfId="9459" xr:uid="{C1AB2D6E-BAE5-4D96-9E40-818129465374}"/>
    <cellStyle name="60% - Akzent2 15 2" xfId="9460" xr:uid="{EFAAEDAC-1D40-4DC0-9890-CD0D96A14BAA}"/>
    <cellStyle name="60% - Akzent2 15 2 2" xfId="28897" xr:uid="{42BDB84C-AC79-4BAA-84C2-6A747A494A42}"/>
    <cellStyle name="60% - Akzent2 15 3" xfId="28896" xr:uid="{A3BE9D94-8C2E-4EE7-B313-267C4CF25A35}"/>
    <cellStyle name="60% - Akzent2 16" xfId="9461" xr:uid="{E9392224-BDC4-4954-99AA-25C0D8CD306C}"/>
    <cellStyle name="60% - Akzent2 16 2" xfId="9462" xr:uid="{ABB01D55-580C-4A9E-9F0D-1633583AC017}"/>
    <cellStyle name="60% - Akzent2 16 2 2" xfId="28899" xr:uid="{E6FA64B7-BFFE-4EEA-BEE4-1F17EF128DD8}"/>
    <cellStyle name="60% - Akzent2 16 3" xfId="28898" xr:uid="{E3B2EE86-8D15-4859-8363-A067CCFB79A2}"/>
    <cellStyle name="60% - Akzent2 17" xfId="9463" xr:uid="{DC49F4A3-3B0F-48EB-916A-B567CAF3B84D}"/>
    <cellStyle name="60% - Akzent2 17 2" xfId="9464" xr:uid="{023921E3-4F6F-46F7-ABF7-93B74318E148}"/>
    <cellStyle name="60% - Akzent2 17 2 2" xfId="28901" xr:uid="{90CBC4C3-7E3C-4B7F-92BD-745F09756137}"/>
    <cellStyle name="60% - Akzent2 17 3" xfId="28900" xr:uid="{1256EC6B-7867-479D-9528-F57817E1279B}"/>
    <cellStyle name="60% - Akzent2 18" xfId="9465" xr:uid="{6ADF5800-D293-40AD-9A98-24603814144A}"/>
    <cellStyle name="60% - Akzent2 18 2" xfId="9466" xr:uid="{CFC4F51E-7720-426C-9973-431024A512B7}"/>
    <cellStyle name="60% - Akzent2 18 2 2" xfId="28903" xr:uid="{C0A24496-C78B-4204-96E4-F828BA680BF7}"/>
    <cellStyle name="60% - Akzent2 18 3" xfId="28902" xr:uid="{E1C06516-B756-4955-BAE3-51ACB1BB8015}"/>
    <cellStyle name="60% - Akzent2 19" xfId="9467" xr:uid="{BAA80C6D-9071-43E2-9356-DFC3AB771D89}"/>
    <cellStyle name="60% - Akzent2 19 2" xfId="9468" xr:uid="{4D7B575E-D74C-414A-B134-8D1B6AC0DB5B}"/>
    <cellStyle name="60% - Akzent2 19 2 2" xfId="28905" xr:uid="{E83D4BF4-0D18-4D3F-A5CB-88A5ACF44AD9}"/>
    <cellStyle name="60% - Akzent2 19 3" xfId="28904" xr:uid="{CD924297-A7B9-4E11-A6A9-88EB62E171BE}"/>
    <cellStyle name="60% - Akzent2 2" xfId="9469" xr:uid="{BA90265C-2A48-48F7-A34E-732DFADB393A}"/>
    <cellStyle name="60% - Akzent2 2 10" xfId="9470" xr:uid="{B827C56E-650C-4A63-979B-102E25626E92}"/>
    <cellStyle name="60% - Akzent2 2 10 2" xfId="28907" xr:uid="{27FECF08-8C30-499B-9CB8-9D3DCEDFD7D5}"/>
    <cellStyle name="60% - Akzent2 2 11" xfId="9471" xr:uid="{B47DF8F5-C8CB-47EF-A4E1-25840655B2B3}"/>
    <cellStyle name="60% - Akzent2 2 11 2" xfId="28908" xr:uid="{A0AECC8A-C740-417C-82F7-6F5B8F15B30E}"/>
    <cellStyle name="60% - Akzent2 2 12" xfId="9472" xr:uid="{496BE1FA-CB16-4E7D-89E9-A6B955B9AA30}"/>
    <cellStyle name="60% - Akzent2 2 12 2" xfId="28909" xr:uid="{46E219D5-DA06-4AB2-AC4C-43082F13026B}"/>
    <cellStyle name="60% - Akzent2 2 13" xfId="9473" xr:uid="{B0D95ACF-2AD2-4221-9705-4E6ECE3F41A8}"/>
    <cellStyle name="60% - Akzent2 2 13 2" xfId="28910" xr:uid="{F7473020-3462-4B9A-967B-831CDDF810CF}"/>
    <cellStyle name="60% - Akzent2 2 14" xfId="9474" xr:uid="{9FADEDD1-1414-4430-A359-1B54EFCB5CE0}"/>
    <cellStyle name="60% - Akzent2 2 14 2" xfId="28911" xr:uid="{E4CF96CD-C235-4B22-AFE6-B2C4E89CE504}"/>
    <cellStyle name="60% - Akzent2 2 15" xfId="28906" xr:uid="{129A565F-7401-4892-A813-E74E046D47F5}"/>
    <cellStyle name="60% - Akzent2 2 16" xfId="39344" xr:uid="{8EA00EEA-08F3-4B48-AB7D-4D4AD08663AD}"/>
    <cellStyle name="60% - Akzent2 2 2" xfId="9475" xr:uid="{3A900573-341C-46E0-8D65-66E1E4AF65AB}"/>
    <cellStyle name="60% - Akzent2 2 2 10" xfId="9476" xr:uid="{5C032AE9-ECA7-46B3-9592-6BBD47B96D37}"/>
    <cellStyle name="60% - Akzent2 2 2 10 2" xfId="28913" xr:uid="{02DA4FCF-4AFB-4D41-BE65-940F62CE8153}"/>
    <cellStyle name="60% - Akzent2 2 2 11" xfId="9477" xr:uid="{F2012CBB-6C6D-4ED5-BF73-5F99D2A81B90}"/>
    <cellStyle name="60% - Akzent2 2 2 11 2" xfId="28914" xr:uid="{B54A7C05-DFD2-4C1D-A858-121014736779}"/>
    <cellStyle name="60% - Akzent2 2 2 12" xfId="9478" xr:uid="{6DA45916-C57F-4198-A1CA-12712BEB992B}"/>
    <cellStyle name="60% - Akzent2 2 2 12 2" xfId="28915" xr:uid="{F31B07A7-D38A-42FC-BD25-5CCA2E65852D}"/>
    <cellStyle name="60% - Akzent2 2 2 13" xfId="28912" xr:uid="{FD0B3361-42A2-4194-B7BE-410B591E7E66}"/>
    <cellStyle name="60% - Akzent2 2 2 14" xfId="39345" xr:uid="{A329C56A-3F1A-489B-9F3D-C042752EC620}"/>
    <cellStyle name="60% - Akzent2 2 2 2" xfId="9479" xr:uid="{B6921034-5920-4256-B0E2-7970131D8A21}"/>
    <cellStyle name="60% - Akzent2 2 2 2 10" xfId="9480" xr:uid="{4D7E087D-0E68-46A4-9478-81CD59694092}"/>
    <cellStyle name="60% - Akzent2 2 2 2 10 2" xfId="28917" xr:uid="{F9532256-0003-4B0D-8DE4-3C66DB13B399}"/>
    <cellStyle name="60% - Akzent2 2 2 2 11" xfId="28916" xr:uid="{7E79763D-5DF1-4BFD-BF81-4EDC0020BC52}"/>
    <cellStyle name="60% - Akzent2 2 2 2 2" xfId="9481" xr:uid="{027C3FA2-5206-4F4E-8DFE-293A2846DC2C}"/>
    <cellStyle name="60% - Akzent2 2 2 2 2 2" xfId="9482" xr:uid="{EDF69BF9-482E-493D-AD50-CADA8321B39C}"/>
    <cellStyle name="60% - Akzent2 2 2 2 2 2 2" xfId="9483" xr:uid="{3999C582-065E-4CA2-90B8-DCB2A628BA5B}"/>
    <cellStyle name="60% - Akzent2 2 2 2 2 2 2 2" xfId="9484" xr:uid="{C1DE37A0-3C46-47BB-910A-D804F1C63AB5}"/>
    <cellStyle name="60% - Akzent2 2 2 2 2 2 2 2 2" xfId="28921" xr:uid="{11275929-55D3-4BEE-BBD0-7C398C07D45B}"/>
    <cellStyle name="60% - Akzent2 2 2 2 2 2 2 3" xfId="28920" xr:uid="{78D73333-1AF5-42BA-9BD6-BBD2094AE5B8}"/>
    <cellStyle name="60% - Akzent2 2 2 2 2 2 3" xfId="9485" xr:uid="{275DF116-61C6-4980-A973-CFE6F471EE6A}"/>
    <cellStyle name="60% - Akzent2 2 2 2 2 2 3 2" xfId="28922" xr:uid="{BABA6125-ACE0-4B3D-8990-214C5BF32A68}"/>
    <cellStyle name="60% - Akzent2 2 2 2 2 2 4" xfId="9486" xr:uid="{CC6E1A9F-982B-4CC6-BACA-A1F161E3CF27}"/>
    <cellStyle name="60% - Akzent2 2 2 2 2 2 4 2" xfId="28923" xr:uid="{B774D7FF-0FE9-4F08-817D-961331E17DFF}"/>
    <cellStyle name="60% - Akzent2 2 2 2 2 2 5" xfId="9487" xr:uid="{31624F3F-F768-4EE4-8D48-A7C80ADC089D}"/>
    <cellStyle name="60% - Akzent2 2 2 2 2 2 5 2" xfId="28924" xr:uid="{2E17DB7D-AC82-46F6-B4B3-5881ADE34B16}"/>
    <cellStyle name="60% - Akzent2 2 2 2 2 2 6" xfId="9488" xr:uid="{2B5DD904-3140-49E0-9F26-B771E949035F}"/>
    <cellStyle name="60% - Akzent2 2 2 2 2 2 6 2" xfId="28925" xr:uid="{9CA83B33-8801-4B99-A7B6-646A37138241}"/>
    <cellStyle name="60% - Akzent2 2 2 2 2 2 7" xfId="9489" xr:uid="{C4D22265-489D-4A9C-BF6B-BD942E0318D7}"/>
    <cellStyle name="60% - Akzent2 2 2 2 2 2 7 2" xfId="28926" xr:uid="{DF0654EB-AB83-437A-8B80-759C6BA1B286}"/>
    <cellStyle name="60% - Akzent2 2 2 2 2 2 8" xfId="9490" xr:uid="{9DCB9A54-E6DA-4658-BF96-92BE9541544D}"/>
    <cellStyle name="60% - Akzent2 2 2 2 2 2 8 2" xfId="28927" xr:uid="{BE663D3B-B331-4E3D-A523-1C8ADD9103B5}"/>
    <cellStyle name="60% - Akzent2 2 2 2 2 2 9" xfId="28919" xr:uid="{4F755CEE-488D-40F2-AEAF-084299DBD739}"/>
    <cellStyle name="60% - Akzent2 2 2 2 2 3" xfId="9491" xr:uid="{47C170BC-0CEF-4545-A496-C5714223AA08}"/>
    <cellStyle name="60% - Akzent2 2 2 2 2 3 2" xfId="9492" xr:uid="{A787F13D-40EE-4F29-9A36-C1602109B063}"/>
    <cellStyle name="60% - Akzent2 2 2 2 2 3 2 2" xfId="28929" xr:uid="{8E395A7A-DE9B-4740-9C27-90402594AE3D}"/>
    <cellStyle name="60% - Akzent2 2 2 2 2 3 3" xfId="28928" xr:uid="{DB6EAE77-B1B1-4AD4-A947-B16698E8EF4F}"/>
    <cellStyle name="60% - Akzent2 2 2 2 2 4" xfId="9493" xr:uid="{6DAB9355-DEC1-45F2-94FF-416C0A623AA7}"/>
    <cellStyle name="60% - Akzent2 2 2 2 2 4 2" xfId="28930" xr:uid="{3FAEFBA4-D344-46A3-8FF5-14CFB18CBD9C}"/>
    <cellStyle name="60% - Akzent2 2 2 2 2 5" xfId="9494" xr:uid="{E8341545-3837-43B2-8303-F88F7E833B11}"/>
    <cellStyle name="60% - Akzent2 2 2 2 2 5 2" xfId="28931" xr:uid="{8455E435-5169-42C1-8DA7-ABA103F17180}"/>
    <cellStyle name="60% - Akzent2 2 2 2 2 6" xfId="9495" xr:uid="{59EF0F50-B354-4D3B-9A29-260473989AA6}"/>
    <cellStyle name="60% - Akzent2 2 2 2 2 6 2" xfId="28932" xr:uid="{C40B69D3-BFC2-4FA2-B9DE-0274A76E56DD}"/>
    <cellStyle name="60% - Akzent2 2 2 2 2 7" xfId="9496" xr:uid="{22FED429-7DA1-4F7A-9D02-08C4DD96BDBE}"/>
    <cellStyle name="60% - Akzent2 2 2 2 2 7 2" xfId="28933" xr:uid="{C738C357-2C7D-4840-9213-FA300BB2D340}"/>
    <cellStyle name="60% - Akzent2 2 2 2 2 8" xfId="9497" xr:uid="{22C42B5C-1AFC-4739-B83E-C8027240B9D1}"/>
    <cellStyle name="60% - Akzent2 2 2 2 2 8 2" xfId="28934" xr:uid="{8B7386CA-BDE8-43A3-8562-26C4FEFF009E}"/>
    <cellStyle name="60% - Akzent2 2 2 2 2 9" xfId="28918" xr:uid="{29F03BBF-77AD-40EB-9A90-87CC3760D884}"/>
    <cellStyle name="60% - Akzent2 2 2 2 3" xfId="9498" xr:uid="{8343D9DB-6CEC-4BD5-AF6E-8AEAC2850F39}"/>
    <cellStyle name="60% - Akzent2 2 2 2 3 2" xfId="28935" xr:uid="{4BFA3462-2095-441C-964F-052EFF7D00F8}"/>
    <cellStyle name="60% - Akzent2 2 2 2 4" xfId="9499" xr:uid="{1F97625E-904F-4381-B155-6DD854501032}"/>
    <cellStyle name="60% - Akzent2 2 2 2 4 2" xfId="28936" xr:uid="{35CB3D83-8EFC-4851-AC4C-1F6DE23DA505}"/>
    <cellStyle name="60% - Akzent2 2 2 2 5" xfId="9500" xr:uid="{D5BAEC70-DF21-4941-9D4D-41C75C13A00C}"/>
    <cellStyle name="60% - Akzent2 2 2 2 5 2" xfId="9501" xr:uid="{77A7DB59-EA40-4F58-9065-2162AA115B1E}"/>
    <cellStyle name="60% - Akzent2 2 2 2 5 2 2" xfId="28938" xr:uid="{771DC451-A0E7-4DB7-8E50-AA172D4B530D}"/>
    <cellStyle name="60% - Akzent2 2 2 2 5 3" xfId="28937" xr:uid="{8364FDF9-DEE4-4CF0-A562-C646B32DA9BF}"/>
    <cellStyle name="60% - Akzent2 2 2 2 6" xfId="9502" xr:uid="{9EE6C36C-865E-4E0D-BDC2-9F332D53EA9C}"/>
    <cellStyle name="60% - Akzent2 2 2 2 6 2" xfId="28939" xr:uid="{827457AA-7735-423E-9B73-2ACB1ECEC6C0}"/>
    <cellStyle name="60% - Akzent2 2 2 2 7" xfId="9503" xr:uid="{F13CDFB7-0839-42A0-B154-A662939074B6}"/>
    <cellStyle name="60% - Akzent2 2 2 2 7 2" xfId="28940" xr:uid="{31E7C44C-3961-4C2D-BD2B-CF879125DA35}"/>
    <cellStyle name="60% - Akzent2 2 2 2 8" xfId="9504" xr:uid="{65EC8289-DA37-45C7-98C9-B371DDDDB024}"/>
    <cellStyle name="60% - Akzent2 2 2 2 8 2" xfId="28941" xr:uid="{8ABCE27A-B252-4CEF-BD3F-5026F14119D3}"/>
    <cellStyle name="60% - Akzent2 2 2 2 9" xfId="9505" xr:uid="{65BF8613-1A5E-4E47-ABB3-3FBB951B88CA}"/>
    <cellStyle name="60% - Akzent2 2 2 2 9 2" xfId="28942" xr:uid="{8D5FE0BA-07ED-4206-B091-69F6F7FAAD79}"/>
    <cellStyle name="60% - Akzent2 2 2 3" xfId="9506" xr:uid="{47CFC9F5-C505-4208-90D1-004E68474A70}"/>
    <cellStyle name="60% - Akzent2 2 2 3 2" xfId="28943" xr:uid="{F3AEDFA5-F52F-4DD9-B413-BD5A79C9799D}"/>
    <cellStyle name="60% - Akzent2 2 2 4" xfId="9507" xr:uid="{B7E420AF-34E6-4F20-A35A-006D9DC453A3}"/>
    <cellStyle name="60% - Akzent2 2 2 4 2" xfId="28944" xr:uid="{C9BCD2F4-127C-44BC-B39E-24957F1165DB}"/>
    <cellStyle name="60% - Akzent2 2 2 5" xfId="9508" xr:uid="{F7397D95-5113-4CEC-B5C7-5B08C255CA41}"/>
    <cellStyle name="60% - Akzent2 2 2 5 2" xfId="9509" xr:uid="{1CA22307-5FA5-40E8-894C-87F8F22AB342}"/>
    <cellStyle name="60% - Akzent2 2 2 5 2 2" xfId="28946" xr:uid="{29656197-7463-473B-AFC6-416126DA94AD}"/>
    <cellStyle name="60% - Akzent2 2 2 5 3" xfId="28945" xr:uid="{5F79FFC2-D23F-412F-ADC9-420BE40B7DE5}"/>
    <cellStyle name="60% - Akzent2 2 2 6" xfId="9510" xr:uid="{E4D3BF42-EB41-47F4-B1DF-FAE255DF4E62}"/>
    <cellStyle name="60% - Akzent2 2 2 6 2" xfId="28947" xr:uid="{ED93755C-7CAF-4B4D-B8E6-C2A04FED874B}"/>
    <cellStyle name="60% - Akzent2 2 2 7" xfId="9511" xr:uid="{EF3B9027-23D1-42A9-95A1-3288A0A7BC1D}"/>
    <cellStyle name="60% - Akzent2 2 2 7 2" xfId="9512" xr:uid="{19993CB1-0552-423D-9951-340370070A38}"/>
    <cellStyle name="60% - Akzent2 2 2 7 2 2" xfId="28949" xr:uid="{D94FCABD-EE92-403B-A1B2-AA77DFA91606}"/>
    <cellStyle name="60% - Akzent2 2 2 7 3" xfId="28948" xr:uid="{EE32FEBE-65A7-415D-BBA9-C55F124A8496}"/>
    <cellStyle name="60% - Akzent2 2 2 8" xfId="9513" xr:uid="{3B65E69B-8FA1-495D-A2A0-13AAD98B379F}"/>
    <cellStyle name="60% - Akzent2 2 2 8 2" xfId="28950" xr:uid="{4C63AAD7-99B5-484A-AE4F-8D522F5C0FF2}"/>
    <cellStyle name="60% - Akzent2 2 2 9" xfId="9514" xr:uid="{20106A08-FB7A-4E7F-AB83-CC678DE911C3}"/>
    <cellStyle name="60% - Akzent2 2 2 9 2" xfId="28951" xr:uid="{68ED98AA-F754-4BAA-9537-DC23602F7107}"/>
    <cellStyle name="60% - Akzent2 2 3" xfId="9515" xr:uid="{3D49BD63-40B0-4397-A50D-F9B9FCEDE500}"/>
    <cellStyle name="60% - Akzent2 2 3 2" xfId="28952" xr:uid="{2C43C985-207D-43B0-AADD-C48BB6EAC5D6}"/>
    <cellStyle name="60% - Akzent2 2 4" xfId="9516" xr:uid="{2E02D27E-7392-4D86-B0FE-D72DB2F1B225}"/>
    <cellStyle name="60% - Akzent2 2 4 2" xfId="9517" xr:uid="{6F0F8FA3-893E-4F60-A97C-D8DCC98AF193}"/>
    <cellStyle name="60% - Akzent2 2 4 2 2" xfId="9518" xr:uid="{9536D229-2EEC-4082-BC6A-55B4FE6CA3EE}"/>
    <cellStyle name="60% - Akzent2 2 4 2 2 2" xfId="28955" xr:uid="{9D3961C8-0280-4EF0-B3DF-103C145B7ADB}"/>
    <cellStyle name="60% - Akzent2 2 4 2 3" xfId="28954" xr:uid="{6D589F39-C353-4C1C-95BD-24B7997E8347}"/>
    <cellStyle name="60% - Akzent2 2 4 3" xfId="9519" xr:uid="{6B291442-7292-4DCE-8D6B-13F5A6FA311A}"/>
    <cellStyle name="60% - Akzent2 2 4 3 2" xfId="28956" xr:uid="{1A9B0C6A-1F10-43B6-A532-347CE1119431}"/>
    <cellStyle name="60% - Akzent2 2 4 4" xfId="9520" xr:uid="{7DE055E2-93E8-428C-9679-A3A20DFFD7D1}"/>
    <cellStyle name="60% - Akzent2 2 4 4 2" xfId="28957" xr:uid="{9DF56075-9C54-4BF9-A238-F37863E1968D}"/>
    <cellStyle name="60% - Akzent2 2 4 5" xfId="28953" xr:uid="{7E87CD3D-4D5B-410E-B400-4361637FF890}"/>
    <cellStyle name="60% - Akzent2 2 5" xfId="9521" xr:uid="{4BD42363-2221-4E39-9802-F9C004F9D994}"/>
    <cellStyle name="60% - Akzent2 2 5 2" xfId="28958" xr:uid="{D47F1139-5004-48A8-AB4C-301711438EB8}"/>
    <cellStyle name="60% - Akzent2 2 6" xfId="9522" xr:uid="{06639835-DBB6-467E-9AFB-FCF15409EE66}"/>
    <cellStyle name="60% - Akzent2 2 6 2" xfId="9523" xr:uid="{69F9FD18-E753-4627-9BCA-D7BBD922829C}"/>
    <cellStyle name="60% - Akzent2 2 6 2 2" xfId="28960" xr:uid="{FFB1CDBC-BD22-4C7B-91A8-D4361FEB6D5A}"/>
    <cellStyle name="60% - Akzent2 2 6 3" xfId="28959" xr:uid="{986E4ECB-22C4-47E9-998F-4723D7FB7463}"/>
    <cellStyle name="60% - Akzent2 2 7" xfId="9524" xr:uid="{F1B5464F-7FC6-450A-B0F4-B0F768DE0B74}"/>
    <cellStyle name="60% - Akzent2 2 7 2" xfId="28961" xr:uid="{B6C0D8BD-0928-4E5C-A850-0C65224AF62A}"/>
    <cellStyle name="60% - Akzent2 2 8" xfId="9525" xr:uid="{266F4620-F1DA-4800-A002-B18AD049591A}"/>
    <cellStyle name="60% - Akzent2 2 8 2" xfId="9526" xr:uid="{72558256-8092-4B01-B721-53691E89A994}"/>
    <cellStyle name="60% - Akzent2 2 8 2 2" xfId="28963" xr:uid="{A357DE62-C63F-46E9-B61B-6F2D35597228}"/>
    <cellStyle name="60% - Akzent2 2 8 3" xfId="28962" xr:uid="{F8B667AC-DA01-40E3-9996-CF108E056F1B}"/>
    <cellStyle name="60% - Akzent2 2 9" xfId="9527" xr:uid="{9DA599D0-5DB8-48FB-8B35-4128034071C0}"/>
    <cellStyle name="60% - Akzent2 2 9 2" xfId="28964" xr:uid="{0B23B59D-3E63-453B-BDCC-86FE207B6E1F}"/>
    <cellStyle name="60% - Akzent2 20" xfId="9528" xr:uid="{C7FD45B9-CB3B-40F0-8A84-1BA925C8F7B8}"/>
    <cellStyle name="60% - Akzent2 20 2" xfId="9529" xr:uid="{F4CB23DD-4C6C-4DF6-AB54-594D642FA4B9}"/>
    <cellStyle name="60% - Akzent2 20 2 2" xfId="28966" xr:uid="{5277A28F-EB4B-4806-87B6-FBD46ED96B9D}"/>
    <cellStyle name="60% - Akzent2 20 3" xfId="28965" xr:uid="{8E2E7131-B7D0-4A3A-9975-27C545BD62F3}"/>
    <cellStyle name="60% - Akzent2 21" xfId="9530" xr:uid="{2CDEDD74-6395-4FB5-83C5-8EAE6B10F6D3}"/>
    <cellStyle name="60% - Akzent2 21 2" xfId="9531" xr:uid="{88B1E045-D545-482D-AFD8-AC230D980418}"/>
    <cellStyle name="60% - Akzent2 21 2 2" xfId="28968" xr:uid="{18833F27-B961-4FC6-A779-15A7DCDE4309}"/>
    <cellStyle name="60% - Akzent2 21 3" xfId="28967" xr:uid="{95397DC0-EDBE-46E7-B20D-AEC972983BC3}"/>
    <cellStyle name="60% - Akzent2 22" xfId="9532" xr:uid="{4543F0B4-10B2-4124-BD44-FF6E1A7873DC}"/>
    <cellStyle name="60% - Akzent2 22 2" xfId="9533" xr:uid="{4846D477-28EA-43B7-AC12-E5044F3C041D}"/>
    <cellStyle name="60% - Akzent2 22 2 2" xfId="28970" xr:uid="{88D51768-1BC6-470F-82C0-2E12B6945DB8}"/>
    <cellStyle name="60% - Akzent2 22 3" xfId="28969" xr:uid="{0FBB49E2-03FB-4B1D-B389-73BB2C3190A5}"/>
    <cellStyle name="60% - Akzent2 23" xfId="9534" xr:uid="{C3FC6BE9-DFF3-4603-9451-09AE433C0193}"/>
    <cellStyle name="60% - Akzent2 23 2" xfId="9535" xr:uid="{FFE5E655-D73B-4B02-AFE7-5427F08A7B18}"/>
    <cellStyle name="60% - Akzent2 23 2 2" xfId="28972" xr:uid="{57B6D20F-11D4-4218-8C1D-08753AE8D3BE}"/>
    <cellStyle name="60% - Akzent2 23 3" xfId="28971" xr:uid="{143D7B4E-428D-4238-B0D4-563B686EA14F}"/>
    <cellStyle name="60% - Akzent2 24" xfId="9536" xr:uid="{6DF2432D-D433-4213-9E16-65E44F822BFD}"/>
    <cellStyle name="60% - Akzent2 24 2" xfId="9537" xr:uid="{79323BB8-667C-4EF3-B2DE-33A5ACDE949B}"/>
    <cellStyle name="60% - Akzent2 24 2 2" xfId="28974" xr:uid="{33D404E9-E652-463F-B51C-F1337F528FC7}"/>
    <cellStyle name="60% - Akzent2 24 3" xfId="28973" xr:uid="{C7A395E9-363E-47CF-8325-3885A206829E}"/>
    <cellStyle name="60% - Akzent2 25" xfId="9538" xr:uid="{62754449-DDD7-4DA4-958C-FA3F0C2D334A}"/>
    <cellStyle name="60% - Akzent2 25 2" xfId="9539" xr:uid="{E0F21189-E2D7-4608-9ECD-1CB8D30BF9DC}"/>
    <cellStyle name="60% - Akzent2 25 2 2" xfId="28976" xr:uid="{58052225-9E1C-459B-86AF-0FF38502406E}"/>
    <cellStyle name="60% - Akzent2 25 3" xfId="28975" xr:uid="{37165A31-6060-4593-8B84-B30C2DA03B6F}"/>
    <cellStyle name="60% - Akzent2 26" xfId="9540" xr:uid="{AAFA122A-0831-4381-80B6-23AEF6FF9A6E}"/>
    <cellStyle name="60% - Akzent2 26 2" xfId="9541" xr:uid="{D6F1152F-BCDD-42EC-8732-AC7400DEBFFE}"/>
    <cellStyle name="60% - Akzent2 26 2 2" xfId="28978" xr:uid="{96069A94-3728-4924-9EDF-568D97133A41}"/>
    <cellStyle name="60% - Akzent2 26 3" xfId="28977" xr:uid="{DFAB20A6-D605-48FA-A1A6-F6D93AE1D690}"/>
    <cellStyle name="60% - Akzent2 27" xfId="9542" xr:uid="{EAA62D93-D818-4E4A-8E11-6FD974CB5302}"/>
    <cellStyle name="60% - Akzent2 27 2" xfId="9543" xr:uid="{00F2C518-C1E7-4169-9D5C-1F0ED57A6A73}"/>
    <cellStyle name="60% - Akzent2 27 2 2" xfId="28980" xr:uid="{832C423E-99A4-49AA-A055-DA466C21D887}"/>
    <cellStyle name="60% - Akzent2 27 3" xfId="28979" xr:uid="{80ADE5E8-8BDF-44C1-8A75-662FC739AAA5}"/>
    <cellStyle name="60% - Akzent2 28" xfId="9544" xr:uid="{26A20BAD-C08B-4C67-BB34-AFBB1BFEA6F5}"/>
    <cellStyle name="60% - Akzent2 28 2" xfId="9545" xr:uid="{1A24D318-E7CB-454C-A0E5-F1E0A5B076EA}"/>
    <cellStyle name="60% - Akzent2 28 2 2" xfId="28982" xr:uid="{5E918DEC-B7CD-432E-B29D-85606E005A9B}"/>
    <cellStyle name="60% - Akzent2 28 3" xfId="28981" xr:uid="{355B7273-1EFD-4ABD-A1A8-B65FA7B93BC6}"/>
    <cellStyle name="60% - Akzent2 29" xfId="9546" xr:uid="{F9FA4EBF-4695-47AD-9A66-74E64A4F3F8B}"/>
    <cellStyle name="60% - Akzent2 29 2" xfId="9547" xr:uid="{EACB239F-0B6A-48CA-A0EE-7E53A6A64411}"/>
    <cellStyle name="60% - Akzent2 29 2 2" xfId="28984" xr:uid="{4EF038D2-B47D-4AEB-BCC2-E9BBAB816C35}"/>
    <cellStyle name="60% - Akzent2 29 3" xfId="28983" xr:uid="{6AD0ACBE-0CD1-49DC-9A48-97DA4DFF75D3}"/>
    <cellStyle name="60% - Akzent2 3" xfId="9548" xr:uid="{53CFC6E5-7C8D-45FB-B3B7-BE8CDF4CE706}"/>
    <cellStyle name="60% - Akzent2 3 10" xfId="39346" xr:uid="{76A2503B-1D52-4F0C-94EB-04B0AA394483}"/>
    <cellStyle name="60% - Akzent2 3 2" xfId="9549" xr:uid="{84E92E15-F483-4AAC-91F6-8D1DD19BACC1}"/>
    <cellStyle name="60% - Akzent2 3 2 2" xfId="9550" xr:uid="{EB059601-B940-46A6-934E-207C01E78F49}"/>
    <cellStyle name="60% - Akzent2 3 2 2 2" xfId="9551" xr:uid="{A7A6015A-8DAD-4CB7-821C-B2AC1950229A}"/>
    <cellStyle name="60% - Akzent2 3 2 2 2 2" xfId="28988" xr:uid="{FDB13F1B-5C9F-4B77-93AB-5486874606C9}"/>
    <cellStyle name="60% - Akzent2 3 2 2 3" xfId="28987" xr:uid="{794DDF36-BF9F-45A8-86CC-EFD7E253778F}"/>
    <cellStyle name="60% - Akzent2 3 2 3" xfId="9552" xr:uid="{17849ACD-A6CA-4A29-9FA9-B5A363AD25E2}"/>
    <cellStyle name="60% - Akzent2 3 2 3 2" xfId="28989" xr:uid="{2ECC102F-F804-42F0-A8CE-8D52768DF833}"/>
    <cellStyle name="60% - Akzent2 3 2 4" xfId="9553" xr:uid="{442F01D3-9424-4681-AE9F-F4AD68B6CF4A}"/>
    <cellStyle name="60% - Akzent2 3 2 4 2" xfId="28990" xr:uid="{424E2873-5B91-46DD-A5D1-318AE858A24A}"/>
    <cellStyle name="60% - Akzent2 3 2 5" xfId="28986" xr:uid="{800F74FC-0D1D-4318-9238-1CC5147B8826}"/>
    <cellStyle name="60% - Akzent2 3 2 6" xfId="39974" xr:uid="{5AAF62E3-1CF9-4E31-8878-0C932B7542B1}"/>
    <cellStyle name="60% - Akzent2 3 3" xfId="9554" xr:uid="{4BB973BB-4AD4-426E-996E-7648FDC33F42}"/>
    <cellStyle name="60% - Akzent2 3 3 2" xfId="28991" xr:uid="{3C01A86A-5F39-4614-827B-1897F62917C8}"/>
    <cellStyle name="60% - Akzent2 3 4" xfId="9555" xr:uid="{801319AB-D8E3-401A-AD20-7821763068A7}"/>
    <cellStyle name="60% - Akzent2 3 4 2" xfId="28992" xr:uid="{41EC7731-937A-42F3-9F5B-667156006124}"/>
    <cellStyle name="60% - Akzent2 3 5" xfId="9556" xr:uid="{95F816A1-9950-4E2D-BB64-C9C015202FD3}"/>
    <cellStyle name="60% - Akzent2 3 5 2" xfId="9557" xr:uid="{652DA8EA-8916-4B53-AEE1-97DE22D47792}"/>
    <cellStyle name="60% - Akzent2 3 5 2 2" xfId="28994" xr:uid="{2936EC7E-BC1B-4B49-8F9C-5FF7FA1B7125}"/>
    <cellStyle name="60% - Akzent2 3 5 3" xfId="28993" xr:uid="{2B800B65-BC2B-4253-B744-F16E910C9A28}"/>
    <cellStyle name="60% - Akzent2 3 6" xfId="9558" xr:uid="{041F69B6-8AFE-43F9-90DC-A5E5CBEF2178}"/>
    <cellStyle name="60% - Akzent2 3 6 2" xfId="28995" xr:uid="{0A4444C7-3A16-4F98-909B-D4A265D13B86}"/>
    <cellStyle name="60% - Akzent2 3 7" xfId="9559" xr:uid="{CA559DD0-7A6E-45EC-A580-8C1BE6892CCB}"/>
    <cellStyle name="60% - Akzent2 3 7 2" xfId="28996" xr:uid="{0FA9378E-F287-4873-82DB-641B9BE588A4}"/>
    <cellStyle name="60% - Akzent2 3 8" xfId="9560" xr:uid="{690F580E-7E7A-4A03-BAEB-406545178C33}"/>
    <cellStyle name="60% - Akzent2 3 8 2" xfId="28997" xr:uid="{3264F65F-407F-482E-9E32-3ECBAE8E01BE}"/>
    <cellStyle name="60% - Akzent2 3 9" xfId="28985" xr:uid="{C0897A27-A939-4220-B070-C421F7E15060}"/>
    <cellStyle name="60% - Akzent2 30" xfId="9561" xr:uid="{8DB9BDE1-8B84-4164-82BF-B105C0EDF71D}"/>
    <cellStyle name="60% - Akzent2 30 2" xfId="9562" xr:uid="{2C580D20-39AB-4B20-9703-D83EF3650767}"/>
    <cellStyle name="60% - Akzent2 30 2 2" xfId="28999" xr:uid="{D4060B67-C22F-4710-917D-F1231C4DC9A5}"/>
    <cellStyle name="60% - Akzent2 30 3" xfId="28998" xr:uid="{111475FB-E269-44CC-86ED-02A620C0E8E8}"/>
    <cellStyle name="60% - Akzent2 31" xfId="9563" xr:uid="{86C26A66-6CBF-460D-A705-02298EA4ADAF}"/>
    <cellStyle name="60% - Akzent2 31 2" xfId="9564" xr:uid="{23E4748C-E9F3-4E45-BC0F-79894272D1D1}"/>
    <cellStyle name="60% - Akzent2 31 2 2" xfId="29001" xr:uid="{7C1043D2-FF94-481C-BC75-9E7D3B2B5E60}"/>
    <cellStyle name="60% - Akzent2 31 3" xfId="29000" xr:uid="{718A301A-6DEB-4B2F-988F-60013C47E3D6}"/>
    <cellStyle name="60% - Akzent2 32" xfId="9565" xr:uid="{82311AC8-19C3-4541-AF8D-DAE594B6BFD0}"/>
    <cellStyle name="60% - Akzent2 32 2" xfId="9566" xr:uid="{37AD5ACC-7BE0-465D-995E-0E71F35677C7}"/>
    <cellStyle name="60% - Akzent2 32 2 2" xfId="29003" xr:uid="{FF874598-8FA2-4336-8A3B-8611E7F326C4}"/>
    <cellStyle name="60% - Akzent2 32 3" xfId="29002" xr:uid="{DF647102-8DCF-45AA-A34D-44DF8A1D8929}"/>
    <cellStyle name="60% - Akzent2 33" xfId="9567" xr:uid="{4093BCB8-26AB-4233-BBFC-7868BBA002B5}"/>
    <cellStyle name="60% - Akzent2 33 2" xfId="9568" xr:uid="{09B8F243-8683-4F4B-B47D-DCEBDBB2AD5F}"/>
    <cellStyle name="60% - Akzent2 33 2 2" xfId="29005" xr:uid="{D29186A8-070E-419F-A2B3-F0777390B239}"/>
    <cellStyle name="60% - Akzent2 33 3" xfId="29004" xr:uid="{0A5FBA61-5549-4470-91DC-40D7A4F354FF}"/>
    <cellStyle name="60% - Akzent2 34" xfId="9569" xr:uid="{5DD938DD-5F49-4A7B-9A07-AD2E93117C73}"/>
    <cellStyle name="60% - Akzent2 34 2" xfId="9570" xr:uid="{1A1CEA2B-BE5A-41A0-A7D4-3B3E4D7713C3}"/>
    <cellStyle name="60% - Akzent2 34 2 2" xfId="29007" xr:uid="{F407C069-AF27-48B7-B1E3-40A98956182A}"/>
    <cellStyle name="60% - Akzent2 34 3" xfId="29006" xr:uid="{BEA996D8-D84C-4617-8E5D-6FAF47F4D6F7}"/>
    <cellStyle name="60% - Akzent2 35" xfId="9571" xr:uid="{CAD33660-0E29-4E62-8E02-FBFE540494C1}"/>
    <cellStyle name="60% - Akzent2 35 2" xfId="9572" xr:uid="{402F0288-7C96-4888-BD90-B50EB7E3F5AC}"/>
    <cellStyle name="60% - Akzent2 35 2 2" xfId="29009" xr:uid="{D484A847-3D4E-491D-8742-E1A8C8393270}"/>
    <cellStyle name="60% - Akzent2 35 3" xfId="29008" xr:uid="{ED918B4A-07E1-4D6A-BE52-563B24149B93}"/>
    <cellStyle name="60% - Akzent2 36" xfId="9573" xr:uid="{44B732D4-0BC8-4C24-A972-31B0716D3D41}"/>
    <cellStyle name="60% - Akzent2 36 2" xfId="9574" xr:uid="{4FF87149-174B-4215-A656-A2909E1F0C2E}"/>
    <cellStyle name="60% - Akzent2 36 2 2" xfId="29011" xr:uid="{2032F03B-109C-4D8D-824B-28B78F8133BE}"/>
    <cellStyle name="60% - Akzent2 36 3" xfId="29010" xr:uid="{C783B8F3-015A-497F-A561-38F829FA1F8B}"/>
    <cellStyle name="60% - Akzent2 37" xfId="28885" xr:uid="{5D04ABF9-9397-41D3-852D-9AABC8FE7A8C}"/>
    <cellStyle name="60% - Akzent2 38" xfId="9448" xr:uid="{07C848BF-1E17-41D3-9507-340BFDDC5510}"/>
    <cellStyle name="60% - Akzent2 4" xfId="9575" xr:uid="{93361CC3-2B56-4E4D-9022-68F0FEB79C15}"/>
    <cellStyle name="60% - Akzent2 4 2" xfId="9576" xr:uid="{26A4A31D-4148-4BC8-922A-79F930D0D079}"/>
    <cellStyle name="60% - Akzent2 4 2 2" xfId="9577" xr:uid="{235525DE-0EC8-4892-8CF2-3E9544C357E6}"/>
    <cellStyle name="60% - Akzent2 4 2 2 2" xfId="29014" xr:uid="{A0590A80-F956-499C-9048-5D9DA7D53C43}"/>
    <cellStyle name="60% - Akzent2 4 2 3" xfId="29013" xr:uid="{7A21EC03-0CF0-4A2A-8430-48C9D9852BEB}"/>
    <cellStyle name="60% - Akzent2 4 2 4" xfId="39975" xr:uid="{BAA98C80-5774-4FA8-8272-BAD23B03D1AC}"/>
    <cellStyle name="60% - Akzent2 4 3" xfId="9578" xr:uid="{4314AA26-A2ED-497F-8821-97B914C37098}"/>
    <cellStyle name="60% - Akzent2 4 3 2" xfId="29015" xr:uid="{9155BE53-F3CC-4550-871E-0201E81C3C76}"/>
    <cellStyle name="60% - Akzent2 4 4" xfId="9579" xr:uid="{7443A701-4C20-442D-B240-9800586F60EF}"/>
    <cellStyle name="60% - Akzent2 4 4 2" xfId="29016" xr:uid="{96F74FA6-22D8-4B0B-9473-BA64B5D6FD4F}"/>
    <cellStyle name="60% - Akzent2 4 5" xfId="9580" xr:uid="{DF2D2C80-8BF3-463F-86E2-C22FCCF8AE3C}"/>
    <cellStyle name="60% - Akzent2 4 5 2" xfId="29017" xr:uid="{B03F61FD-F056-4E0B-9058-3590B7A8AC44}"/>
    <cellStyle name="60% - Akzent2 4 6" xfId="9581" xr:uid="{2AE7BC2E-6E87-439C-A711-CE0785033997}"/>
    <cellStyle name="60% - Akzent2 4 6 2" xfId="29018" xr:uid="{F8504DB3-3E5E-416E-994F-E0CBC3191581}"/>
    <cellStyle name="60% - Akzent2 4 7" xfId="29012" xr:uid="{1B9C3DCF-D54C-4E2D-B389-5E8F74D8C90E}"/>
    <cellStyle name="60% - Akzent2 4 8" xfId="39347" xr:uid="{938DDCC4-B38C-42F8-BE29-CB1CD9FE1020}"/>
    <cellStyle name="60% - Akzent2 5" xfId="9582" xr:uid="{A3AFD881-0073-4CB3-B738-9A47C4113216}"/>
    <cellStyle name="60% - Akzent2 5 2" xfId="9583" xr:uid="{A177AF9D-2690-47E3-85D4-7BFDE175516B}"/>
    <cellStyle name="60% - Akzent2 5 2 2" xfId="29020" xr:uid="{EDF0D4B7-72E3-45B1-B3DD-FDFB55806FDA}"/>
    <cellStyle name="60% - Akzent2 5 3" xfId="9584" xr:uid="{05F96FD2-0E8C-4D07-84F1-12E78BF1B053}"/>
    <cellStyle name="60% - Akzent2 5 3 2" xfId="29021" xr:uid="{F692ED85-6309-4FE0-8DD0-C312C6A23C87}"/>
    <cellStyle name="60% - Akzent2 5 4" xfId="9585" xr:uid="{0D26D862-2173-4288-B00D-46123C1C6664}"/>
    <cellStyle name="60% - Akzent2 5 4 2" xfId="29022" xr:uid="{4599A520-45C2-476C-A414-27AFAB5ED45C}"/>
    <cellStyle name="60% - Akzent2 5 5" xfId="29019" xr:uid="{46BEB83F-5647-4D19-904E-537639EB2D2E}"/>
    <cellStyle name="60% - Akzent2 5 6" xfId="39343" xr:uid="{A19932B2-A76F-4F0A-8C8C-CA1412EDEAFC}"/>
    <cellStyle name="60% - Akzent2 6" xfId="9586" xr:uid="{8EF19922-1D8C-4263-923D-46959DFD951D}"/>
    <cellStyle name="60% - Akzent2 6 2" xfId="9587" xr:uid="{F4D58174-6DE0-4699-9F19-02AC0C227FBC}"/>
    <cellStyle name="60% - Akzent2 6 2 2" xfId="29024" xr:uid="{17F3454D-8728-4157-BA72-1C9BE4FD2502}"/>
    <cellStyle name="60% - Akzent2 6 3" xfId="9588" xr:uid="{478C8E42-368D-417C-A3CE-A370C7083E43}"/>
    <cellStyle name="60% - Akzent2 6 3 2" xfId="29025" xr:uid="{5DC245B2-32D3-4858-82FB-60C3A1074E82}"/>
    <cellStyle name="60% - Akzent2 6 4" xfId="9589" xr:uid="{EF914F22-C2F9-43D6-A7F7-3D0B4B4E5150}"/>
    <cellStyle name="60% - Akzent2 6 4 2" xfId="29026" xr:uid="{9B2D9E69-7EAE-4607-8D51-031E9BFD9B17}"/>
    <cellStyle name="60% - Akzent2 6 5" xfId="29023" xr:uid="{48B2458A-26BE-4DB3-AD18-3F116DFFC07D}"/>
    <cellStyle name="60% - Akzent2 7" xfId="9590" xr:uid="{1A1FE368-F865-47C7-92B6-BA0EED599D63}"/>
    <cellStyle name="60% - Akzent2 7 2" xfId="9591" xr:uid="{3BDC7FA1-7655-4332-8562-B9CA48112EE4}"/>
    <cellStyle name="60% - Akzent2 7 2 2" xfId="29028" xr:uid="{110B7BFE-4AD4-4B85-98DD-21C0E25F3FE6}"/>
    <cellStyle name="60% - Akzent2 7 3" xfId="29027" xr:uid="{FE21B171-D3A0-4978-91BC-C0978C97BF7A}"/>
    <cellStyle name="60% - Akzent2 8" xfId="9592" xr:uid="{AA96DC6A-A54E-4567-A026-A22EB347E881}"/>
    <cellStyle name="60% - Akzent2 8 2" xfId="9593" xr:uid="{C66521E9-3C6A-4563-A3A4-1571E93E2B93}"/>
    <cellStyle name="60% - Akzent2 8 2 2" xfId="29030" xr:uid="{FC83B751-99E5-439A-AAF4-12D0B5210120}"/>
    <cellStyle name="60% - Akzent2 8 3" xfId="29029" xr:uid="{6431A8D3-7E4D-4551-85FE-DBF108E02075}"/>
    <cellStyle name="60% - Akzent2 9" xfId="9594" xr:uid="{4DFE8B3C-1AE7-4DA0-9D00-21D9B11A0C4D}"/>
    <cellStyle name="60% - Akzent2 9 2" xfId="9595" xr:uid="{EB59BB51-0E26-453D-92E5-3037AED6ACE1}"/>
    <cellStyle name="60% - Akzent2 9 2 2" xfId="29032" xr:uid="{65992C38-19F9-4916-A7D3-7F7E130BBBF5}"/>
    <cellStyle name="60% - Akzent2 9 3" xfId="29031" xr:uid="{40AE6D2B-1F31-4C3D-8602-15E41C7FE31E}"/>
    <cellStyle name="60% - Akzent3 10" xfId="9597" xr:uid="{AD9C2A69-CC65-4DFE-A539-4377621538E2}"/>
    <cellStyle name="60% - Akzent3 10 2" xfId="9598" xr:uid="{3E7D12D9-71A3-4B62-BC44-249FF8A069EE}"/>
    <cellStyle name="60% - Akzent3 10 2 2" xfId="29035" xr:uid="{CCBCDB05-AF5A-4113-82BC-526BE391FE4D}"/>
    <cellStyle name="60% - Akzent3 10 3" xfId="29034" xr:uid="{4C5B715C-3327-4149-9201-1D18E559500D}"/>
    <cellStyle name="60% - Akzent3 11" xfId="9599" xr:uid="{1C712F45-E797-40A3-BFF8-A9EE0E246532}"/>
    <cellStyle name="60% - Akzent3 11 2" xfId="9600" xr:uid="{3F540EDE-7843-4FC2-A8C6-C23A67990E25}"/>
    <cellStyle name="60% - Akzent3 11 2 2" xfId="29037" xr:uid="{AF1F8BA8-620A-4D5A-9936-1E4BB52451B5}"/>
    <cellStyle name="60% - Akzent3 11 3" xfId="29036" xr:uid="{7A99B914-FD8D-493A-912A-8A03F05F3ADE}"/>
    <cellStyle name="60% - Akzent3 12" xfId="9601" xr:uid="{FF4E4FB7-FBEE-430F-945F-1EF9241D681C}"/>
    <cellStyle name="60% - Akzent3 12 2" xfId="9602" xr:uid="{A8AA2D61-29D8-496A-917A-A0FA3C27D774}"/>
    <cellStyle name="60% - Akzent3 12 2 2" xfId="29039" xr:uid="{DC76589D-31CB-4F23-A6E8-2169AB4CE459}"/>
    <cellStyle name="60% - Akzent3 12 3" xfId="29038" xr:uid="{40D57CDE-8CDD-46F6-9FBA-7532BB71A87E}"/>
    <cellStyle name="60% - Akzent3 13" xfId="9603" xr:uid="{D4577384-11D8-4CC3-8249-C3553F859F1D}"/>
    <cellStyle name="60% - Akzent3 13 2" xfId="9604" xr:uid="{EF7F71B6-EA24-4028-93A4-BF8F8080C325}"/>
    <cellStyle name="60% - Akzent3 13 2 2" xfId="29041" xr:uid="{BF562A8B-4765-4B1C-8B85-52F31FF9BD12}"/>
    <cellStyle name="60% - Akzent3 13 3" xfId="29040" xr:uid="{9C54D1AC-BA9D-40BA-A876-1CE6D79C93AA}"/>
    <cellStyle name="60% - Akzent3 14" xfId="9605" xr:uid="{97400D6C-E051-4CD1-B593-E4679FF0579E}"/>
    <cellStyle name="60% - Akzent3 14 2" xfId="9606" xr:uid="{05E55492-2B5C-45CD-B3CC-A18BF94DAAB6}"/>
    <cellStyle name="60% - Akzent3 14 2 2" xfId="29043" xr:uid="{42708841-C79D-4DD6-8ED6-28416CC45E5A}"/>
    <cellStyle name="60% - Akzent3 14 3" xfId="29042" xr:uid="{96D0B53E-E615-4974-910F-D6BD6ED76698}"/>
    <cellStyle name="60% - Akzent3 15" xfId="9607" xr:uid="{3C162E17-1E21-4F8A-82D0-0FB9E0EBAA48}"/>
    <cellStyle name="60% - Akzent3 15 2" xfId="9608" xr:uid="{75A569F1-F7F7-4AD4-9302-122C68E9706D}"/>
    <cellStyle name="60% - Akzent3 15 2 2" xfId="29045" xr:uid="{06796C3F-36F9-47F5-93CD-F7B915707B74}"/>
    <cellStyle name="60% - Akzent3 15 3" xfId="29044" xr:uid="{52C94662-D037-40AF-97AE-E900B1284A4C}"/>
    <cellStyle name="60% - Akzent3 16" xfId="9609" xr:uid="{06E3E2CD-572D-4994-BDD5-D193BF02E439}"/>
    <cellStyle name="60% - Akzent3 16 2" xfId="9610" xr:uid="{CC21BD16-66A8-4071-B0FC-870D9427B1F7}"/>
    <cellStyle name="60% - Akzent3 16 2 2" xfId="29047" xr:uid="{A9132107-4B0D-4B2D-A0C6-D23D5609DF4F}"/>
    <cellStyle name="60% - Akzent3 16 3" xfId="29046" xr:uid="{A773B2A4-264A-45E9-8D44-1B4EAEC117F9}"/>
    <cellStyle name="60% - Akzent3 17" xfId="9611" xr:uid="{3E6266D2-C552-4617-B93D-890F2C0E2739}"/>
    <cellStyle name="60% - Akzent3 17 2" xfId="9612" xr:uid="{668E904A-9B8F-4C74-B99C-FC5F875A1C79}"/>
    <cellStyle name="60% - Akzent3 17 2 2" xfId="29049" xr:uid="{25D756CE-A364-4CC4-9102-1B3F5B08555F}"/>
    <cellStyle name="60% - Akzent3 17 3" xfId="29048" xr:uid="{8E1799B0-2F1A-4ED3-81F9-5BBCBB281CA2}"/>
    <cellStyle name="60% - Akzent3 18" xfId="9613" xr:uid="{63ED7476-9B49-4159-A953-05B77F143B1F}"/>
    <cellStyle name="60% - Akzent3 18 2" xfId="9614" xr:uid="{9FD8D2F8-F80C-40FD-B398-8425982F6FD0}"/>
    <cellStyle name="60% - Akzent3 18 2 2" xfId="29051" xr:uid="{8A89A933-3E12-4036-AD2B-24B978A7128E}"/>
    <cellStyle name="60% - Akzent3 18 3" xfId="29050" xr:uid="{E0046AFE-5D5F-495D-8D99-959A0A0AE46E}"/>
    <cellStyle name="60% - Akzent3 19" xfId="9615" xr:uid="{5291AE1C-6CA2-41AE-A50C-13DA23736B73}"/>
    <cellStyle name="60% - Akzent3 19 2" xfId="9616" xr:uid="{0EA2D1C4-91E6-4CF5-9D99-6AD335A89D50}"/>
    <cellStyle name="60% - Akzent3 19 2 2" xfId="29053" xr:uid="{B941565E-6657-42DC-81C3-EB919EFEDC25}"/>
    <cellStyle name="60% - Akzent3 19 3" xfId="29052" xr:uid="{639DB6F7-69B0-42A5-8E09-326B86524BB1}"/>
    <cellStyle name="60% - Akzent3 2" xfId="9617" xr:uid="{F4D3D8E6-8B4F-4C67-BB1B-8D7329498B2A}"/>
    <cellStyle name="60% - Akzent3 2 10" xfId="9618" xr:uid="{4055CEC6-2318-43CB-A9BB-350AB6977F95}"/>
    <cellStyle name="60% - Akzent3 2 10 2" xfId="29055" xr:uid="{DBBE7613-211C-4E6D-AF6F-922162A821CD}"/>
    <cellStyle name="60% - Akzent3 2 11" xfId="9619" xr:uid="{BE5381DE-9D86-4274-B15B-67CB3E48A7EE}"/>
    <cellStyle name="60% - Akzent3 2 11 2" xfId="29056" xr:uid="{572F60E3-86E3-475F-98DA-31D0925E63B2}"/>
    <cellStyle name="60% - Akzent3 2 12" xfId="9620" xr:uid="{406FF89A-8D6F-40D6-84AD-8F6B513397D7}"/>
    <cellStyle name="60% - Akzent3 2 12 2" xfId="29057" xr:uid="{9D7844AD-87C3-4A43-A690-4341DB0E7E35}"/>
    <cellStyle name="60% - Akzent3 2 13" xfId="9621" xr:uid="{B45DF937-DDF4-4A4B-A303-30B4972C7711}"/>
    <cellStyle name="60% - Akzent3 2 13 2" xfId="29058" xr:uid="{363176E3-419F-4210-9D4E-F7DE25081E7E}"/>
    <cellStyle name="60% - Akzent3 2 14" xfId="9622" xr:uid="{897C3FFD-6DBB-4BB0-84B6-570FCB6115ED}"/>
    <cellStyle name="60% - Akzent3 2 14 2" xfId="29059" xr:uid="{766741CE-2E4A-4847-B772-1F37BEA636A9}"/>
    <cellStyle name="60% - Akzent3 2 15" xfId="29054" xr:uid="{E31F6BA5-7351-4E25-95C7-48853224F07E}"/>
    <cellStyle name="60% - Akzent3 2 16" xfId="39349" xr:uid="{5CE1DFFC-FD41-40D3-8987-A1D565C460B8}"/>
    <cellStyle name="60% - Akzent3 2 2" xfId="9623" xr:uid="{A997ECEF-D122-47D2-8AFC-5B98C37C16DE}"/>
    <cellStyle name="60% - Akzent3 2 2 10" xfId="9624" xr:uid="{4AFC82B9-4849-4C75-8BEF-B4D51401D30E}"/>
    <cellStyle name="60% - Akzent3 2 2 10 2" xfId="29061" xr:uid="{EFEF8E39-7D3A-4CB3-8A6F-938CF710A5D9}"/>
    <cellStyle name="60% - Akzent3 2 2 11" xfId="9625" xr:uid="{D5276B17-7743-44C2-9DE5-ADF9B2E7C228}"/>
    <cellStyle name="60% - Akzent3 2 2 11 2" xfId="29062" xr:uid="{891E1A4A-A99C-459C-8D08-7E3E7CA242DB}"/>
    <cellStyle name="60% - Akzent3 2 2 12" xfId="9626" xr:uid="{FD808F87-2EB2-4886-83E8-F4DB2ED00013}"/>
    <cellStyle name="60% - Akzent3 2 2 12 2" xfId="29063" xr:uid="{D965A083-B604-4CCC-94C0-85F7E259B5E0}"/>
    <cellStyle name="60% - Akzent3 2 2 13" xfId="29060" xr:uid="{4D6A071C-801A-4D7C-A43A-FD9AA5A8D37B}"/>
    <cellStyle name="60% - Akzent3 2 2 14" xfId="39350" xr:uid="{53915E39-C750-40E8-9EAF-0E6179D14936}"/>
    <cellStyle name="60% - Akzent3 2 2 2" xfId="9627" xr:uid="{BBE556E8-7CAC-423E-8D81-345B361BF931}"/>
    <cellStyle name="60% - Akzent3 2 2 2 10" xfId="9628" xr:uid="{D83720A7-4D0D-4F48-8DE9-3F45F058F324}"/>
    <cellStyle name="60% - Akzent3 2 2 2 10 2" xfId="29065" xr:uid="{8ED4727E-C926-487C-87D6-1B1AD2756517}"/>
    <cellStyle name="60% - Akzent3 2 2 2 11" xfId="29064" xr:uid="{0671F962-37A1-4BFA-8D0D-FDDC2FF50C85}"/>
    <cellStyle name="60% - Akzent3 2 2 2 2" xfId="9629" xr:uid="{29BE7C74-3585-4031-AA1A-449E39726EF9}"/>
    <cellStyle name="60% - Akzent3 2 2 2 2 2" xfId="9630" xr:uid="{188241F5-8ACD-475F-8024-6CF9A56C7F48}"/>
    <cellStyle name="60% - Akzent3 2 2 2 2 2 2" xfId="9631" xr:uid="{7020149D-98EF-437C-8A03-2924CEE4C684}"/>
    <cellStyle name="60% - Akzent3 2 2 2 2 2 2 2" xfId="9632" xr:uid="{92B680D4-E9AF-4F3B-8181-A5D742670B63}"/>
    <cellStyle name="60% - Akzent3 2 2 2 2 2 2 2 2" xfId="29069" xr:uid="{1F641037-87E3-49B5-A5CE-8AE44DF638DB}"/>
    <cellStyle name="60% - Akzent3 2 2 2 2 2 2 3" xfId="29068" xr:uid="{FFC4D13D-7E55-48B0-8ABF-581D49FF4B13}"/>
    <cellStyle name="60% - Akzent3 2 2 2 2 2 3" xfId="9633" xr:uid="{2B617068-E65A-43CA-A1AB-BC72244265D4}"/>
    <cellStyle name="60% - Akzent3 2 2 2 2 2 3 2" xfId="29070" xr:uid="{5EC3265C-B8A8-4659-91C2-6C7E7CD12D05}"/>
    <cellStyle name="60% - Akzent3 2 2 2 2 2 4" xfId="9634" xr:uid="{C345ADCA-D8B3-4955-8178-9D20C84B8E4A}"/>
    <cellStyle name="60% - Akzent3 2 2 2 2 2 4 2" xfId="29071" xr:uid="{99C4BF53-6B62-462A-B075-8C023CB34005}"/>
    <cellStyle name="60% - Akzent3 2 2 2 2 2 5" xfId="9635" xr:uid="{3C24F13C-DDFD-42EE-A182-1D5A5A2024BD}"/>
    <cellStyle name="60% - Akzent3 2 2 2 2 2 5 2" xfId="29072" xr:uid="{F36E5105-408E-4F5E-BA7E-0DF854373632}"/>
    <cellStyle name="60% - Akzent3 2 2 2 2 2 6" xfId="9636" xr:uid="{4A41C707-4F5A-490D-A1D8-4E5C9094B7BA}"/>
    <cellStyle name="60% - Akzent3 2 2 2 2 2 6 2" xfId="29073" xr:uid="{0930BE48-9A33-4572-A8B4-9DDF198E824D}"/>
    <cellStyle name="60% - Akzent3 2 2 2 2 2 7" xfId="9637" xr:uid="{56EFBD14-B257-42F3-8E49-85B4B9677863}"/>
    <cellStyle name="60% - Akzent3 2 2 2 2 2 7 2" xfId="29074" xr:uid="{11B62075-EFB4-4C17-A605-232AEB3E66E3}"/>
    <cellStyle name="60% - Akzent3 2 2 2 2 2 8" xfId="9638" xr:uid="{11B2D373-DE1A-4BE3-A7CD-08490535A52C}"/>
    <cellStyle name="60% - Akzent3 2 2 2 2 2 8 2" xfId="29075" xr:uid="{A4902511-EA2D-4489-B73D-F832168BC45D}"/>
    <cellStyle name="60% - Akzent3 2 2 2 2 2 9" xfId="29067" xr:uid="{EEE70F81-52FB-4ED4-B2A2-6865CD357B81}"/>
    <cellStyle name="60% - Akzent3 2 2 2 2 3" xfId="9639" xr:uid="{9DDF2304-C462-435F-95D7-7C145E298C16}"/>
    <cellStyle name="60% - Akzent3 2 2 2 2 3 2" xfId="9640" xr:uid="{5731A5E9-D23D-447E-BE8A-65EBCBAB7F6E}"/>
    <cellStyle name="60% - Akzent3 2 2 2 2 3 2 2" xfId="29077" xr:uid="{C066A926-FE74-4D66-BFB2-FB9CA74E17DA}"/>
    <cellStyle name="60% - Akzent3 2 2 2 2 3 3" xfId="29076" xr:uid="{9ED06948-D8A8-438E-A867-C1EE731836A1}"/>
    <cellStyle name="60% - Akzent3 2 2 2 2 4" xfId="9641" xr:uid="{9DDD0957-9F60-4432-BF8B-4A48F2AC1BA7}"/>
    <cellStyle name="60% - Akzent3 2 2 2 2 4 2" xfId="29078" xr:uid="{7524E233-DF82-427F-BEC6-4855F744E85B}"/>
    <cellStyle name="60% - Akzent3 2 2 2 2 5" xfId="9642" xr:uid="{9943A13A-4439-4AAD-9487-C6CD684C2500}"/>
    <cellStyle name="60% - Akzent3 2 2 2 2 5 2" xfId="29079" xr:uid="{1DEB0DDE-B7A8-44DA-A00F-E5819D1C4215}"/>
    <cellStyle name="60% - Akzent3 2 2 2 2 6" xfId="9643" xr:uid="{EEA44B24-98B6-443D-856F-9CEA47B06588}"/>
    <cellStyle name="60% - Akzent3 2 2 2 2 6 2" xfId="29080" xr:uid="{8EBFA7EB-67D9-4A7B-A4B3-E06FDAD5399E}"/>
    <cellStyle name="60% - Akzent3 2 2 2 2 7" xfId="9644" xr:uid="{DB59EC0E-0D4C-4CB6-8AEB-D1E875814334}"/>
    <cellStyle name="60% - Akzent3 2 2 2 2 7 2" xfId="29081" xr:uid="{455EDF00-2893-407E-AAA0-208BDC4B5023}"/>
    <cellStyle name="60% - Akzent3 2 2 2 2 8" xfId="9645" xr:uid="{D1AE13ED-C582-44A1-99F2-C45757ABC379}"/>
    <cellStyle name="60% - Akzent3 2 2 2 2 8 2" xfId="29082" xr:uid="{B8068317-AFDC-47AB-A22D-F226AE66AC59}"/>
    <cellStyle name="60% - Akzent3 2 2 2 2 9" xfId="29066" xr:uid="{E70D4D02-FF14-49F9-9B9B-1DB65D8C7563}"/>
    <cellStyle name="60% - Akzent3 2 2 2 3" xfId="9646" xr:uid="{96554D8C-E3AD-4DBB-93B7-B382899A106E}"/>
    <cellStyle name="60% - Akzent3 2 2 2 3 2" xfId="29083" xr:uid="{E785C062-7501-4954-B63F-096B58A0A6CF}"/>
    <cellStyle name="60% - Akzent3 2 2 2 4" xfId="9647" xr:uid="{3C4BEE8B-F7F9-447C-B620-3779E177955B}"/>
    <cellStyle name="60% - Akzent3 2 2 2 4 2" xfId="29084" xr:uid="{C99A35CA-1B84-41F4-8720-66E1E02265B1}"/>
    <cellStyle name="60% - Akzent3 2 2 2 5" xfId="9648" xr:uid="{AC32B495-A5AC-489F-9FE6-2973C61D7B1D}"/>
    <cellStyle name="60% - Akzent3 2 2 2 5 2" xfId="9649" xr:uid="{BC811A71-93BD-4A51-B700-B477EEBA436F}"/>
    <cellStyle name="60% - Akzent3 2 2 2 5 2 2" xfId="29086" xr:uid="{53302BC2-00E8-4DFD-996E-9460E82185F8}"/>
    <cellStyle name="60% - Akzent3 2 2 2 5 3" xfId="29085" xr:uid="{BA5E2CA5-354D-4B21-9CEE-9AE746B4BF8B}"/>
    <cellStyle name="60% - Akzent3 2 2 2 6" xfId="9650" xr:uid="{FAB101ED-BC7B-44E6-93D2-265EE208B4CA}"/>
    <cellStyle name="60% - Akzent3 2 2 2 6 2" xfId="29087" xr:uid="{27633812-4484-419D-96C4-6B067BBABE15}"/>
    <cellStyle name="60% - Akzent3 2 2 2 7" xfId="9651" xr:uid="{524CB9E4-669B-4E44-AFAE-E775FEAFB45D}"/>
    <cellStyle name="60% - Akzent3 2 2 2 7 2" xfId="29088" xr:uid="{6507320C-4D65-4CD8-9661-E60E6805A4C9}"/>
    <cellStyle name="60% - Akzent3 2 2 2 8" xfId="9652" xr:uid="{51E6CD43-8A73-46D4-99A7-BD1A697B81AB}"/>
    <cellStyle name="60% - Akzent3 2 2 2 8 2" xfId="29089" xr:uid="{E04E68EE-B495-413D-B870-30298302679C}"/>
    <cellStyle name="60% - Akzent3 2 2 2 9" xfId="9653" xr:uid="{883D12C2-5816-42F7-A1D5-7BA7D61A6505}"/>
    <cellStyle name="60% - Akzent3 2 2 2 9 2" xfId="29090" xr:uid="{F48C5EDD-F16C-41C4-A331-F7C3B7DFECB1}"/>
    <cellStyle name="60% - Akzent3 2 2 3" xfId="9654" xr:uid="{E1AAA4A4-EE90-4AAE-BA06-9CD3D74A6266}"/>
    <cellStyle name="60% - Akzent3 2 2 3 2" xfId="29091" xr:uid="{8DF684CB-C784-40F9-9621-92FBBE930F9A}"/>
    <cellStyle name="60% - Akzent3 2 2 4" xfId="9655" xr:uid="{C5C4CAAF-E326-4B58-A642-26182E3C15A7}"/>
    <cellStyle name="60% - Akzent3 2 2 4 2" xfId="29092" xr:uid="{F711E134-0968-42AD-9AD9-53AADC75CD71}"/>
    <cellStyle name="60% - Akzent3 2 2 5" xfId="9656" xr:uid="{304B5728-B163-4105-BBD5-0E3F7A1062CF}"/>
    <cellStyle name="60% - Akzent3 2 2 5 2" xfId="9657" xr:uid="{A3B290D7-4E32-4F2A-8C78-70050CA40264}"/>
    <cellStyle name="60% - Akzent3 2 2 5 2 2" xfId="29094" xr:uid="{DD0F9A70-3DCC-4939-9EAA-C379725071CA}"/>
    <cellStyle name="60% - Akzent3 2 2 5 3" xfId="29093" xr:uid="{5F134C1E-FE85-4AC6-9F09-F08A24FC04BC}"/>
    <cellStyle name="60% - Akzent3 2 2 6" xfId="9658" xr:uid="{ADD6561E-DC27-4E5F-9262-27524388B164}"/>
    <cellStyle name="60% - Akzent3 2 2 6 2" xfId="29095" xr:uid="{C8E543CC-50A0-4261-B917-5730DF1A9E18}"/>
    <cellStyle name="60% - Akzent3 2 2 7" xfId="9659" xr:uid="{2267FC7E-B2EB-4E2C-BEAC-CC7DCCCCE365}"/>
    <cellStyle name="60% - Akzent3 2 2 7 2" xfId="9660" xr:uid="{94BD2105-1946-48EE-97D8-521BD0D4D236}"/>
    <cellStyle name="60% - Akzent3 2 2 7 2 2" xfId="29097" xr:uid="{C96B5CEE-D418-4E61-BBA2-3FB42EB9F8D3}"/>
    <cellStyle name="60% - Akzent3 2 2 7 3" xfId="29096" xr:uid="{E87A047B-38D5-4736-99ED-3B019F8F4BAC}"/>
    <cellStyle name="60% - Akzent3 2 2 8" xfId="9661" xr:uid="{D9EB138B-6F74-4A8F-9037-FD1C51134725}"/>
    <cellStyle name="60% - Akzent3 2 2 8 2" xfId="29098" xr:uid="{F181363F-97C0-432C-A63C-45CC2E6B5F50}"/>
    <cellStyle name="60% - Akzent3 2 2 9" xfId="9662" xr:uid="{426C115D-8EDF-4546-BF2B-986D2AFF0787}"/>
    <cellStyle name="60% - Akzent3 2 2 9 2" xfId="29099" xr:uid="{55BCA6C7-3E35-477F-9B39-3040626C6FD2}"/>
    <cellStyle name="60% - Akzent3 2 3" xfId="9663" xr:uid="{DD44AACB-32A0-486F-BC7B-132B3780CC04}"/>
    <cellStyle name="60% - Akzent3 2 3 2" xfId="29100" xr:uid="{215F9370-F1BD-4144-8418-881398409347}"/>
    <cellStyle name="60% - Akzent3 2 4" xfId="9664" xr:uid="{BD263449-0E9F-4078-BD7E-137FD3D92008}"/>
    <cellStyle name="60% - Akzent3 2 4 2" xfId="9665" xr:uid="{8247AB7A-824F-4629-896B-DE7BD69C5826}"/>
    <cellStyle name="60% - Akzent3 2 4 2 2" xfId="9666" xr:uid="{8513E4CE-5572-4955-958B-1969044A1560}"/>
    <cellStyle name="60% - Akzent3 2 4 2 2 2" xfId="29103" xr:uid="{3B41CBCE-DE3E-43D0-8A73-0F7A7428BD67}"/>
    <cellStyle name="60% - Akzent3 2 4 2 3" xfId="29102" xr:uid="{6CA2F446-E57F-4930-B96C-0A2C12D4037E}"/>
    <cellStyle name="60% - Akzent3 2 4 3" xfId="9667" xr:uid="{DE16EDBB-5AF2-4DC8-8616-DC008976EDE5}"/>
    <cellStyle name="60% - Akzent3 2 4 3 2" xfId="29104" xr:uid="{E9EC840F-D5A6-457A-B703-18839DAFC294}"/>
    <cellStyle name="60% - Akzent3 2 4 4" xfId="9668" xr:uid="{6615F817-9D41-4333-8469-0FA99E5042F6}"/>
    <cellStyle name="60% - Akzent3 2 4 4 2" xfId="29105" xr:uid="{D952739B-79E2-421C-AE55-88EB2C6BE592}"/>
    <cellStyle name="60% - Akzent3 2 4 5" xfId="29101" xr:uid="{299494F2-A435-4D47-8EF3-4C70F6C65E03}"/>
    <cellStyle name="60% - Akzent3 2 5" xfId="9669" xr:uid="{52D721D8-929F-43FA-AB76-6506435C1E74}"/>
    <cellStyle name="60% - Akzent3 2 5 2" xfId="29106" xr:uid="{62DC0154-E8E2-493C-95E1-5F6F8B8B890D}"/>
    <cellStyle name="60% - Akzent3 2 6" xfId="9670" xr:uid="{EC4CAA1C-601F-4101-B649-639FB49A82AD}"/>
    <cellStyle name="60% - Akzent3 2 6 2" xfId="9671" xr:uid="{D4BEBC6F-0C4E-4260-AB72-432737E1665F}"/>
    <cellStyle name="60% - Akzent3 2 6 2 2" xfId="29108" xr:uid="{9154456D-31A7-457D-828F-B9311FE737B1}"/>
    <cellStyle name="60% - Akzent3 2 6 3" xfId="29107" xr:uid="{60D72A7D-F8D8-47AE-B9D8-30B3821B87CE}"/>
    <cellStyle name="60% - Akzent3 2 7" xfId="9672" xr:uid="{B6BFF650-753F-4DD3-ACAF-E6E2C15F1D72}"/>
    <cellStyle name="60% - Akzent3 2 7 2" xfId="29109" xr:uid="{5865E256-05D9-48DC-8234-0A39172B3891}"/>
    <cellStyle name="60% - Akzent3 2 8" xfId="9673" xr:uid="{87E9AA88-30E8-4703-AE19-F4CAB386565B}"/>
    <cellStyle name="60% - Akzent3 2 8 2" xfId="9674" xr:uid="{D475BFB1-8246-4DDB-AF30-54258F301782}"/>
    <cellStyle name="60% - Akzent3 2 8 2 2" xfId="29111" xr:uid="{A176056F-6B1B-4121-A454-2065F5FB7436}"/>
    <cellStyle name="60% - Akzent3 2 8 3" xfId="29110" xr:uid="{6AA34F29-4633-460A-B7C9-F9A515B67C7B}"/>
    <cellStyle name="60% - Akzent3 2 9" xfId="9675" xr:uid="{C910E09D-E66C-434C-B4F6-1F652B443D3E}"/>
    <cellStyle name="60% - Akzent3 2 9 2" xfId="29112" xr:uid="{A6A1627B-72C0-4D7C-84E2-A1B513EC05AD}"/>
    <cellStyle name="60% - Akzent3 20" xfId="9676" xr:uid="{A8F2CC6C-9071-4B3C-89C3-09C567099C76}"/>
    <cellStyle name="60% - Akzent3 20 2" xfId="9677" xr:uid="{0C146D27-D068-4B3A-8D5D-FD18831BFFCD}"/>
    <cellStyle name="60% - Akzent3 20 2 2" xfId="29114" xr:uid="{B1D19F38-6B4B-4F27-889D-C76192B2A7D1}"/>
    <cellStyle name="60% - Akzent3 20 3" xfId="29113" xr:uid="{2F5C47BD-F5B8-47E1-A083-8B96B00DD282}"/>
    <cellStyle name="60% - Akzent3 21" xfId="9678" xr:uid="{18405688-51D3-4846-BE7A-C047C6D7649D}"/>
    <cellStyle name="60% - Akzent3 21 2" xfId="9679" xr:uid="{D8145F7F-B857-4838-92E6-1ACDF1FCD79D}"/>
    <cellStyle name="60% - Akzent3 21 2 2" xfId="29116" xr:uid="{FBF26270-F71F-4EC4-A6CB-968F19658C5C}"/>
    <cellStyle name="60% - Akzent3 21 3" xfId="29115" xr:uid="{902BC933-35D3-4A52-AB9D-3F831CCEF5AB}"/>
    <cellStyle name="60% - Akzent3 22" xfId="9680" xr:uid="{EDDF991E-6C27-428F-877A-8B74B80E97C9}"/>
    <cellStyle name="60% - Akzent3 22 2" xfId="9681" xr:uid="{2798A030-FBA0-4D4A-97E6-E8E954ED29E0}"/>
    <cellStyle name="60% - Akzent3 22 2 2" xfId="29118" xr:uid="{1637A4B1-11C5-47A6-8544-1F3A90EC23CD}"/>
    <cellStyle name="60% - Akzent3 22 3" xfId="29117" xr:uid="{8795ABE3-988F-4D6F-A0A3-9F1479F5CF86}"/>
    <cellStyle name="60% - Akzent3 23" xfId="9682" xr:uid="{E30A941F-C959-45D2-8802-2748B5E289A4}"/>
    <cellStyle name="60% - Akzent3 23 2" xfId="9683" xr:uid="{5F07D2EA-3715-4CBF-BE01-A3B63EC22123}"/>
    <cellStyle name="60% - Akzent3 23 2 2" xfId="29120" xr:uid="{43FF778E-8120-4B6F-9C90-9C33ADF90410}"/>
    <cellStyle name="60% - Akzent3 23 3" xfId="29119" xr:uid="{D83463E7-F48A-45C0-A8BD-11A7C8D6BB5B}"/>
    <cellStyle name="60% - Akzent3 24" xfId="9684" xr:uid="{19210B7B-BFE3-4775-9CC8-53875CC4B847}"/>
    <cellStyle name="60% - Akzent3 24 2" xfId="9685" xr:uid="{E72F68CF-CC8A-46D6-856D-EF61D9F9DEA2}"/>
    <cellStyle name="60% - Akzent3 24 2 2" xfId="29122" xr:uid="{8F89E44F-F007-4A97-86FD-963520DC8959}"/>
    <cellStyle name="60% - Akzent3 24 3" xfId="29121" xr:uid="{605C7515-2F3D-42FF-B3A4-EBABB8D6D861}"/>
    <cellStyle name="60% - Akzent3 25" xfId="9686" xr:uid="{B36DEBC2-FA83-4A60-8AEA-F7E2BBEF44B7}"/>
    <cellStyle name="60% - Akzent3 25 2" xfId="9687" xr:uid="{E81B3373-E083-4FF5-905A-66CFEB9C84FE}"/>
    <cellStyle name="60% - Akzent3 25 2 2" xfId="29124" xr:uid="{B13BF364-FB8C-4B76-AC1C-D3D5649FE1AA}"/>
    <cellStyle name="60% - Akzent3 25 3" xfId="29123" xr:uid="{53FBC7B6-07CC-4E7F-B29F-C6040121CCAB}"/>
    <cellStyle name="60% - Akzent3 26" xfId="9688" xr:uid="{D8C67D39-19A5-4698-81CE-B76C73FEB220}"/>
    <cellStyle name="60% - Akzent3 26 2" xfId="9689" xr:uid="{12B5B989-1C26-4E4D-A253-7F0E93A0CE63}"/>
    <cellStyle name="60% - Akzent3 26 2 2" xfId="29126" xr:uid="{DFB2F0DC-DF6F-4097-A779-05691C6A39AC}"/>
    <cellStyle name="60% - Akzent3 26 3" xfId="29125" xr:uid="{BFC702D7-E721-462A-A1C9-EDA4D827759B}"/>
    <cellStyle name="60% - Akzent3 27" xfId="9690" xr:uid="{5382B55F-8177-4176-A8DA-EE1D9D0427E9}"/>
    <cellStyle name="60% - Akzent3 27 2" xfId="9691" xr:uid="{F0842CB2-9BE8-4A27-B456-67DF64A10541}"/>
    <cellStyle name="60% - Akzent3 27 2 2" xfId="29128" xr:uid="{D782D085-F6EC-4F19-9983-198DA6101CC3}"/>
    <cellStyle name="60% - Akzent3 27 3" xfId="29127" xr:uid="{03946565-6F97-4F65-98ED-988458D82BBC}"/>
    <cellStyle name="60% - Akzent3 28" xfId="9692" xr:uid="{E973D4E7-C84F-4682-B0C6-979485F74658}"/>
    <cellStyle name="60% - Akzent3 28 2" xfId="9693" xr:uid="{66B9997B-A829-4663-9077-C7469B5F7DB2}"/>
    <cellStyle name="60% - Akzent3 28 2 2" xfId="29130" xr:uid="{A08EC4FC-40EA-4D8F-8F96-A516EA2588F3}"/>
    <cellStyle name="60% - Akzent3 28 3" xfId="29129" xr:uid="{A26E7714-C92E-4324-992A-ACC94CC6F532}"/>
    <cellStyle name="60% - Akzent3 29" xfId="9694" xr:uid="{D443121B-F3AA-4434-B16C-9B976D28C6C4}"/>
    <cellStyle name="60% - Akzent3 29 2" xfId="9695" xr:uid="{0B5AA2AB-39C0-4B2D-9D90-3F8371FBE84C}"/>
    <cellStyle name="60% - Akzent3 29 2 2" xfId="29132" xr:uid="{2EF74526-EDCD-494C-BC82-35F70B4873F3}"/>
    <cellStyle name="60% - Akzent3 29 3" xfId="29131" xr:uid="{33687F3B-2D83-4381-BA7E-803E5BBA699C}"/>
    <cellStyle name="60% - Akzent3 3" xfId="9696" xr:uid="{03F4A5D8-2E5C-4E90-99EA-423198B216B1}"/>
    <cellStyle name="60% - Akzent3 3 10" xfId="39351" xr:uid="{6F03A600-5F7B-4320-96D7-C24ED84D98F9}"/>
    <cellStyle name="60% - Akzent3 3 2" xfId="9697" xr:uid="{A2CE8D97-2FAD-4841-948D-10254D7EABB6}"/>
    <cellStyle name="60% - Akzent3 3 2 2" xfId="9698" xr:uid="{AE359B2C-17CD-4969-B9AA-8CEDB4F54C44}"/>
    <cellStyle name="60% - Akzent3 3 2 2 2" xfId="9699" xr:uid="{24AB5FCA-BA89-4F46-8B63-D5B2D1D4A4FE}"/>
    <cellStyle name="60% - Akzent3 3 2 2 2 2" xfId="29136" xr:uid="{18561033-83A9-4906-A42C-18B94A74446B}"/>
    <cellStyle name="60% - Akzent3 3 2 2 3" xfId="29135" xr:uid="{4FE78A4A-1186-4971-8730-15284A0D4C5A}"/>
    <cellStyle name="60% - Akzent3 3 2 3" xfId="9700" xr:uid="{4E241E3B-FB32-4EE1-84D4-D1D4691A01E9}"/>
    <cellStyle name="60% - Akzent3 3 2 3 2" xfId="29137" xr:uid="{15A971D8-0B50-4185-9397-60C186A2B840}"/>
    <cellStyle name="60% - Akzent3 3 2 4" xfId="9701" xr:uid="{F113AE06-2215-4A2A-A769-4EB094CA29D5}"/>
    <cellStyle name="60% - Akzent3 3 2 4 2" xfId="29138" xr:uid="{821D2F16-4FF0-48CD-A1DA-2E0F94D75AAE}"/>
    <cellStyle name="60% - Akzent3 3 2 5" xfId="29134" xr:uid="{914423F8-1D9E-456E-B380-9FF4291EEA64}"/>
    <cellStyle name="60% - Akzent3 3 2 6" xfId="39976" xr:uid="{EB6FBABC-8A21-4854-B47F-48CBA3066526}"/>
    <cellStyle name="60% - Akzent3 3 3" xfId="9702" xr:uid="{98ADBE33-E940-4B0B-9716-5E3DF0D35ACA}"/>
    <cellStyle name="60% - Akzent3 3 3 2" xfId="29139" xr:uid="{E60363EF-4C81-405F-9950-04B1D7D22F2B}"/>
    <cellStyle name="60% - Akzent3 3 4" xfId="9703" xr:uid="{03D4D69B-CB65-4BCC-9272-F9510B28241D}"/>
    <cellStyle name="60% - Akzent3 3 4 2" xfId="29140" xr:uid="{68952CC0-A0B8-48E4-9B37-B1C918BF17D2}"/>
    <cellStyle name="60% - Akzent3 3 5" xfId="9704" xr:uid="{92F5AB9C-70A8-4737-98F5-1B82600BE9D2}"/>
    <cellStyle name="60% - Akzent3 3 5 2" xfId="9705" xr:uid="{0224F41E-D665-4B60-9DF6-0D0F459618D6}"/>
    <cellStyle name="60% - Akzent3 3 5 2 2" xfId="29142" xr:uid="{0B4CB718-A1E5-4020-A74A-1BCA4A6876BB}"/>
    <cellStyle name="60% - Akzent3 3 5 3" xfId="29141" xr:uid="{007EFA63-9835-4D39-A8C5-9408CC817ED1}"/>
    <cellStyle name="60% - Akzent3 3 6" xfId="9706" xr:uid="{566DAACC-9689-407C-BF9E-FFAC8A77B31D}"/>
    <cellStyle name="60% - Akzent3 3 6 2" xfId="29143" xr:uid="{792016E2-1911-4B48-ACE2-BCA7BB527241}"/>
    <cellStyle name="60% - Akzent3 3 7" xfId="9707" xr:uid="{71841AA3-6970-4144-B0D6-F4C76E2F5D62}"/>
    <cellStyle name="60% - Akzent3 3 7 2" xfId="29144" xr:uid="{F9333AE0-B831-4A77-AA5F-5AB1BCC6218D}"/>
    <cellStyle name="60% - Akzent3 3 8" xfId="9708" xr:uid="{390344DD-4E35-413D-BE9E-07C894E9BB90}"/>
    <cellStyle name="60% - Akzent3 3 8 2" xfId="29145" xr:uid="{762130F9-0050-4615-A45A-1BBFABDB946F}"/>
    <cellStyle name="60% - Akzent3 3 9" xfId="29133" xr:uid="{8B7312E0-2C92-41DB-857D-7041D88B1C1A}"/>
    <cellStyle name="60% - Akzent3 30" xfId="9709" xr:uid="{303792BE-541D-4CFA-880D-C289B6854328}"/>
    <cellStyle name="60% - Akzent3 30 2" xfId="9710" xr:uid="{BAE851D5-47D7-423A-856B-2A3C308F1EE8}"/>
    <cellStyle name="60% - Akzent3 30 2 2" xfId="29147" xr:uid="{24486BBF-C57C-43D8-8B07-572E244C0AFB}"/>
    <cellStyle name="60% - Akzent3 30 3" xfId="29146" xr:uid="{86349D45-8B9C-4E2F-82F0-DD1D4BADAEEA}"/>
    <cellStyle name="60% - Akzent3 31" xfId="9711" xr:uid="{62F80077-8525-47BC-91F4-993386F64FF5}"/>
    <cellStyle name="60% - Akzent3 31 2" xfId="9712" xr:uid="{8833AF6E-C62D-430A-B376-699A655E6116}"/>
    <cellStyle name="60% - Akzent3 31 2 2" xfId="29149" xr:uid="{8745A2A4-AF46-43D2-874A-D670F23DD677}"/>
    <cellStyle name="60% - Akzent3 31 3" xfId="29148" xr:uid="{68D8BE97-8D95-479A-89B4-50CC0290AABB}"/>
    <cellStyle name="60% - Akzent3 32" xfId="9713" xr:uid="{54866797-7120-4B8B-AC28-335F4FBF5D92}"/>
    <cellStyle name="60% - Akzent3 32 2" xfId="9714" xr:uid="{A7091D55-C761-4228-A44E-23F00367B33D}"/>
    <cellStyle name="60% - Akzent3 32 2 2" xfId="29151" xr:uid="{E6B9CB37-E00B-4592-A08F-5F488B41F158}"/>
    <cellStyle name="60% - Akzent3 32 3" xfId="29150" xr:uid="{57E98350-9012-445D-A216-1DA8A205EFF6}"/>
    <cellStyle name="60% - Akzent3 33" xfId="9715" xr:uid="{9406CCDC-AAF9-4041-868D-7528E08504D6}"/>
    <cellStyle name="60% - Akzent3 33 2" xfId="9716" xr:uid="{644C5E24-6681-42FC-A392-1C4891C694E8}"/>
    <cellStyle name="60% - Akzent3 33 2 2" xfId="29153" xr:uid="{1437E67F-BDD2-4399-8466-B082D399C926}"/>
    <cellStyle name="60% - Akzent3 33 3" xfId="29152" xr:uid="{D6B9B9D1-2D82-416D-81A6-A4C3F49004C6}"/>
    <cellStyle name="60% - Akzent3 34" xfId="9717" xr:uid="{83B911D5-F7B5-40B7-AB36-D37DD19D6BCF}"/>
    <cellStyle name="60% - Akzent3 34 2" xfId="9718" xr:uid="{A4AB1E04-E25A-41FF-B878-A0957DDD8644}"/>
    <cellStyle name="60% - Akzent3 34 2 2" xfId="29155" xr:uid="{5F5638CA-E88A-4150-A4F4-B7DD834F7033}"/>
    <cellStyle name="60% - Akzent3 34 3" xfId="29154" xr:uid="{269A0135-0CB2-402C-ACAA-970148CCEBE5}"/>
    <cellStyle name="60% - Akzent3 35" xfId="9719" xr:uid="{1A51FB56-B610-481B-9B4D-AA31D95643DE}"/>
    <cellStyle name="60% - Akzent3 35 2" xfId="9720" xr:uid="{F13CBE4C-AEF5-4EF8-837E-98955760457A}"/>
    <cellStyle name="60% - Akzent3 35 2 2" xfId="29157" xr:uid="{BDA2F922-0B10-4248-9651-D2FC2AB40E00}"/>
    <cellStyle name="60% - Akzent3 35 3" xfId="29156" xr:uid="{146A97D3-9E33-459B-9BAA-BF0AAFC621E5}"/>
    <cellStyle name="60% - Akzent3 36" xfId="9721" xr:uid="{36DF1990-D23D-4DE8-974C-271FD0490D9E}"/>
    <cellStyle name="60% - Akzent3 36 2" xfId="9722" xr:uid="{90687043-7444-49C4-A6E9-CE821463EDCB}"/>
    <cellStyle name="60% - Akzent3 36 2 2" xfId="29159" xr:uid="{3108F70B-CF32-4388-9246-3714DBC16436}"/>
    <cellStyle name="60% - Akzent3 36 3" xfId="29158" xr:uid="{B24E0260-6F14-4B87-B09F-9AE2495E2334}"/>
    <cellStyle name="60% - Akzent3 37" xfId="29033" xr:uid="{5A0BA199-D0E9-47A7-8A58-BFFED6D085C5}"/>
    <cellStyle name="60% - Akzent3 38" xfId="9596" xr:uid="{F5C0D436-B0CF-418A-B7E0-F19C3F4E3781}"/>
    <cellStyle name="60% - Akzent3 4" xfId="9723" xr:uid="{B67D4A8D-07E1-41E2-9317-A1E4C2FDCE08}"/>
    <cellStyle name="60% - Akzent3 4 2" xfId="9724" xr:uid="{5717665D-046D-4320-910F-783FC89C2FD4}"/>
    <cellStyle name="60% - Akzent3 4 2 2" xfId="9725" xr:uid="{70274036-13E9-4B71-9136-5E37567830A6}"/>
    <cellStyle name="60% - Akzent3 4 2 2 2" xfId="29162" xr:uid="{FFE5E976-88C5-41A1-90E3-52217EEF4560}"/>
    <cellStyle name="60% - Akzent3 4 2 3" xfId="29161" xr:uid="{FA4E2F33-27BB-4123-975A-5B4DE5A032AF}"/>
    <cellStyle name="60% - Akzent3 4 2 4" xfId="39977" xr:uid="{04F9CE13-4272-4601-AB5E-20B105971959}"/>
    <cellStyle name="60% - Akzent3 4 3" xfId="9726" xr:uid="{C4B69609-7EF6-471E-BB0E-0E5B717108A3}"/>
    <cellStyle name="60% - Akzent3 4 3 2" xfId="29163" xr:uid="{D4B6617D-2F35-412A-9A30-E0FC09C90994}"/>
    <cellStyle name="60% - Akzent3 4 4" xfId="9727" xr:uid="{3FEF7714-6734-471F-9D76-323E03473F53}"/>
    <cellStyle name="60% - Akzent3 4 4 2" xfId="29164" xr:uid="{FCA4A9C2-1972-4319-B67C-9205D03CBC63}"/>
    <cellStyle name="60% - Akzent3 4 5" xfId="9728" xr:uid="{72EA9A0E-C546-462B-8101-8C182F1B9601}"/>
    <cellStyle name="60% - Akzent3 4 5 2" xfId="29165" xr:uid="{F48B7A4D-3812-441A-8EE5-A64A31846482}"/>
    <cellStyle name="60% - Akzent3 4 6" xfId="9729" xr:uid="{C011FECA-4EB2-4164-8FCC-E70EC52F6223}"/>
    <cellStyle name="60% - Akzent3 4 6 2" xfId="29166" xr:uid="{BEA420CF-63BF-4598-ADBD-902D3EDA271B}"/>
    <cellStyle name="60% - Akzent3 4 7" xfId="29160" xr:uid="{5BC08F41-C800-4C00-A4B5-58608D637147}"/>
    <cellStyle name="60% - Akzent3 4 8" xfId="39352" xr:uid="{97EFBEBF-91F5-4F02-8DCB-89FF9E944942}"/>
    <cellStyle name="60% - Akzent3 5" xfId="9730" xr:uid="{6328D575-24D6-45E6-AEAF-C577E98CC592}"/>
    <cellStyle name="60% - Akzent3 5 2" xfId="9731" xr:uid="{0A16406C-112E-4608-8FBD-1679460F210B}"/>
    <cellStyle name="60% - Akzent3 5 2 2" xfId="29168" xr:uid="{3A9D3018-3276-421A-A75F-ACFF8D8256CC}"/>
    <cellStyle name="60% - Akzent3 5 3" xfId="9732" xr:uid="{B6F86001-2300-40EF-BE3B-CE2706C5A95D}"/>
    <cellStyle name="60% - Akzent3 5 3 2" xfId="29169" xr:uid="{25F61404-6B34-48E2-A847-EFC61F994623}"/>
    <cellStyle name="60% - Akzent3 5 4" xfId="9733" xr:uid="{80C9407A-E53E-4F35-A18D-A53AD2F31D8C}"/>
    <cellStyle name="60% - Akzent3 5 4 2" xfId="29170" xr:uid="{7E08FCA2-F191-4897-B81D-85887FDD4257}"/>
    <cellStyle name="60% - Akzent3 5 5" xfId="29167" xr:uid="{FDDDCD81-1B83-4B18-BDCD-83819F05A899}"/>
    <cellStyle name="60% - Akzent3 5 6" xfId="39353" xr:uid="{8A76C110-6507-464F-8A4D-A56574F12964}"/>
    <cellStyle name="60% - Akzent3 6" xfId="9734" xr:uid="{E02C91B9-9692-48BD-AAE9-E4CC9BAE220F}"/>
    <cellStyle name="60% - Akzent3 6 2" xfId="9735" xr:uid="{8A8D2CBB-BF95-4FEE-AE77-EFD942EBFC02}"/>
    <cellStyle name="60% - Akzent3 6 2 2" xfId="29172" xr:uid="{86655E4C-BBC6-441C-8BB3-10C4F789C7EB}"/>
    <cellStyle name="60% - Akzent3 6 3" xfId="9736" xr:uid="{0F3609CA-C0C5-4F02-9D59-8979EA7AAC90}"/>
    <cellStyle name="60% - Akzent3 6 3 2" xfId="29173" xr:uid="{8E24A609-9E5F-4446-AAB9-977B291F32B6}"/>
    <cellStyle name="60% - Akzent3 6 4" xfId="9737" xr:uid="{973BE88E-90D1-46C2-9D22-3E8A3627345D}"/>
    <cellStyle name="60% - Akzent3 6 4 2" xfId="29174" xr:uid="{F7D36152-24FC-4323-A927-4BCF97F67C14}"/>
    <cellStyle name="60% - Akzent3 6 5" xfId="29171" xr:uid="{FDDD1A56-F749-44A2-AEAD-49FD403C826F}"/>
    <cellStyle name="60% - Akzent3 6 6" xfId="39348" xr:uid="{CC02AB88-8DC1-4945-820C-955676B637A6}"/>
    <cellStyle name="60% - Akzent3 7" xfId="9738" xr:uid="{5BB9F1D6-6843-42F5-AD32-5729E47E43F1}"/>
    <cellStyle name="60% - Akzent3 7 2" xfId="9739" xr:uid="{BE28DF01-E1E7-46CF-9B8A-9299E18B8416}"/>
    <cellStyle name="60% - Akzent3 7 2 2" xfId="29176" xr:uid="{137433C1-308C-4709-8653-4CFBAAC4CEEF}"/>
    <cellStyle name="60% - Akzent3 7 3" xfId="29175" xr:uid="{34E2E0D4-57B3-4EC2-AA74-437CAB510D24}"/>
    <cellStyle name="60% - Akzent3 8" xfId="9740" xr:uid="{311B9FA8-33D4-4C76-92EE-58C2ED89D540}"/>
    <cellStyle name="60% - Akzent3 8 2" xfId="9741" xr:uid="{FB122CCF-ADED-46BC-9E2C-C040673E6550}"/>
    <cellStyle name="60% - Akzent3 8 2 2" xfId="29178" xr:uid="{EB322BA5-D847-45E2-A1BB-9EB4310C8071}"/>
    <cellStyle name="60% - Akzent3 8 3" xfId="29177" xr:uid="{C8897F1B-E066-414A-89FE-052FE192FD6E}"/>
    <cellStyle name="60% - Akzent3 9" xfId="9742" xr:uid="{79D8071A-09CA-4665-9879-B4FD8CCA1865}"/>
    <cellStyle name="60% - Akzent3 9 2" xfId="9743" xr:uid="{B10476B2-9F34-4849-B268-494D704B8948}"/>
    <cellStyle name="60% - Akzent3 9 2 2" xfId="29180" xr:uid="{D6C610A1-6BED-4087-A0A3-8E2EAF463282}"/>
    <cellStyle name="60% - Akzent3 9 3" xfId="29179" xr:uid="{77F037CE-800A-4AC3-8D82-DFA4490942DB}"/>
    <cellStyle name="60% - Akzent4 10" xfId="9745" xr:uid="{447DC0F5-2CC5-46DA-B427-8DBEC39D92FD}"/>
    <cellStyle name="60% - Akzent4 10 2" xfId="9746" xr:uid="{93376909-0C45-4203-BBE2-113461226B3E}"/>
    <cellStyle name="60% - Akzent4 10 2 2" xfId="29183" xr:uid="{AB280B7B-9F93-4310-837F-03E745062367}"/>
    <cellStyle name="60% - Akzent4 10 3" xfId="29182" xr:uid="{D9E07B61-9705-46B0-82F6-47024277E639}"/>
    <cellStyle name="60% - Akzent4 11" xfId="9747" xr:uid="{06B11089-773A-4FBC-AD33-F0B347AEBB7F}"/>
    <cellStyle name="60% - Akzent4 11 2" xfId="9748" xr:uid="{D8FB6203-9F4C-412D-93FC-B641EA546A3C}"/>
    <cellStyle name="60% - Akzent4 11 2 2" xfId="29185" xr:uid="{28B5DA76-A17B-4272-8906-BF06A93DD783}"/>
    <cellStyle name="60% - Akzent4 11 3" xfId="29184" xr:uid="{674DC934-FF4F-40E6-964F-1019D3CA5373}"/>
    <cellStyle name="60% - Akzent4 12" xfId="9749" xr:uid="{B19E9CC3-500F-4ED3-A296-EC1CF2B6EEE3}"/>
    <cellStyle name="60% - Akzent4 12 2" xfId="9750" xr:uid="{E889278D-3C53-47F5-8F17-574FCF13B968}"/>
    <cellStyle name="60% - Akzent4 12 2 2" xfId="29187" xr:uid="{4F54912C-8EE9-4709-97F3-5F1D85DA1EF6}"/>
    <cellStyle name="60% - Akzent4 12 3" xfId="29186" xr:uid="{97CE83B8-08DB-4D6E-881F-6C7E708DCD96}"/>
    <cellStyle name="60% - Akzent4 13" xfId="9751" xr:uid="{241240C4-41F0-4BF1-AD9C-868326FE6F5A}"/>
    <cellStyle name="60% - Akzent4 13 2" xfId="9752" xr:uid="{20D466D3-50D9-4A1E-8EC9-595982307E51}"/>
    <cellStyle name="60% - Akzent4 13 2 2" xfId="29189" xr:uid="{8C156F19-A81B-495D-89C1-23444499494C}"/>
    <cellStyle name="60% - Akzent4 13 3" xfId="29188" xr:uid="{711A0A1A-4D3D-4021-929C-70CFDF0B618D}"/>
    <cellStyle name="60% - Akzent4 14" xfId="9753" xr:uid="{C4F21D35-E4D3-4F59-8EA8-D55946F075B7}"/>
    <cellStyle name="60% - Akzent4 14 2" xfId="9754" xr:uid="{3290F233-A1AE-4AA6-AD1B-A1AA54EB6EA8}"/>
    <cellStyle name="60% - Akzent4 14 2 2" xfId="29191" xr:uid="{25E35DD3-38CD-4CD7-B13A-B248EFD71E6E}"/>
    <cellStyle name="60% - Akzent4 14 3" xfId="29190" xr:uid="{D1CF1D17-E39A-4EDD-AD5D-47F708B7A486}"/>
    <cellStyle name="60% - Akzent4 15" xfId="9755" xr:uid="{B28279DB-0C93-416F-A695-7991C3EE2E5C}"/>
    <cellStyle name="60% - Akzent4 15 2" xfId="9756" xr:uid="{ED1CA946-1F55-499D-857F-38F037A766C2}"/>
    <cellStyle name="60% - Akzent4 15 2 2" xfId="29193" xr:uid="{57AD7721-EB45-4B05-A40E-B85E508A3896}"/>
    <cellStyle name="60% - Akzent4 15 3" xfId="29192" xr:uid="{D165281D-9C28-49F4-BB8A-F4FF79450CAB}"/>
    <cellStyle name="60% - Akzent4 16" xfId="9757" xr:uid="{58714F42-53DD-456E-805F-32F0C4865FF4}"/>
    <cellStyle name="60% - Akzent4 16 2" xfId="9758" xr:uid="{77D0136F-347C-4B5B-BA54-B2AD020BE821}"/>
    <cellStyle name="60% - Akzent4 16 2 2" xfId="29195" xr:uid="{3DE270BF-1643-45D4-B78A-F791E95A5A2A}"/>
    <cellStyle name="60% - Akzent4 16 3" xfId="29194" xr:uid="{12B67D31-1E71-4BEF-B5CD-E65D590E6459}"/>
    <cellStyle name="60% - Akzent4 17" xfId="9759" xr:uid="{6ECEF7FF-3283-4055-90E8-534328A1B41C}"/>
    <cellStyle name="60% - Akzent4 17 2" xfId="9760" xr:uid="{486BD2F7-D917-449E-96C6-49439FC25F65}"/>
    <cellStyle name="60% - Akzent4 17 2 2" xfId="29197" xr:uid="{AF217722-759F-4A3F-A5C2-C222679DDAC9}"/>
    <cellStyle name="60% - Akzent4 17 3" xfId="29196" xr:uid="{F093FEEE-889C-4601-8105-3A025732A974}"/>
    <cellStyle name="60% - Akzent4 18" xfId="9761" xr:uid="{92D714E9-7A37-436B-8869-BC318C295FD8}"/>
    <cellStyle name="60% - Akzent4 18 2" xfId="9762" xr:uid="{B84B5E7D-C12D-44FB-8348-5355B9883D65}"/>
    <cellStyle name="60% - Akzent4 18 2 2" xfId="29199" xr:uid="{7EE72A91-3F39-4969-84E4-89C0954E9B89}"/>
    <cellStyle name="60% - Akzent4 18 3" xfId="29198" xr:uid="{01971F6A-745C-4BA6-B285-B5A59B4F2A85}"/>
    <cellStyle name="60% - Akzent4 19" xfId="9763" xr:uid="{590F6828-0901-4E91-ACAB-E504BC45CB88}"/>
    <cellStyle name="60% - Akzent4 19 2" xfId="9764" xr:uid="{88BB7697-CD0E-4ECC-B57C-247E910B7763}"/>
    <cellStyle name="60% - Akzent4 19 2 2" xfId="29201" xr:uid="{98715061-1C68-4059-9B0C-492E8400B981}"/>
    <cellStyle name="60% - Akzent4 19 3" xfId="29200" xr:uid="{CCA183A5-1FE9-4185-B580-3C6081278B02}"/>
    <cellStyle name="60% - Akzent4 2" xfId="9765" xr:uid="{AC9C3F89-7862-4EA4-8C89-D9A86CF881D1}"/>
    <cellStyle name="60% - Akzent4 2 10" xfId="9766" xr:uid="{BE542606-A5A2-4E5C-8C8F-85C610122E55}"/>
    <cellStyle name="60% - Akzent4 2 10 2" xfId="29203" xr:uid="{0D2871CC-2715-4228-9DBF-D6615D83BF73}"/>
    <cellStyle name="60% - Akzent4 2 11" xfId="9767" xr:uid="{B310A9C3-45D0-41F7-A9EE-C76DF9681BCA}"/>
    <cellStyle name="60% - Akzent4 2 11 2" xfId="29204" xr:uid="{E1B44B11-38A8-4391-8266-4DA4C6977C48}"/>
    <cellStyle name="60% - Akzent4 2 12" xfId="9768" xr:uid="{AFD37D95-B5F1-4B10-94BE-9634269B7A96}"/>
    <cellStyle name="60% - Akzent4 2 12 2" xfId="29205" xr:uid="{334F72D2-F622-4053-ABA8-612F5EA6DB20}"/>
    <cellStyle name="60% - Akzent4 2 13" xfId="9769" xr:uid="{F12ED963-34B1-431A-AF22-61A611623533}"/>
    <cellStyle name="60% - Akzent4 2 13 2" xfId="29206" xr:uid="{EAE05E7E-745B-468C-8B70-51AE6243AE73}"/>
    <cellStyle name="60% - Akzent4 2 14" xfId="9770" xr:uid="{0475122C-232D-4E66-9FF1-65D647214BB7}"/>
    <cellStyle name="60% - Akzent4 2 14 2" xfId="29207" xr:uid="{80C8E8BB-3BEB-4A6D-8F0B-3B5077D3D247}"/>
    <cellStyle name="60% - Akzent4 2 15" xfId="29202" xr:uid="{C3FC123A-A02F-41A5-8EC6-ABE04B01EC38}"/>
    <cellStyle name="60% - Akzent4 2 16" xfId="39355" xr:uid="{84C23FC9-1BD9-4C4E-8BF5-ACD7CD66B193}"/>
    <cellStyle name="60% - Akzent4 2 2" xfId="9771" xr:uid="{D8A29931-4DBD-4365-9EA7-CC0A48EC5F35}"/>
    <cellStyle name="60% - Akzent4 2 2 10" xfId="9772" xr:uid="{5D73095D-D955-4E1D-82F4-D48781E351CA}"/>
    <cellStyle name="60% - Akzent4 2 2 10 2" xfId="29209" xr:uid="{1452DDD8-833F-45F7-8479-A94DA10C01D0}"/>
    <cellStyle name="60% - Akzent4 2 2 11" xfId="9773" xr:uid="{CA69A644-3F89-4C28-86CF-8440EDC25A13}"/>
    <cellStyle name="60% - Akzent4 2 2 11 2" xfId="29210" xr:uid="{F50463E7-9DE1-45AC-B5DD-1771C6FB479D}"/>
    <cellStyle name="60% - Akzent4 2 2 12" xfId="9774" xr:uid="{EC78E78E-DE3E-4C5C-B7C4-E2DD06E3D1F1}"/>
    <cellStyle name="60% - Akzent4 2 2 12 2" xfId="29211" xr:uid="{DFC66E1A-0AA7-4D87-B9C4-01083CB16BFA}"/>
    <cellStyle name="60% - Akzent4 2 2 13" xfId="29208" xr:uid="{E3DAE5F0-99B7-4274-A882-9D7C9AEA60AE}"/>
    <cellStyle name="60% - Akzent4 2 2 14" xfId="39356" xr:uid="{74B5BA74-0B88-4314-B832-08CBD24D228E}"/>
    <cellStyle name="60% - Akzent4 2 2 2" xfId="9775" xr:uid="{7BBD2091-5AFA-4CE4-896C-EA78C072B344}"/>
    <cellStyle name="60% - Akzent4 2 2 2 10" xfId="9776" xr:uid="{0C4BE9FC-049B-47FC-82A4-D52DAD8D98CF}"/>
    <cellStyle name="60% - Akzent4 2 2 2 10 2" xfId="29213" xr:uid="{6DA31F2E-9344-4A7C-962C-E9F53C0F4CB3}"/>
    <cellStyle name="60% - Akzent4 2 2 2 11" xfId="29212" xr:uid="{47D2FC04-BDF4-4B31-96C0-644A480D019A}"/>
    <cellStyle name="60% - Akzent4 2 2 2 2" xfId="9777" xr:uid="{8374B7CB-4AEE-4F05-8323-88D50865D1B6}"/>
    <cellStyle name="60% - Akzent4 2 2 2 2 2" xfId="9778" xr:uid="{091AE24B-C9F4-408A-B131-0D042725288E}"/>
    <cellStyle name="60% - Akzent4 2 2 2 2 2 2" xfId="9779" xr:uid="{AB7F23FC-E311-4073-AE49-D11C5C178C31}"/>
    <cellStyle name="60% - Akzent4 2 2 2 2 2 2 2" xfId="9780" xr:uid="{0C58BF15-9631-4913-9DC6-62D5FEB3153C}"/>
    <cellStyle name="60% - Akzent4 2 2 2 2 2 2 2 2" xfId="29217" xr:uid="{23845F85-F1B8-4E18-88F9-B1C8410C5BA3}"/>
    <cellStyle name="60% - Akzent4 2 2 2 2 2 2 3" xfId="29216" xr:uid="{51E63ADA-F66D-44A7-BB77-4A05336EA19B}"/>
    <cellStyle name="60% - Akzent4 2 2 2 2 2 3" xfId="9781" xr:uid="{E7BA0CD1-2D26-4BD6-AD33-639BA5065A8E}"/>
    <cellStyle name="60% - Akzent4 2 2 2 2 2 3 2" xfId="29218" xr:uid="{06C51925-D3D4-4174-8EE2-E72CF0C2397A}"/>
    <cellStyle name="60% - Akzent4 2 2 2 2 2 4" xfId="9782" xr:uid="{5145B4A0-0DE3-4229-B55B-5214B6516DE7}"/>
    <cellStyle name="60% - Akzent4 2 2 2 2 2 4 2" xfId="29219" xr:uid="{7D357858-DA32-4620-A391-26EA181D6EB0}"/>
    <cellStyle name="60% - Akzent4 2 2 2 2 2 5" xfId="9783" xr:uid="{356191DC-377F-4E75-A54B-71E4839F5C8F}"/>
    <cellStyle name="60% - Akzent4 2 2 2 2 2 5 2" xfId="29220" xr:uid="{95319496-DEC5-424A-AF43-DE8F26CB2E12}"/>
    <cellStyle name="60% - Akzent4 2 2 2 2 2 6" xfId="9784" xr:uid="{B2EA1F6F-383E-49FC-942C-AAA209917AB6}"/>
    <cellStyle name="60% - Akzent4 2 2 2 2 2 6 2" xfId="29221" xr:uid="{03DBCD14-1DD2-461D-A02C-8996EA5BEB8B}"/>
    <cellStyle name="60% - Akzent4 2 2 2 2 2 7" xfId="9785" xr:uid="{E29FC2C3-112A-465A-BC5C-8B464723188C}"/>
    <cellStyle name="60% - Akzent4 2 2 2 2 2 7 2" xfId="29222" xr:uid="{22696CCF-9DB4-4FD5-BA93-C0584533E1D7}"/>
    <cellStyle name="60% - Akzent4 2 2 2 2 2 8" xfId="9786" xr:uid="{3AEEBA22-2305-4883-B787-8543AF2A0BE1}"/>
    <cellStyle name="60% - Akzent4 2 2 2 2 2 8 2" xfId="29223" xr:uid="{B004649F-A28F-484E-B43D-5B9536AF8211}"/>
    <cellStyle name="60% - Akzent4 2 2 2 2 2 9" xfId="29215" xr:uid="{B645BB05-1A83-4648-93A7-2F60231F0A12}"/>
    <cellStyle name="60% - Akzent4 2 2 2 2 3" xfId="9787" xr:uid="{525D9B91-2722-473A-A5DD-217E31EFD841}"/>
    <cellStyle name="60% - Akzent4 2 2 2 2 3 2" xfId="9788" xr:uid="{DBF7C8D2-3047-4586-8A82-4A8EA6CBF711}"/>
    <cellStyle name="60% - Akzent4 2 2 2 2 3 2 2" xfId="29225" xr:uid="{1D153BAE-28D6-481E-8650-9A0ABBDB02E9}"/>
    <cellStyle name="60% - Akzent4 2 2 2 2 3 3" xfId="29224" xr:uid="{E0894CD4-7B3E-495C-B383-AE002C2C158E}"/>
    <cellStyle name="60% - Akzent4 2 2 2 2 4" xfId="9789" xr:uid="{089441A0-4024-4A32-9609-D1A349D4A863}"/>
    <cellStyle name="60% - Akzent4 2 2 2 2 4 2" xfId="29226" xr:uid="{ADE21AE8-6C97-4977-BB25-C0C6E8331C41}"/>
    <cellStyle name="60% - Akzent4 2 2 2 2 5" xfId="9790" xr:uid="{7ED28D4D-3A58-49A6-8A3B-6CFAF306768F}"/>
    <cellStyle name="60% - Akzent4 2 2 2 2 5 2" xfId="29227" xr:uid="{B763EAB2-D725-4D43-B20D-AF45009389F1}"/>
    <cellStyle name="60% - Akzent4 2 2 2 2 6" xfId="9791" xr:uid="{ECDB7DD4-964E-452F-906C-9F3F7B6553EF}"/>
    <cellStyle name="60% - Akzent4 2 2 2 2 6 2" xfId="29228" xr:uid="{AAE0414D-098D-402A-BEA4-FF04A531158C}"/>
    <cellStyle name="60% - Akzent4 2 2 2 2 7" xfId="9792" xr:uid="{70700BCC-A9AC-45AB-BD2D-86E804029DF0}"/>
    <cellStyle name="60% - Akzent4 2 2 2 2 7 2" xfId="29229" xr:uid="{8108C7CB-3227-44F5-965A-A688F7761F19}"/>
    <cellStyle name="60% - Akzent4 2 2 2 2 8" xfId="9793" xr:uid="{53655760-42CF-4ABC-B796-F94D20F289AC}"/>
    <cellStyle name="60% - Akzent4 2 2 2 2 8 2" xfId="29230" xr:uid="{C656D9D5-83CF-4365-A421-B7CB7BDB06F7}"/>
    <cellStyle name="60% - Akzent4 2 2 2 2 9" xfId="29214" xr:uid="{26F6AB7F-9B7D-4DE1-A803-23A3D5F40591}"/>
    <cellStyle name="60% - Akzent4 2 2 2 3" xfId="9794" xr:uid="{06626C7E-01CB-481E-BE30-E01BB737001B}"/>
    <cellStyle name="60% - Akzent4 2 2 2 3 2" xfId="29231" xr:uid="{19972540-AB39-420F-B64F-27157C6D84FC}"/>
    <cellStyle name="60% - Akzent4 2 2 2 4" xfId="9795" xr:uid="{ADF362D7-3A8F-406B-9F73-1C3380BFE30C}"/>
    <cellStyle name="60% - Akzent4 2 2 2 4 2" xfId="29232" xr:uid="{364E9099-C537-4A70-B64F-7B591826502A}"/>
    <cellStyle name="60% - Akzent4 2 2 2 5" xfId="9796" xr:uid="{4CCB0A06-5BE9-4831-89DA-C0695DFE5FCE}"/>
    <cellStyle name="60% - Akzent4 2 2 2 5 2" xfId="9797" xr:uid="{CF71A49A-27B3-4F33-AAFA-DBAE8421605D}"/>
    <cellStyle name="60% - Akzent4 2 2 2 5 2 2" xfId="29234" xr:uid="{2F80AE90-7890-4688-8F6C-BA75486E9EFA}"/>
    <cellStyle name="60% - Akzent4 2 2 2 5 3" xfId="29233" xr:uid="{5DCF68B7-EF69-4061-8218-6FC40A29E432}"/>
    <cellStyle name="60% - Akzent4 2 2 2 6" xfId="9798" xr:uid="{4D74C62B-C3CB-49B6-9111-4266F16084D9}"/>
    <cellStyle name="60% - Akzent4 2 2 2 6 2" xfId="29235" xr:uid="{5EB2A249-C73C-4841-A60D-25340B3BD3F2}"/>
    <cellStyle name="60% - Akzent4 2 2 2 7" xfId="9799" xr:uid="{F43947F0-3D78-4271-8160-312E2BF8FF49}"/>
    <cellStyle name="60% - Akzent4 2 2 2 7 2" xfId="29236" xr:uid="{6FFAFFD3-ACA8-4049-8E10-CDA6A194EF8C}"/>
    <cellStyle name="60% - Akzent4 2 2 2 8" xfId="9800" xr:uid="{806431EC-C7A3-4C0A-92FD-E9177058CEFE}"/>
    <cellStyle name="60% - Akzent4 2 2 2 8 2" xfId="29237" xr:uid="{189D7913-FBC4-485F-BE1E-74EDCCF8BA14}"/>
    <cellStyle name="60% - Akzent4 2 2 2 9" xfId="9801" xr:uid="{967348B4-8FCD-4834-85E7-18786724986E}"/>
    <cellStyle name="60% - Akzent4 2 2 2 9 2" xfId="29238" xr:uid="{EA498D23-1BFB-45D1-814F-275A0609DD97}"/>
    <cellStyle name="60% - Akzent4 2 2 3" xfId="9802" xr:uid="{FB9A1675-E5EC-43F9-AD11-EF303837E16C}"/>
    <cellStyle name="60% - Akzent4 2 2 3 2" xfId="29239" xr:uid="{06085F29-AC47-49C0-8CE9-39B97E297316}"/>
    <cellStyle name="60% - Akzent4 2 2 4" xfId="9803" xr:uid="{742C4606-8A86-4BE3-933F-19E877274CCA}"/>
    <cellStyle name="60% - Akzent4 2 2 4 2" xfId="29240" xr:uid="{75F4AC2E-1B86-4A3F-A8A0-B364E72138F8}"/>
    <cellStyle name="60% - Akzent4 2 2 5" xfId="9804" xr:uid="{C1BEA5B2-F920-40BF-9F25-80267F85920A}"/>
    <cellStyle name="60% - Akzent4 2 2 5 2" xfId="9805" xr:uid="{F19A6974-0444-40C4-9ABD-6B4119CF49E5}"/>
    <cellStyle name="60% - Akzent4 2 2 5 2 2" xfId="29242" xr:uid="{DA706BCC-7728-4F49-806B-164551CA5A63}"/>
    <cellStyle name="60% - Akzent4 2 2 5 3" xfId="29241" xr:uid="{25CB768C-2B75-449E-BD87-0F15D82FD10B}"/>
    <cellStyle name="60% - Akzent4 2 2 6" xfId="9806" xr:uid="{BF2A423B-835D-4A4F-AD6A-D38B53893383}"/>
    <cellStyle name="60% - Akzent4 2 2 6 2" xfId="29243" xr:uid="{D257E6BB-1332-4DAD-95AF-1D952A697F54}"/>
    <cellStyle name="60% - Akzent4 2 2 7" xfId="9807" xr:uid="{410248B5-7846-4E1B-9CC7-98B3DB176C81}"/>
    <cellStyle name="60% - Akzent4 2 2 7 2" xfId="9808" xr:uid="{21EC1D26-0252-479E-9B3C-F78C5AF2EB60}"/>
    <cellStyle name="60% - Akzent4 2 2 7 2 2" xfId="29245" xr:uid="{9432D7BB-9E03-430B-B55E-B3211F0B00DA}"/>
    <cellStyle name="60% - Akzent4 2 2 7 3" xfId="29244" xr:uid="{D02313FA-33B6-41BF-A985-4D9E3263363E}"/>
    <cellStyle name="60% - Akzent4 2 2 8" xfId="9809" xr:uid="{C6D7624E-9404-493F-BB3D-5CC24BA85CE6}"/>
    <cellStyle name="60% - Akzent4 2 2 8 2" xfId="29246" xr:uid="{B6B55B27-31F0-484D-ABF8-384EC9B8745D}"/>
    <cellStyle name="60% - Akzent4 2 2 9" xfId="9810" xr:uid="{9C6A10F7-D6CD-40CD-AA29-E58B52B6A7FD}"/>
    <cellStyle name="60% - Akzent4 2 2 9 2" xfId="29247" xr:uid="{2B34A099-B0DF-493A-93D5-46E3C0009FEA}"/>
    <cellStyle name="60% - Akzent4 2 3" xfId="9811" xr:uid="{E9466B32-F28B-45B4-926F-C5D3CF5AD5DD}"/>
    <cellStyle name="60% - Akzent4 2 3 2" xfId="29248" xr:uid="{BC84AFC2-33C5-48BD-AE15-429ABC14904A}"/>
    <cellStyle name="60% - Akzent4 2 4" xfId="9812" xr:uid="{F9364605-CDB2-4D62-8201-6A9E2600D033}"/>
    <cellStyle name="60% - Akzent4 2 4 2" xfId="9813" xr:uid="{485C7C18-1B77-4C35-A110-DD3180933391}"/>
    <cellStyle name="60% - Akzent4 2 4 2 2" xfId="9814" xr:uid="{BED32FBC-AFF6-4770-B673-1059B04E2197}"/>
    <cellStyle name="60% - Akzent4 2 4 2 2 2" xfId="29251" xr:uid="{16D10B1A-D1B7-4378-8B99-D3FCC536A186}"/>
    <cellStyle name="60% - Akzent4 2 4 2 3" xfId="29250" xr:uid="{6C1FFBF6-9C5C-46C4-9F44-1EAA66911C54}"/>
    <cellStyle name="60% - Akzent4 2 4 3" xfId="9815" xr:uid="{55A0E81B-3B86-47A7-9141-933A16D0C5E2}"/>
    <cellStyle name="60% - Akzent4 2 4 3 2" xfId="29252" xr:uid="{9D9A244D-E0B0-435E-9B56-E810D246DF6E}"/>
    <cellStyle name="60% - Akzent4 2 4 4" xfId="9816" xr:uid="{7802EF86-0B74-4750-BB02-07E9CCD2203F}"/>
    <cellStyle name="60% - Akzent4 2 4 4 2" xfId="29253" xr:uid="{6BBDEEC4-A6EC-455B-A034-C8CE022E729D}"/>
    <cellStyle name="60% - Akzent4 2 4 5" xfId="29249" xr:uid="{76C34D15-FE6B-4035-B453-116F5241279D}"/>
    <cellStyle name="60% - Akzent4 2 5" xfId="9817" xr:uid="{3885F6A9-1180-4085-BA17-AF9624F68A06}"/>
    <cellStyle name="60% - Akzent4 2 5 2" xfId="29254" xr:uid="{8EE10C8F-2BFD-41BC-8F25-2E46AA275839}"/>
    <cellStyle name="60% - Akzent4 2 6" xfId="9818" xr:uid="{A26E760D-6DE3-45A4-A821-0F4F30AFF4A0}"/>
    <cellStyle name="60% - Akzent4 2 6 2" xfId="9819" xr:uid="{FC9698F9-2A28-474A-B5A5-94F01A43CE92}"/>
    <cellStyle name="60% - Akzent4 2 6 2 2" xfId="29256" xr:uid="{93840DDB-BAAA-4ACE-8AAD-8E736913A711}"/>
    <cellStyle name="60% - Akzent4 2 6 3" xfId="29255" xr:uid="{65518D3F-ADA0-400C-82F3-F9A53CD3CB86}"/>
    <cellStyle name="60% - Akzent4 2 7" xfId="9820" xr:uid="{F9385330-02F1-464A-A17C-5400563E3EF3}"/>
    <cellStyle name="60% - Akzent4 2 7 2" xfId="29257" xr:uid="{7D16A02C-E290-412C-B1F4-660921DA5B92}"/>
    <cellStyle name="60% - Akzent4 2 8" xfId="9821" xr:uid="{D0D1066A-8B1A-4EBE-A636-C6C76D6CADDC}"/>
    <cellStyle name="60% - Akzent4 2 8 2" xfId="9822" xr:uid="{4113B808-4992-4EFC-825D-E2A10F088D2B}"/>
    <cellStyle name="60% - Akzent4 2 8 2 2" xfId="29259" xr:uid="{91EEBF7A-0E7E-43CD-AFED-B7B4F980B0D5}"/>
    <cellStyle name="60% - Akzent4 2 8 3" xfId="29258" xr:uid="{66B13BC1-E1D0-48AF-BE9A-A37CFE4886D4}"/>
    <cellStyle name="60% - Akzent4 2 9" xfId="9823" xr:uid="{FC53B551-43FB-480C-B9D8-7C7A2E493A01}"/>
    <cellStyle name="60% - Akzent4 2 9 2" xfId="29260" xr:uid="{7985AE92-5B36-4255-B5C4-388E3FFCF53A}"/>
    <cellStyle name="60% - Akzent4 20" xfId="9824" xr:uid="{002F8A96-49A1-415F-BC9B-D03E8CAC5BC1}"/>
    <cellStyle name="60% - Akzent4 20 2" xfId="9825" xr:uid="{9EA01FD7-7EB8-4675-8057-B512E1F6A952}"/>
    <cellStyle name="60% - Akzent4 20 2 2" xfId="29262" xr:uid="{D3AEF34C-BDC5-46F2-B192-7B034ED7AE10}"/>
    <cellStyle name="60% - Akzent4 20 3" xfId="29261" xr:uid="{94E81767-3522-4BE6-A39A-E594B1C56DA7}"/>
    <cellStyle name="60% - Akzent4 21" xfId="9826" xr:uid="{A41FDC78-4051-4BF3-BDEB-CE012BC6E20F}"/>
    <cellStyle name="60% - Akzent4 21 2" xfId="9827" xr:uid="{183E1C56-58D4-4D15-9298-6339373B531A}"/>
    <cellStyle name="60% - Akzent4 21 2 2" xfId="29264" xr:uid="{A8C55A66-79BC-4D70-A7FC-EC91181C8AB8}"/>
    <cellStyle name="60% - Akzent4 21 3" xfId="29263" xr:uid="{AFBBF961-9984-425D-9A03-A3FE116A5D05}"/>
    <cellStyle name="60% - Akzent4 22" xfId="9828" xr:uid="{D34C15C9-E832-405B-AD41-12374F3B938A}"/>
    <cellStyle name="60% - Akzent4 22 2" xfId="9829" xr:uid="{B33CB782-3ECA-4237-8A62-61789C701272}"/>
    <cellStyle name="60% - Akzent4 22 2 2" xfId="29266" xr:uid="{7314D89B-0EAA-4B8D-A812-238767700C1D}"/>
    <cellStyle name="60% - Akzent4 22 3" xfId="29265" xr:uid="{0DC29C15-5DC5-441F-AB71-EE197B99CADB}"/>
    <cellStyle name="60% - Akzent4 23" xfId="9830" xr:uid="{D29B4EBB-59F8-483E-9635-F778CF5D6D34}"/>
    <cellStyle name="60% - Akzent4 23 2" xfId="9831" xr:uid="{72561951-8710-4141-AD1B-E85D6331CFCE}"/>
    <cellStyle name="60% - Akzent4 23 2 2" xfId="29268" xr:uid="{8E558D40-5764-4DA7-9ABF-68E60CA17B24}"/>
    <cellStyle name="60% - Akzent4 23 3" xfId="29267" xr:uid="{688241BB-EB6A-4665-AE47-987715E430C3}"/>
    <cellStyle name="60% - Akzent4 24" xfId="9832" xr:uid="{BB20C571-B5E2-4853-89C2-7C3FF288B843}"/>
    <cellStyle name="60% - Akzent4 24 2" xfId="9833" xr:uid="{00A61179-6D94-4B46-AE84-C7953AF009C7}"/>
    <cellStyle name="60% - Akzent4 24 2 2" xfId="29270" xr:uid="{BD4F414B-62A6-465D-8193-A343105B5612}"/>
    <cellStyle name="60% - Akzent4 24 3" xfId="29269" xr:uid="{C53E450C-3D9A-4E36-B947-7BBF2D753565}"/>
    <cellStyle name="60% - Akzent4 25" xfId="9834" xr:uid="{6B200FB6-827B-4EAA-8506-F817F886B038}"/>
    <cellStyle name="60% - Akzent4 25 2" xfId="9835" xr:uid="{1679807E-C90D-4E58-8937-6240AF563EE0}"/>
    <cellStyle name="60% - Akzent4 25 2 2" xfId="29272" xr:uid="{C6315046-853D-476D-A863-80226A74BD09}"/>
    <cellStyle name="60% - Akzent4 25 3" xfId="29271" xr:uid="{9AB1EE6B-BA0C-45BF-AC4D-E3ED1F654292}"/>
    <cellStyle name="60% - Akzent4 26" xfId="9836" xr:uid="{CC6DB38C-7399-4EBE-8B31-03D1BCE5AB37}"/>
    <cellStyle name="60% - Akzent4 26 2" xfId="9837" xr:uid="{C2A2F5F0-CAA3-45C0-93EB-5D1A6EEB2CE8}"/>
    <cellStyle name="60% - Akzent4 26 2 2" xfId="29274" xr:uid="{DD90A4F3-BA88-4C0F-9519-92ADF46DE4C1}"/>
    <cellStyle name="60% - Akzent4 26 3" xfId="29273" xr:uid="{EEE2BAA2-9D15-4E3B-BD20-A0234B0F01CE}"/>
    <cellStyle name="60% - Akzent4 27" xfId="9838" xr:uid="{52584CC0-D65B-43A4-8641-B38A43D92F3C}"/>
    <cellStyle name="60% - Akzent4 27 2" xfId="9839" xr:uid="{998B4E25-B709-4CF9-8606-449409CADD35}"/>
    <cellStyle name="60% - Akzent4 27 2 2" xfId="29276" xr:uid="{6C284B1B-B5E6-4B5A-9D2C-8240F08A66F6}"/>
    <cellStyle name="60% - Akzent4 27 3" xfId="29275" xr:uid="{11B7EEF2-2787-4DA4-975E-003886F649B4}"/>
    <cellStyle name="60% - Akzent4 28" xfId="9840" xr:uid="{609C2D70-C06C-4C24-9F8C-3AE7FFC3B5EC}"/>
    <cellStyle name="60% - Akzent4 28 2" xfId="9841" xr:uid="{112DC3BE-4636-4F25-A79E-D589D5D114B8}"/>
    <cellStyle name="60% - Akzent4 28 2 2" xfId="29278" xr:uid="{A89C3D67-7A8F-4CE3-B05F-6BAE0B551737}"/>
    <cellStyle name="60% - Akzent4 28 3" xfId="29277" xr:uid="{53E7ED39-A5F7-480E-9785-5BDD79950E2A}"/>
    <cellStyle name="60% - Akzent4 29" xfId="9842" xr:uid="{95FDF96A-BA49-4F40-AEEE-641DE9072A35}"/>
    <cellStyle name="60% - Akzent4 29 2" xfId="9843" xr:uid="{C2FA19E5-922A-4A63-992A-71356671990B}"/>
    <cellStyle name="60% - Akzent4 29 2 2" xfId="29280" xr:uid="{2F693E1E-4646-4626-AE24-A6D08F850812}"/>
    <cellStyle name="60% - Akzent4 29 3" xfId="29279" xr:uid="{B633DAE2-65B6-454D-83F2-6BC94A3A9474}"/>
    <cellStyle name="60% - Akzent4 3" xfId="9844" xr:uid="{D63C04FB-9AB9-4D6D-9DBF-68C5929596D1}"/>
    <cellStyle name="60% - Akzent4 3 10" xfId="39357" xr:uid="{8122CC3C-6002-4AC0-872C-B7F150F612D1}"/>
    <cellStyle name="60% - Akzent4 3 2" xfId="9845" xr:uid="{3CD6324D-F891-462D-BEE4-1FDD714FB00C}"/>
    <cellStyle name="60% - Akzent4 3 2 2" xfId="9846" xr:uid="{98181CE0-35B1-4603-9925-4C6A5D52FCF4}"/>
    <cellStyle name="60% - Akzent4 3 2 2 2" xfId="9847" xr:uid="{7BE8FDA5-E474-474C-A62C-3C164E9E5EF9}"/>
    <cellStyle name="60% - Akzent4 3 2 2 2 2" xfId="29284" xr:uid="{0AF5AEA1-6C07-4A99-9A92-2673C53BFAAF}"/>
    <cellStyle name="60% - Akzent4 3 2 2 3" xfId="29283" xr:uid="{93E35C61-8042-4393-8CEF-63D4DB28D560}"/>
    <cellStyle name="60% - Akzent4 3 2 3" xfId="9848" xr:uid="{9FC844D9-DADE-4902-9825-A4C9044044A0}"/>
    <cellStyle name="60% - Akzent4 3 2 3 2" xfId="29285" xr:uid="{43F54A64-CE92-4E92-800F-69F6F47937E8}"/>
    <cellStyle name="60% - Akzent4 3 2 4" xfId="9849" xr:uid="{AE51F2C5-1854-4AF6-AC74-A2F2945AB98A}"/>
    <cellStyle name="60% - Akzent4 3 2 4 2" xfId="29286" xr:uid="{412E434E-52E1-4D59-94E6-F3E8A90A97CA}"/>
    <cellStyle name="60% - Akzent4 3 2 5" xfId="29282" xr:uid="{71902F71-267E-4414-BDC5-3816D20C3368}"/>
    <cellStyle name="60% - Akzent4 3 2 6" xfId="39978" xr:uid="{8D090576-929B-4216-AFF5-4AF7A58ABAE6}"/>
    <cellStyle name="60% - Akzent4 3 3" xfId="9850" xr:uid="{34F9096B-2A9A-42B1-8227-07B53D7C2FD3}"/>
    <cellStyle name="60% - Akzent4 3 3 2" xfId="29287" xr:uid="{6AC35DD0-52C9-4A77-A372-70CF141ED1E1}"/>
    <cellStyle name="60% - Akzent4 3 4" xfId="9851" xr:uid="{E16DD014-01CF-4923-B0B5-CF093C66FB52}"/>
    <cellStyle name="60% - Akzent4 3 4 2" xfId="29288" xr:uid="{9CD51EFE-C64B-4DA5-8145-E183BD832163}"/>
    <cellStyle name="60% - Akzent4 3 5" xfId="9852" xr:uid="{8DD48A4F-FBDA-4EB7-8C5E-B6E9AE91D63F}"/>
    <cellStyle name="60% - Akzent4 3 5 2" xfId="9853" xr:uid="{D919CDEA-24B3-4C47-92F2-FABAF78AF41B}"/>
    <cellStyle name="60% - Akzent4 3 5 2 2" xfId="29290" xr:uid="{2EB40E6C-9FB6-458E-99FC-9B6BF1653339}"/>
    <cellStyle name="60% - Akzent4 3 5 3" xfId="29289" xr:uid="{AD5B8D36-315A-4D40-8BD5-13FBC86C9F0A}"/>
    <cellStyle name="60% - Akzent4 3 6" xfId="9854" xr:uid="{4B9AEB36-D92C-4EC9-8786-0EEEC317C2A5}"/>
    <cellStyle name="60% - Akzent4 3 6 2" xfId="29291" xr:uid="{FB0A645C-80E4-427B-BEF2-F11643A3820F}"/>
    <cellStyle name="60% - Akzent4 3 7" xfId="9855" xr:uid="{B9EF4C5D-7EB3-4F0D-9B1B-FA965B3E4455}"/>
    <cellStyle name="60% - Akzent4 3 7 2" xfId="29292" xr:uid="{BE382405-9B96-4B7A-8069-102092E07980}"/>
    <cellStyle name="60% - Akzent4 3 8" xfId="9856" xr:uid="{250016F1-6742-4098-BF0D-70C30B119D7C}"/>
    <cellStyle name="60% - Akzent4 3 8 2" xfId="29293" xr:uid="{35456A3D-D89E-483D-A81D-3661BD284640}"/>
    <cellStyle name="60% - Akzent4 3 9" xfId="29281" xr:uid="{9D133F45-4465-4947-9A10-C41F879D59C9}"/>
    <cellStyle name="60% - Akzent4 30" xfId="9857" xr:uid="{5611DE41-C02C-4AD1-9A29-9515B6FE5DD7}"/>
    <cellStyle name="60% - Akzent4 30 2" xfId="9858" xr:uid="{21C30357-C56C-4948-98A4-737120C74C38}"/>
    <cellStyle name="60% - Akzent4 30 2 2" xfId="29295" xr:uid="{A96D704A-5147-4263-86E1-D4543FC77DA6}"/>
    <cellStyle name="60% - Akzent4 30 3" xfId="29294" xr:uid="{0A75B11B-6315-49B8-BFFA-3FECEEF06726}"/>
    <cellStyle name="60% - Akzent4 31" xfId="9859" xr:uid="{B30F6EFD-BFA5-4096-AED6-5403A044CC45}"/>
    <cellStyle name="60% - Akzent4 31 2" xfId="9860" xr:uid="{F60966A7-3C8B-4730-94CD-576E76436389}"/>
    <cellStyle name="60% - Akzent4 31 2 2" xfId="29297" xr:uid="{032FE0A6-8017-4F95-8D0D-EA9DC4EA3E9A}"/>
    <cellStyle name="60% - Akzent4 31 3" xfId="29296" xr:uid="{BB6A99F9-6484-4BEE-8AB8-361E4871B47F}"/>
    <cellStyle name="60% - Akzent4 32" xfId="9861" xr:uid="{2033A2B5-57D2-4480-8417-4CC5DBECB230}"/>
    <cellStyle name="60% - Akzent4 32 2" xfId="9862" xr:uid="{A4340DA3-87E7-4776-8F58-C90B99A1693B}"/>
    <cellStyle name="60% - Akzent4 32 2 2" xfId="29299" xr:uid="{0005E4E1-1ABE-4E62-A79B-B7D179847BBA}"/>
    <cellStyle name="60% - Akzent4 32 3" xfId="29298" xr:uid="{E8338685-91AE-49F9-BEBE-53B381990A8C}"/>
    <cellStyle name="60% - Akzent4 33" xfId="9863" xr:uid="{FA9EB4D6-AB9F-42AB-871D-77DDD8E1872F}"/>
    <cellStyle name="60% - Akzent4 33 2" xfId="9864" xr:uid="{F9185103-5017-435E-9259-63F007ABCAB4}"/>
    <cellStyle name="60% - Akzent4 33 2 2" xfId="29301" xr:uid="{14333830-F7B2-477C-9CA6-52CC46670282}"/>
    <cellStyle name="60% - Akzent4 33 3" xfId="29300" xr:uid="{F408BCFE-B9B6-4AF5-9D9C-B1AF851E8822}"/>
    <cellStyle name="60% - Akzent4 34" xfId="9865" xr:uid="{C36D8F49-99E2-4F31-BE99-5FA30E998C03}"/>
    <cellStyle name="60% - Akzent4 34 2" xfId="9866" xr:uid="{46C93899-86D6-4FF4-9DA5-C85C070BEC3B}"/>
    <cellStyle name="60% - Akzent4 34 2 2" xfId="29303" xr:uid="{92C71DF1-757D-4951-AF66-4F9227CAE483}"/>
    <cellStyle name="60% - Akzent4 34 3" xfId="29302" xr:uid="{A753A8F3-4D51-4185-9E17-B8182C1D6E06}"/>
    <cellStyle name="60% - Akzent4 35" xfId="9867" xr:uid="{FDD001EA-5C27-4E55-9EF6-02FBE0B24093}"/>
    <cellStyle name="60% - Akzent4 35 2" xfId="9868" xr:uid="{4B145E0A-33AC-4990-B627-C80D502BC5EC}"/>
    <cellStyle name="60% - Akzent4 35 2 2" xfId="29305" xr:uid="{E210C07B-41B9-4887-ACBE-9F48953EA794}"/>
    <cellStyle name="60% - Akzent4 35 3" xfId="29304" xr:uid="{45C83F94-8013-4626-A862-E34D453B8BD4}"/>
    <cellStyle name="60% - Akzent4 36" xfId="9869" xr:uid="{D62D70C4-2F7A-4377-9F9A-DE30D6759C28}"/>
    <cellStyle name="60% - Akzent4 36 2" xfId="9870" xr:uid="{AD1AEBB2-2A5D-4414-B9B9-CF4FD0A588E5}"/>
    <cellStyle name="60% - Akzent4 36 2 2" xfId="29307" xr:uid="{F5E3D5A5-13C3-47E0-BD87-6B21CD984FE3}"/>
    <cellStyle name="60% - Akzent4 36 3" xfId="29306" xr:uid="{D7F61EE5-2386-48D9-BF4C-6AF8EAC2A324}"/>
    <cellStyle name="60% - Akzent4 37" xfId="29181" xr:uid="{C7032F84-A2FF-49E5-9D07-4C38A4CC678C}"/>
    <cellStyle name="60% - Akzent4 38" xfId="9744" xr:uid="{5BAD9F68-5C6D-49B0-A5D7-B3B03D9EF704}"/>
    <cellStyle name="60% - Akzent4 4" xfId="9871" xr:uid="{3BBAFC00-DD66-4C8F-ABC5-5F60D1F42248}"/>
    <cellStyle name="60% - Akzent4 4 2" xfId="9872" xr:uid="{C36B9C50-B579-4602-B122-F6BF80C8A449}"/>
    <cellStyle name="60% - Akzent4 4 2 2" xfId="9873" xr:uid="{60DCE504-A4A6-473A-8A1D-0A45D5B11A44}"/>
    <cellStyle name="60% - Akzent4 4 2 2 2" xfId="29310" xr:uid="{BD102557-2D70-44AC-8238-5B66E65D6C9D}"/>
    <cellStyle name="60% - Akzent4 4 2 3" xfId="29309" xr:uid="{D81DF717-4E3B-48B8-BFBE-8A798101B962}"/>
    <cellStyle name="60% - Akzent4 4 2 4" xfId="39979" xr:uid="{74472701-91DB-4121-A292-AD3ADDB1BF16}"/>
    <cellStyle name="60% - Akzent4 4 3" xfId="9874" xr:uid="{EAD7E879-BB86-44D4-B3AC-C2AC38BF520F}"/>
    <cellStyle name="60% - Akzent4 4 3 2" xfId="29311" xr:uid="{5C1EE4A3-FF0F-4415-8432-B8392EBFA25F}"/>
    <cellStyle name="60% - Akzent4 4 4" xfId="9875" xr:uid="{D5256C83-272C-4410-8A7D-1AAC002763A9}"/>
    <cellStyle name="60% - Akzent4 4 4 2" xfId="29312" xr:uid="{45B0A8D1-10C9-4A5C-9C6A-D094BF8F2C90}"/>
    <cellStyle name="60% - Akzent4 4 5" xfId="9876" xr:uid="{10361660-33EB-4CE4-ABD2-68519F46F7F9}"/>
    <cellStyle name="60% - Akzent4 4 5 2" xfId="29313" xr:uid="{17B18E9B-1608-431B-8744-C616113BC4AE}"/>
    <cellStyle name="60% - Akzent4 4 6" xfId="9877" xr:uid="{DE311FCD-1217-4A88-B2C4-97DA75851B1D}"/>
    <cellStyle name="60% - Akzent4 4 6 2" xfId="29314" xr:uid="{2F9429D3-E9FA-4272-BA59-A53BDCD89321}"/>
    <cellStyle name="60% - Akzent4 4 7" xfId="29308" xr:uid="{19EE65C4-BA9D-473B-B25C-99D74F9335C7}"/>
    <cellStyle name="60% - Akzent4 4 8" xfId="39358" xr:uid="{8AFDD27E-F29B-4CFB-9539-990720BA9A6F}"/>
    <cellStyle name="60% - Akzent4 5" xfId="9878" xr:uid="{1B7B3C12-16A3-44A5-9265-8358EFC03923}"/>
    <cellStyle name="60% - Akzent4 5 2" xfId="9879" xr:uid="{39DDA31B-E1F5-4045-A12D-507D6BA56DAA}"/>
    <cellStyle name="60% - Akzent4 5 2 2" xfId="29316" xr:uid="{DCF52BC5-2EB2-459A-99A0-F89A31C71583}"/>
    <cellStyle name="60% - Akzent4 5 3" xfId="9880" xr:uid="{D33CD767-55E6-4AE5-B34D-F988A6C1C023}"/>
    <cellStyle name="60% - Akzent4 5 3 2" xfId="29317" xr:uid="{0BE19A3F-C520-423F-BE32-446E313061F3}"/>
    <cellStyle name="60% - Akzent4 5 4" xfId="9881" xr:uid="{9A78AE20-36CD-48AA-BC08-488C49AFCBBA}"/>
    <cellStyle name="60% - Akzent4 5 4 2" xfId="29318" xr:uid="{EEF0105D-15CA-4B16-A7E6-7ABB8D97B55A}"/>
    <cellStyle name="60% - Akzent4 5 5" xfId="29315" xr:uid="{BF21C01C-5DA7-4904-A2E0-3B7C7DB9C96C}"/>
    <cellStyle name="60% - Akzent4 5 6" xfId="39359" xr:uid="{957E85C1-EB13-456B-8EE7-4E6B94B87A2F}"/>
    <cellStyle name="60% - Akzent4 6" xfId="9882" xr:uid="{D3ACB48E-E46A-4046-A8A1-2914F15E6DD4}"/>
    <cellStyle name="60% - Akzent4 6 2" xfId="9883" xr:uid="{B809342F-CCBB-4A4F-94E8-BE41FF260419}"/>
    <cellStyle name="60% - Akzent4 6 2 2" xfId="29320" xr:uid="{C19C0CE9-D6DD-4D74-B6C4-F1DD2CF44644}"/>
    <cellStyle name="60% - Akzent4 6 3" xfId="9884" xr:uid="{1D36AA6E-FC05-4CE2-B1FA-24F1C6EBA49D}"/>
    <cellStyle name="60% - Akzent4 6 3 2" xfId="29321" xr:uid="{9A97654C-9187-41EE-A87F-4A5D47B79326}"/>
    <cellStyle name="60% - Akzent4 6 4" xfId="9885" xr:uid="{03215ECC-3861-4127-B087-183CA3E34E74}"/>
    <cellStyle name="60% - Akzent4 6 4 2" xfId="29322" xr:uid="{1B63512C-9ED8-4D11-A112-DA726882A536}"/>
    <cellStyle name="60% - Akzent4 6 5" xfId="29319" xr:uid="{950BD0E6-797B-4BEE-A21D-6E629BEDDC94}"/>
    <cellStyle name="60% - Akzent4 6 6" xfId="39354" xr:uid="{B1260D77-B459-481E-89C6-F4D7B4F0B7BC}"/>
    <cellStyle name="60% - Akzent4 7" xfId="9886" xr:uid="{5522B535-8FD6-4215-8BDD-3CD226CA907C}"/>
    <cellStyle name="60% - Akzent4 7 2" xfId="9887" xr:uid="{8D12FEE8-076F-4B52-B41A-1B995058C497}"/>
    <cellStyle name="60% - Akzent4 7 2 2" xfId="29324" xr:uid="{E6A5FCDA-CCFB-4D53-A22F-AC69E4B8F560}"/>
    <cellStyle name="60% - Akzent4 7 3" xfId="29323" xr:uid="{0AA9D507-FB8C-4130-8357-FC9FEB9FB06D}"/>
    <cellStyle name="60% - Akzent4 8" xfId="9888" xr:uid="{1D671AF6-38AD-4B9B-A71E-E80A54956490}"/>
    <cellStyle name="60% - Akzent4 8 2" xfId="9889" xr:uid="{29D0D033-10BC-445C-8C68-4D1663240DB4}"/>
    <cellStyle name="60% - Akzent4 8 2 2" xfId="29326" xr:uid="{CADCCA89-18C9-4092-AAFB-BC0F4E06E8BE}"/>
    <cellStyle name="60% - Akzent4 8 3" xfId="29325" xr:uid="{F66A267B-9A7C-4CD5-A624-5EE2C0287F07}"/>
    <cellStyle name="60% - Akzent4 9" xfId="9890" xr:uid="{602D6036-B2D2-48FD-816A-77C3735F09B1}"/>
    <cellStyle name="60% - Akzent4 9 2" xfId="9891" xr:uid="{5F76952F-D66B-47FB-A2B9-0B4178F35F5B}"/>
    <cellStyle name="60% - Akzent4 9 2 2" xfId="29328" xr:uid="{A6D81C86-D404-4573-9E9A-9DB95FE89119}"/>
    <cellStyle name="60% - Akzent4 9 3" xfId="29327" xr:uid="{FA3680FA-7EBD-473F-9584-E2E600E1DC27}"/>
    <cellStyle name="60% - Akzent5 10" xfId="9893" xr:uid="{7C18EE6E-6957-4F39-B2F8-76907AC37C41}"/>
    <cellStyle name="60% - Akzent5 10 2" xfId="9894" xr:uid="{8F66B598-D44F-47E5-82A2-E1261BB6DC58}"/>
    <cellStyle name="60% - Akzent5 10 2 2" xfId="29331" xr:uid="{1121A870-4F9A-4D33-A456-B020568C5197}"/>
    <cellStyle name="60% - Akzent5 10 3" xfId="29330" xr:uid="{A718622F-BDBE-4474-BDB2-1EF4EF8498F8}"/>
    <cellStyle name="60% - Akzent5 11" xfId="9895" xr:uid="{B5572BE1-AB36-49C8-9534-AAF04B90B122}"/>
    <cellStyle name="60% - Akzent5 11 2" xfId="9896" xr:uid="{5BF917A0-161C-4CFF-A7D8-3A1BC9E13F25}"/>
    <cellStyle name="60% - Akzent5 11 2 2" xfId="29333" xr:uid="{DED96DF9-1ACC-4163-8CF6-AFDD1637C2B8}"/>
    <cellStyle name="60% - Akzent5 11 3" xfId="29332" xr:uid="{6AEF77A1-7005-4C46-A468-7D401C29767E}"/>
    <cellStyle name="60% - Akzent5 12" xfId="9897" xr:uid="{766039A1-F762-4402-934C-7FB20DD3C121}"/>
    <cellStyle name="60% - Akzent5 12 2" xfId="9898" xr:uid="{394B4BB2-E849-43F2-9954-B0E222565C0F}"/>
    <cellStyle name="60% - Akzent5 12 2 2" xfId="29335" xr:uid="{50D144A0-DEDC-4FBD-BA6E-E46D1FB0819B}"/>
    <cellStyle name="60% - Akzent5 12 3" xfId="29334" xr:uid="{ADF86EBA-8570-4218-8B2F-7676BCAB956F}"/>
    <cellStyle name="60% - Akzent5 13" xfId="9899" xr:uid="{3A3AB939-86FE-4DDF-97E0-5A793D3A5E1E}"/>
    <cellStyle name="60% - Akzent5 13 2" xfId="9900" xr:uid="{6B715F9C-B5FF-4796-A81F-2B2D9E2F29CA}"/>
    <cellStyle name="60% - Akzent5 13 2 2" xfId="29337" xr:uid="{53E3879F-EEAB-4203-B1E6-4BE46F4BEC61}"/>
    <cellStyle name="60% - Akzent5 13 3" xfId="29336" xr:uid="{DBAE7A21-F315-4948-BB2C-A8D9364BBC6C}"/>
    <cellStyle name="60% - Akzent5 14" xfId="9901" xr:uid="{93246F4D-F3AF-4855-BD4C-66D8E7CFAAF4}"/>
    <cellStyle name="60% - Akzent5 14 2" xfId="9902" xr:uid="{5ECF3012-C4F2-4A62-8556-32CEBAF52C5A}"/>
    <cellStyle name="60% - Akzent5 14 2 2" xfId="29339" xr:uid="{D0BF536E-DF6B-42A9-B8AB-B2F3E4E1A96E}"/>
    <cellStyle name="60% - Akzent5 14 3" xfId="29338" xr:uid="{E0C60779-A004-4BE7-A4DC-ED95EC56F648}"/>
    <cellStyle name="60% - Akzent5 15" xfId="9903" xr:uid="{1FEA571E-7CE6-4A6E-9495-AC2143354988}"/>
    <cellStyle name="60% - Akzent5 15 2" xfId="9904" xr:uid="{1E5B9397-6C00-4250-8EDC-4E5955FAAC1C}"/>
    <cellStyle name="60% - Akzent5 15 2 2" xfId="29341" xr:uid="{6B79156D-D28C-40D7-B7B0-9DC047586BA8}"/>
    <cellStyle name="60% - Akzent5 15 3" xfId="29340" xr:uid="{46FCE2AC-5A66-46CA-8351-3B75977A9C9E}"/>
    <cellStyle name="60% - Akzent5 16" xfId="9905" xr:uid="{B342C3EE-7B22-4C48-B0B4-4B55AAF4A180}"/>
    <cellStyle name="60% - Akzent5 16 2" xfId="9906" xr:uid="{3BDB055F-8112-4094-B1B2-59F0EA8F44A9}"/>
    <cellStyle name="60% - Akzent5 16 2 2" xfId="29343" xr:uid="{8212FEDF-3A66-4507-9E18-E875245EAE02}"/>
    <cellStyle name="60% - Akzent5 16 3" xfId="29342" xr:uid="{41CFBFC5-978C-4891-A962-D877C3AF6C6A}"/>
    <cellStyle name="60% - Akzent5 17" xfId="9907" xr:uid="{389FDF87-7C86-4209-9069-668CD88C62F5}"/>
    <cellStyle name="60% - Akzent5 17 2" xfId="9908" xr:uid="{52573160-F857-4A24-9E42-4EB7617E0DA8}"/>
    <cellStyle name="60% - Akzent5 17 2 2" xfId="29345" xr:uid="{DCD578E2-73F2-4470-9523-717D3D6F6155}"/>
    <cellStyle name="60% - Akzent5 17 3" xfId="29344" xr:uid="{380BC5C6-100C-4D13-B814-E641EB892236}"/>
    <cellStyle name="60% - Akzent5 18" xfId="9909" xr:uid="{22C55BD7-B9B3-46C4-A8C9-46F06164DB02}"/>
    <cellStyle name="60% - Akzent5 18 2" xfId="9910" xr:uid="{0F860174-06B9-4116-AB6B-E23F4621E775}"/>
    <cellStyle name="60% - Akzent5 18 2 2" xfId="29347" xr:uid="{C6B1DBAE-1FDF-43FF-ABB5-3302322BCE1F}"/>
    <cellStyle name="60% - Akzent5 18 3" xfId="29346" xr:uid="{B78533AB-96DC-469F-8F2B-97786F3339E1}"/>
    <cellStyle name="60% - Akzent5 19" xfId="9911" xr:uid="{D123271C-017F-48D1-893C-DEEF3783B473}"/>
    <cellStyle name="60% - Akzent5 19 2" xfId="9912" xr:uid="{B1A88A9D-463C-4605-9D66-CB08ACA2313B}"/>
    <cellStyle name="60% - Akzent5 19 2 2" xfId="29349" xr:uid="{CE47D08C-CBCE-4C45-856F-1E83CEB94ED9}"/>
    <cellStyle name="60% - Akzent5 19 3" xfId="29348" xr:uid="{C7209E23-1166-48EE-B96C-586B5ECD0343}"/>
    <cellStyle name="60% - Akzent5 2" xfId="9913" xr:uid="{9D7769BB-B8AF-4DCE-A9A0-E1E374C2C5FD}"/>
    <cellStyle name="60% - Akzent5 2 10" xfId="9914" xr:uid="{8C45B172-C6E1-4AB3-BB39-DC5D90362F6A}"/>
    <cellStyle name="60% - Akzent5 2 10 2" xfId="29351" xr:uid="{AF4B9D04-46EC-441B-B561-20E9043A496B}"/>
    <cellStyle name="60% - Akzent5 2 11" xfId="9915" xr:uid="{9FA4D354-6383-41FE-87BD-A9B21E5EB740}"/>
    <cellStyle name="60% - Akzent5 2 11 2" xfId="29352" xr:uid="{707D621E-793E-4571-9C1B-1A0E96D45206}"/>
    <cellStyle name="60% - Akzent5 2 12" xfId="9916" xr:uid="{B55AE610-39E5-4CE1-9F7F-336D88969434}"/>
    <cellStyle name="60% - Akzent5 2 12 2" xfId="29353" xr:uid="{60E2F3E0-4905-4093-853C-C82DE88649EF}"/>
    <cellStyle name="60% - Akzent5 2 13" xfId="9917" xr:uid="{4ADAAF86-7FD1-40BF-AC55-D20803BCC3BC}"/>
    <cellStyle name="60% - Akzent5 2 13 2" xfId="29354" xr:uid="{272DBEA5-7696-4D9D-8595-48B00F64BEDF}"/>
    <cellStyle name="60% - Akzent5 2 14" xfId="9918" xr:uid="{B8E4CAF7-04C1-4ABE-A77F-7E80923AFF11}"/>
    <cellStyle name="60% - Akzent5 2 14 2" xfId="29355" xr:uid="{278CBADA-A807-4E11-8894-F4A725BFB73B}"/>
    <cellStyle name="60% - Akzent5 2 15" xfId="29350" xr:uid="{D5C0EC7A-ACD4-457C-8245-2265CAB79CFD}"/>
    <cellStyle name="60% - Akzent5 2 16" xfId="39361" xr:uid="{661FFE7E-3408-4CB0-96E7-1046EC598520}"/>
    <cellStyle name="60% - Akzent5 2 2" xfId="9919" xr:uid="{76D39C6F-DE21-4E02-B91D-88F49778BDE2}"/>
    <cellStyle name="60% - Akzent5 2 2 10" xfId="9920" xr:uid="{60C310C2-B537-41F0-B35A-E90D26167F77}"/>
    <cellStyle name="60% - Akzent5 2 2 10 2" xfId="29357" xr:uid="{487065A0-5A74-4367-B4F3-529B8B4958CB}"/>
    <cellStyle name="60% - Akzent5 2 2 11" xfId="9921" xr:uid="{FCEAE6F3-CC21-412A-9295-9CA27B5A5556}"/>
    <cellStyle name="60% - Akzent5 2 2 11 2" xfId="29358" xr:uid="{F8E919C8-A33E-4314-9409-E8A796C01D61}"/>
    <cellStyle name="60% - Akzent5 2 2 12" xfId="9922" xr:uid="{7D08D12C-CB87-4116-B33E-3195989AB274}"/>
    <cellStyle name="60% - Akzent5 2 2 12 2" xfId="29359" xr:uid="{F5AB41AE-FE65-41F0-A145-040F88BF5C00}"/>
    <cellStyle name="60% - Akzent5 2 2 13" xfId="29356" xr:uid="{ED6C10F7-D300-4ACE-AD06-AB3A1282626F}"/>
    <cellStyle name="60% - Akzent5 2 2 14" xfId="39362" xr:uid="{F7ECC5E1-18B6-4AFA-B2AB-CE7D0488BBF4}"/>
    <cellStyle name="60% - Akzent5 2 2 2" xfId="9923" xr:uid="{2B582D11-4365-4DD2-BF7D-475734947945}"/>
    <cellStyle name="60% - Akzent5 2 2 2 10" xfId="9924" xr:uid="{F4DD3A10-FBB3-44B5-BDEC-D287C339C0AD}"/>
    <cellStyle name="60% - Akzent5 2 2 2 10 2" xfId="29361" xr:uid="{D47288A3-CB28-4040-B69F-4DEC5C3F28BE}"/>
    <cellStyle name="60% - Akzent5 2 2 2 11" xfId="29360" xr:uid="{F8A43A3E-531B-442D-8695-1676E64EA13A}"/>
    <cellStyle name="60% - Akzent5 2 2 2 2" xfId="9925" xr:uid="{A8491A28-4C90-4227-9A6C-D63294F61D64}"/>
    <cellStyle name="60% - Akzent5 2 2 2 2 2" xfId="9926" xr:uid="{6E9055EE-9428-4B7F-AC5C-9F0833BB05CA}"/>
    <cellStyle name="60% - Akzent5 2 2 2 2 2 2" xfId="9927" xr:uid="{BD5849E0-6C34-4B46-88DA-C505945114A1}"/>
    <cellStyle name="60% - Akzent5 2 2 2 2 2 2 2" xfId="9928" xr:uid="{BA7B8613-6046-4A65-BEA0-C1E2A0825507}"/>
    <cellStyle name="60% - Akzent5 2 2 2 2 2 2 2 2" xfId="29365" xr:uid="{36BE82B5-DD7E-4B09-BFC5-5CC2405BE286}"/>
    <cellStyle name="60% - Akzent5 2 2 2 2 2 2 3" xfId="29364" xr:uid="{CD6B6EA5-43D1-470F-A2C2-A46274481CF0}"/>
    <cellStyle name="60% - Akzent5 2 2 2 2 2 3" xfId="9929" xr:uid="{E95E0C0D-4632-4CFD-8DF0-862098972CCE}"/>
    <cellStyle name="60% - Akzent5 2 2 2 2 2 3 2" xfId="29366" xr:uid="{7EC4C29E-CD25-4192-8091-BD3E153067E2}"/>
    <cellStyle name="60% - Akzent5 2 2 2 2 2 4" xfId="9930" xr:uid="{19AC133A-F9C4-40AF-8629-76BC947D184B}"/>
    <cellStyle name="60% - Akzent5 2 2 2 2 2 4 2" xfId="29367" xr:uid="{0B3F9A5F-788B-4BC3-A9F6-7893F7F0074D}"/>
    <cellStyle name="60% - Akzent5 2 2 2 2 2 5" xfId="9931" xr:uid="{5A231C5D-2145-4475-8005-5F77196950E8}"/>
    <cellStyle name="60% - Akzent5 2 2 2 2 2 5 2" xfId="29368" xr:uid="{837FF329-C619-47F8-8098-208EF1C82565}"/>
    <cellStyle name="60% - Akzent5 2 2 2 2 2 6" xfId="9932" xr:uid="{3C6177A6-39B0-4959-961A-AA39FCB7935D}"/>
    <cellStyle name="60% - Akzent5 2 2 2 2 2 6 2" xfId="29369" xr:uid="{8C121AA8-E092-4FFF-82FA-D0FB53FEACBF}"/>
    <cellStyle name="60% - Akzent5 2 2 2 2 2 7" xfId="9933" xr:uid="{AD29FBF4-F19E-4A4C-8A5A-2D7C02FCEBDB}"/>
    <cellStyle name="60% - Akzent5 2 2 2 2 2 7 2" xfId="29370" xr:uid="{FBFEB891-6128-468F-8E46-D4E3ACAAB20E}"/>
    <cellStyle name="60% - Akzent5 2 2 2 2 2 8" xfId="9934" xr:uid="{D6E2E76F-01AC-4521-8F85-F9F5CA922926}"/>
    <cellStyle name="60% - Akzent5 2 2 2 2 2 8 2" xfId="29371" xr:uid="{B37EA2FD-7E8F-4274-9EAA-89119574FA14}"/>
    <cellStyle name="60% - Akzent5 2 2 2 2 2 9" xfId="29363" xr:uid="{4DAC033D-8338-4BBF-B8DE-41114642B2E9}"/>
    <cellStyle name="60% - Akzent5 2 2 2 2 3" xfId="9935" xr:uid="{3C42E069-4155-420D-A8E4-AEC663023616}"/>
    <cellStyle name="60% - Akzent5 2 2 2 2 3 2" xfId="9936" xr:uid="{F6202133-4294-4F4D-8525-231BA1B916A5}"/>
    <cellStyle name="60% - Akzent5 2 2 2 2 3 2 2" xfId="29373" xr:uid="{6C3DCC88-A96B-4A41-BCB5-73BA587DDC21}"/>
    <cellStyle name="60% - Akzent5 2 2 2 2 3 3" xfId="29372" xr:uid="{A516B56B-169B-4247-AE64-E54D9D83D867}"/>
    <cellStyle name="60% - Akzent5 2 2 2 2 4" xfId="9937" xr:uid="{9761FD31-027C-4D48-B3E4-5E570F1FAF7A}"/>
    <cellStyle name="60% - Akzent5 2 2 2 2 4 2" xfId="29374" xr:uid="{12A07BF2-486C-42E7-A1D3-7302EEA35A44}"/>
    <cellStyle name="60% - Akzent5 2 2 2 2 5" xfId="9938" xr:uid="{EA245C33-A39F-4109-AF8C-279402B9FE5B}"/>
    <cellStyle name="60% - Akzent5 2 2 2 2 5 2" xfId="29375" xr:uid="{BC632F5C-C20D-4A3B-B1FE-A875DAF682CC}"/>
    <cellStyle name="60% - Akzent5 2 2 2 2 6" xfId="9939" xr:uid="{C55D6140-97FD-4239-A43B-158F445D3C31}"/>
    <cellStyle name="60% - Akzent5 2 2 2 2 6 2" xfId="29376" xr:uid="{2B2375BE-F02A-4ED4-8E53-DAB2901FA8D9}"/>
    <cellStyle name="60% - Akzent5 2 2 2 2 7" xfId="9940" xr:uid="{A4F90842-B2CB-4775-8E11-74EF89903592}"/>
    <cellStyle name="60% - Akzent5 2 2 2 2 7 2" xfId="29377" xr:uid="{5AF75BF3-2180-418C-AA54-0B8F18779E52}"/>
    <cellStyle name="60% - Akzent5 2 2 2 2 8" xfId="9941" xr:uid="{04EF496A-CA02-4532-A1F8-5EF1FE356CB2}"/>
    <cellStyle name="60% - Akzent5 2 2 2 2 8 2" xfId="29378" xr:uid="{A53CCB1E-F7F0-4D0C-B962-FF64F7DDEA70}"/>
    <cellStyle name="60% - Akzent5 2 2 2 2 9" xfId="29362" xr:uid="{7024EB51-0A87-4223-A54A-E3DF93F3F703}"/>
    <cellStyle name="60% - Akzent5 2 2 2 3" xfId="9942" xr:uid="{3AFA2773-7C5E-4C5B-9AA8-8FB52286C2CE}"/>
    <cellStyle name="60% - Akzent5 2 2 2 3 2" xfId="29379" xr:uid="{E7F9B9DC-D00E-4591-B0B0-2C99241A3852}"/>
    <cellStyle name="60% - Akzent5 2 2 2 4" xfId="9943" xr:uid="{74D6816E-8FBC-45F9-A532-6B4CD836B2FB}"/>
    <cellStyle name="60% - Akzent5 2 2 2 4 2" xfId="29380" xr:uid="{A4084837-5F6B-414D-A906-CE2DC6C51BCA}"/>
    <cellStyle name="60% - Akzent5 2 2 2 5" xfId="9944" xr:uid="{D9B899C3-7C50-4910-9ED8-8A09280BB457}"/>
    <cellStyle name="60% - Akzent5 2 2 2 5 2" xfId="9945" xr:uid="{193AAA66-F58C-45B0-862F-C7E86AC344B8}"/>
    <cellStyle name="60% - Akzent5 2 2 2 5 2 2" xfId="29382" xr:uid="{877DDDAD-2549-4937-A64A-33C6B9BEBC2E}"/>
    <cellStyle name="60% - Akzent5 2 2 2 5 3" xfId="29381" xr:uid="{FE407184-52B3-4AE2-A722-EE3A083E6C18}"/>
    <cellStyle name="60% - Akzent5 2 2 2 6" xfId="9946" xr:uid="{AF937973-2BDD-48C2-B86E-D68A0E7601D8}"/>
    <cellStyle name="60% - Akzent5 2 2 2 6 2" xfId="29383" xr:uid="{C307E03E-78A4-42D4-9248-313FE55E97B9}"/>
    <cellStyle name="60% - Akzent5 2 2 2 7" xfId="9947" xr:uid="{B91F888E-3C31-4D1F-A019-A2303C7CF294}"/>
    <cellStyle name="60% - Akzent5 2 2 2 7 2" xfId="29384" xr:uid="{B2DDBCDD-DFDD-4D52-914F-59FCEE6CD798}"/>
    <cellStyle name="60% - Akzent5 2 2 2 8" xfId="9948" xr:uid="{39D430BC-6D19-4625-922C-B8562DB2CB9A}"/>
    <cellStyle name="60% - Akzent5 2 2 2 8 2" xfId="29385" xr:uid="{2B3E05C1-8230-4713-9306-B085F0C46566}"/>
    <cellStyle name="60% - Akzent5 2 2 2 9" xfId="9949" xr:uid="{CE538042-D2B5-4A93-83BC-90A214E52B2A}"/>
    <cellStyle name="60% - Akzent5 2 2 2 9 2" xfId="29386" xr:uid="{36158444-47F7-4F5A-874F-07D9556CCF0F}"/>
    <cellStyle name="60% - Akzent5 2 2 3" xfId="9950" xr:uid="{94EB2FD3-483C-48E9-B580-509915BB6995}"/>
    <cellStyle name="60% - Akzent5 2 2 3 2" xfId="29387" xr:uid="{158A2DE7-9247-4FCB-96C6-30735DB29121}"/>
    <cellStyle name="60% - Akzent5 2 2 4" xfId="9951" xr:uid="{B0903360-0A18-4D91-A224-10C969CBE024}"/>
    <cellStyle name="60% - Akzent5 2 2 4 2" xfId="29388" xr:uid="{145C0371-E36A-42CF-95BD-4FA46F3E4B33}"/>
    <cellStyle name="60% - Akzent5 2 2 5" xfId="9952" xr:uid="{6F906CD0-0167-4681-A8BF-825F6924A3A2}"/>
    <cellStyle name="60% - Akzent5 2 2 5 2" xfId="9953" xr:uid="{FE843AA7-3504-427D-89E0-4F92F8D6BAB5}"/>
    <cellStyle name="60% - Akzent5 2 2 5 2 2" xfId="29390" xr:uid="{FE004FEF-2D56-4A90-94FF-AA0E2217202E}"/>
    <cellStyle name="60% - Akzent5 2 2 5 3" xfId="29389" xr:uid="{0E581F68-3893-4816-82BB-5466C1A7422C}"/>
    <cellStyle name="60% - Akzent5 2 2 6" xfId="9954" xr:uid="{603F9A09-5707-47C5-9D80-E88772682A46}"/>
    <cellStyle name="60% - Akzent5 2 2 6 2" xfId="29391" xr:uid="{49069038-3BCE-405D-B7DC-C0F1F2615258}"/>
    <cellStyle name="60% - Akzent5 2 2 7" xfId="9955" xr:uid="{094F243E-DF06-43BE-A916-E8FEA1A048C3}"/>
    <cellStyle name="60% - Akzent5 2 2 7 2" xfId="9956" xr:uid="{3EAD4C8A-382B-4EA9-8B12-48523A530715}"/>
    <cellStyle name="60% - Akzent5 2 2 7 2 2" xfId="29393" xr:uid="{16B3E74F-E674-43F5-8640-63B981520C4A}"/>
    <cellStyle name="60% - Akzent5 2 2 7 3" xfId="29392" xr:uid="{294AE66A-6FD8-4866-BF6B-05BC448CF056}"/>
    <cellStyle name="60% - Akzent5 2 2 8" xfId="9957" xr:uid="{C6EC55A9-55EC-45A6-A5FC-CE49111C6BD3}"/>
    <cellStyle name="60% - Akzent5 2 2 8 2" xfId="29394" xr:uid="{ACE2005F-08BA-43FE-9495-701FBCDD4C3A}"/>
    <cellStyle name="60% - Akzent5 2 2 9" xfId="9958" xr:uid="{0DA82467-533D-4A25-B0CD-1A6366CC3B4A}"/>
    <cellStyle name="60% - Akzent5 2 2 9 2" xfId="29395" xr:uid="{90E30983-838E-4E69-83CE-618D51E7DC13}"/>
    <cellStyle name="60% - Akzent5 2 3" xfId="9959" xr:uid="{79EF6693-8B90-45E7-A118-9D082A6A5625}"/>
    <cellStyle name="60% - Akzent5 2 3 2" xfId="29396" xr:uid="{1DC9D3B1-89D3-4E41-B92E-A656F0A949BE}"/>
    <cellStyle name="60% - Akzent5 2 4" xfId="9960" xr:uid="{D421F520-6BB6-45D0-B59F-47F04076D56A}"/>
    <cellStyle name="60% - Akzent5 2 4 2" xfId="9961" xr:uid="{7E9ADAA9-4346-4CD1-9038-182354FA215C}"/>
    <cellStyle name="60% - Akzent5 2 4 2 2" xfId="9962" xr:uid="{D48C39A2-796B-4AD8-92D7-12F2C1962AF5}"/>
    <cellStyle name="60% - Akzent5 2 4 2 2 2" xfId="29399" xr:uid="{B1E83116-665E-4FF2-B03B-090B9BCCA3CD}"/>
    <cellStyle name="60% - Akzent5 2 4 2 3" xfId="29398" xr:uid="{AE9DB05B-719C-4BCF-98FF-906DFFC08945}"/>
    <cellStyle name="60% - Akzent5 2 4 3" xfId="9963" xr:uid="{BC96EB9E-6603-4D42-93F2-BA78FA2E31A9}"/>
    <cellStyle name="60% - Akzent5 2 4 3 2" xfId="29400" xr:uid="{A102A7DE-86C7-4D28-9185-FA688C444A03}"/>
    <cellStyle name="60% - Akzent5 2 4 4" xfId="9964" xr:uid="{D0026F08-9082-4C30-ABF3-3963AE3F59D5}"/>
    <cellStyle name="60% - Akzent5 2 4 4 2" xfId="29401" xr:uid="{90632075-8C4F-4A54-A305-B9EC02A53DFC}"/>
    <cellStyle name="60% - Akzent5 2 4 5" xfId="29397" xr:uid="{2A3AA2CA-2219-4D02-93DD-AEC320BA2FA2}"/>
    <cellStyle name="60% - Akzent5 2 5" xfId="9965" xr:uid="{FD4D3C4B-725C-4E73-A8F8-0B3C04EB007D}"/>
    <cellStyle name="60% - Akzent5 2 5 2" xfId="29402" xr:uid="{F97C7C32-AA8B-4EEE-BAEF-7E69F25427C0}"/>
    <cellStyle name="60% - Akzent5 2 6" xfId="9966" xr:uid="{E2C745EB-A23A-46EB-A1F6-FF86AC8B9481}"/>
    <cellStyle name="60% - Akzent5 2 6 2" xfId="9967" xr:uid="{5D9B4960-D1E4-49FA-8E77-55C8D6269065}"/>
    <cellStyle name="60% - Akzent5 2 6 2 2" xfId="29404" xr:uid="{5B45EB54-6D5A-4413-9528-B6F6ACECF93F}"/>
    <cellStyle name="60% - Akzent5 2 6 3" xfId="29403" xr:uid="{C1A34349-5601-4F26-9133-FC2D1D6CE321}"/>
    <cellStyle name="60% - Akzent5 2 7" xfId="9968" xr:uid="{76D01CB6-5CAE-4941-9353-AD8C0AB0060B}"/>
    <cellStyle name="60% - Akzent5 2 7 2" xfId="29405" xr:uid="{DBC45EE9-51B8-4363-B3D4-2417CCA31374}"/>
    <cellStyle name="60% - Akzent5 2 8" xfId="9969" xr:uid="{BB84A0F8-92BA-45DE-9D48-96ED84D5C41B}"/>
    <cellStyle name="60% - Akzent5 2 8 2" xfId="9970" xr:uid="{5DFE7FBD-ACA3-44BC-91E9-D0AD082D4484}"/>
    <cellStyle name="60% - Akzent5 2 8 2 2" xfId="29407" xr:uid="{D7589913-D2D3-4C32-A551-FFD715F1BE31}"/>
    <cellStyle name="60% - Akzent5 2 8 3" xfId="29406" xr:uid="{DDB00D34-735A-4D04-83BD-EE1B6E0975F7}"/>
    <cellStyle name="60% - Akzent5 2 9" xfId="9971" xr:uid="{7DF064A2-B569-4DFF-A2AE-2A328F4037C1}"/>
    <cellStyle name="60% - Akzent5 2 9 2" xfId="29408" xr:uid="{611B21A6-AB08-4820-9907-7F9C718CFE47}"/>
    <cellStyle name="60% - Akzent5 20" xfId="9972" xr:uid="{886251A6-22B5-4DED-AE66-B1B07DF39E2F}"/>
    <cellStyle name="60% - Akzent5 20 2" xfId="9973" xr:uid="{443E7357-189D-4072-9F9F-63A0645BB391}"/>
    <cellStyle name="60% - Akzent5 20 2 2" xfId="29410" xr:uid="{67519B4F-F26F-4040-9374-289A0DD45D99}"/>
    <cellStyle name="60% - Akzent5 20 3" xfId="29409" xr:uid="{E98879E9-3AE8-4787-A505-0F8B776746A9}"/>
    <cellStyle name="60% - Akzent5 21" xfId="9974" xr:uid="{91FE6AD8-5D8C-4164-BB3A-3C3E3BEB2BAF}"/>
    <cellStyle name="60% - Akzent5 21 2" xfId="9975" xr:uid="{EE54F3C2-31E3-4C87-8DDE-90EE28E7B7BA}"/>
    <cellStyle name="60% - Akzent5 21 2 2" xfId="29412" xr:uid="{E2EC61DD-D242-4BF7-BAD1-D1F8DCBF05E2}"/>
    <cellStyle name="60% - Akzent5 21 3" xfId="29411" xr:uid="{4D09B0E1-7D1F-4CDC-A42E-F63A4F1B1BF3}"/>
    <cellStyle name="60% - Akzent5 22" xfId="9976" xr:uid="{30C0CB6D-87B6-4D10-B4D0-14BE7BC2B6C9}"/>
    <cellStyle name="60% - Akzent5 22 2" xfId="9977" xr:uid="{F5E3E221-54FB-4BB0-96BA-FE08B09C43BE}"/>
    <cellStyle name="60% - Akzent5 22 2 2" xfId="29414" xr:uid="{0130CAF2-B3DD-469C-B9C1-92EADBC21880}"/>
    <cellStyle name="60% - Akzent5 22 3" xfId="29413" xr:uid="{A17BE298-9A46-44D0-8265-38BD563BA0F4}"/>
    <cellStyle name="60% - Akzent5 23" xfId="9978" xr:uid="{509E329A-47E2-4E93-923B-55B10C69B596}"/>
    <cellStyle name="60% - Akzent5 23 2" xfId="9979" xr:uid="{696A3EF5-84A7-43BA-9FB7-BA9746F06856}"/>
    <cellStyle name="60% - Akzent5 23 2 2" xfId="29416" xr:uid="{BAD12A43-0FF5-481A-A1B8-E6E9879CE437}"/>
    <cellStyle name="60% - Akzent5 23 3" xfId="29415" xr:uid="{BAB034CA-51DD-446C-A2C1-C383D435A309}"/>
    <cellStyle name="60% - Akzent5 24" xfId="9980" xr:uid="{EE422FFB-7DA3-4471-9931-88625D3873DE}"/>
    <cellStyle name="60% - Akzent5 24 2" xfId="9981" xr:uid="{B193CC10-C3CC-4D45-9A0A-59D2D34534B3}"/>
    <cellStyle name="60% - Akzent5 24 2 2" xfId="29418" xr:uid="{9D79AA94-EDA1-4A89-A978-DD1BC2643242}"/>
    <cellStyle name="60% - Akzent5 24 3" xfId="29417" xr:uid="{8D13A493-7414-462B-A29A-A097B24C1E7D}"/>
    <cellStyle name="60% - Akzent5 25" xfId="9982" xr:uid="{CF266A43-8F2F-4936-A0CB-4DDF11308C12}"/>
    <cellStyle name="60% - Akzent5 25 2" xfId="9983" xr:uid="{7D0AA942-C76D-43F6-AB98-11B3D63CBCB1}"/>
    <cellStyle name="60% - Akzent5 25 2 2" xfId="29420" xr:uid="{104A659E-1D82-45DB-990D-7353C0ECC8F6}"/>
    <cellStyle name="60% - Akzent5 25 3" xfId="29419" xr:uid="{0CD50347-7852-475B-AFDF-A01A79BE8991}"/>
    <cellStyle name="60% - Akzent5 26" xfId="9984" xr:uid="{97C0E16E-D634-473A-86E3-73C6419AA701}"/>
    <cellStyle name="60% - Akzent5 26 2" xfId="9985" xr:uid="{C62A8D15-66A7-48E9-9FCB-937125089942}"/>
    <cellStyle name="60% - Akzent5 26 2 2" xfId="29422" xr:uid="{BE865A30-7072-4452-9114-1C3E7D5459BB}"/>
    <cellStyle name="60% - Akzent5 26 3" xfId="29421" xr:uid="{8FAFDFCF-8AEF-4F72-8369-9832FE08A93B}"/>
    <cellStyle name="60% - Akzent5 27" xfId="9986" xr:uid="{A033B8C2-635E-4706-8507-7CB612A44718}"/>
    <cellStyle name="60% - Akzent5 27 2" xfId="9987" xr:uid="{EAEE5B6B-E113-4E48-B667-E5758FAEB84A}"/>
    <cellStyle name="60% - Akzent5 27 2 2" xfId="29424" xr:uid="{A2E02491-9586-4291-B3DA-3D6DD3750EB3}"/>
    <cellStyle name="60% - Akzent5 27 3" xfId="29423" xr:uid="{8DF7473D-9EEE-472C-982A-A451D26536E5}"/>
    <cellStyle name="60% - Akzent5 28" xfId="9988" xr:uid="{44ED6576-2D09-41F3-A258-0ABE5834D29B}"/>
    <cellStyle name="60% - Akzent5 28 2" xfId="9989" xr:uid="{35D5571B-3F64-4DA3-A406-83F2D53BD7D0}"/>
    <cellStyle name="60% - Akzent5 28 2 2" xfId="29426" xr:uid="{82916E9D-B1DE-4660-829C-8839DA47D22B}"/>
    <cellStyle name="60% - Akzent5 28 3" xfId="29425" xr:uid="{F110638E-6486-416C-B041-BF4058428613}"/>
    <cellStyle name="60% - Akzent5 29" xfId="9990" xr:uid="{CD8AA5EA-91B8-422D-A76F-C234C71D436A}"/>
    <cellStyle name="60% - Akzent5 29 2" xfId="9991" xr:uid="{79A83303-9854-4E44-B7FD-66444B63E2CD}"/>
    <cellStyle name="60% - Akzent5 29 2 2" xfId="29428" xr:uid="{4037AFE0-344B-4B3B-830F-36DE4CBA155D}"/>
    <cellStyle name="60% - Akzent5 29 3" xfId="29427" xr:uid="{BA3E394A-3F05-4F96-9F4E-0EBD4430DEAE}"/>
    <cellStyle name="60% - Akzent5 3" xfId="9992" xr:uid="{55CC6F63-9720-4939-9FC1-B939C4F3FEBE}"/>
    <cellStyle name="60% - Akzent5 3 10" xfId="39363" xr:uid="{0454A90D-A041-42BA-A478-A0D65DBB155C}"/>
    <cellStyle name="60% - Akzent5 3 2" xfId="9993" xr:uid="{34BF0A9F-9502-4D13-BAD2-44CB534ED029}"/>
    <cellStyle name="60% - Akzent5 3 2 2" xfId="9994" xr:uid="{6CE71A10-40A9-4519-8D64-2329BCA14015}"/>
    <cellStyle name="60% - Akzent5 3 2 2 2" xfId="9995" xr:uid="{5FC142BE-DA4A-404F-862D-4DB0E498ED13}"/>
    <cellStyle name="60% - Akzent5 3 2 2 2 2" xfId="29432" xr:uid="{6D5EC52E-ECF5-4626-B8C1-F3FCC042E7ED}"/>
    <cellStyle name="60% - Akzent5 3 2 2 3" xfId="29431" xr:uid="{EF3DE46B-E1AA-475C-8B9E-0FC77699FA81}"/>
    <cellStyle name="60% - Akzent5 3 2 3" xfId="9996" xr:uid="{CE52D87E-FE18-4C93-BC02-04A154ADC81D}"/>
    <cellStyle name="60% - Akzent5 3 2 3 2" xfId="29433" xr:uid="{E8AEFC23-8326-4F06-B9E3-E046650F34D8}"/>
    <cellStyle name="60% - Akzent5 3 2 4" xfId="9997" xr:uid="{7C0E1477-CB93-460D-ADDE-A311EA7FB096}"/>
    <cellStyle name="60% - Akzent5 3 2 4 2" xfId="29434" xr:uid="{7AF172EF-AF8B-417C-BF0A-B66720F26E4D}"/>
    <cellStyle name="60% - Akzent5 3 2 5" xfId="29430" xr:uid="{49AA59BF-599B-4EC6-8A79-DF0BBDF6C854}"/>
    <cellStyle name="60% - Akzent5 3 2 6" xfId="39980" xr:uid="{AF7F59C2-59E7-45AE-975C-F8626671E282}"/>
    <cellStyle name="60% - Akzent5 3 3" xfId="9998" xr:uid="{CF90D979-E0FC-4D52-AF88-678239E6AE03}"/>
    <cellStyle name="60% - Akzent5 3 3 2" xfId="29435" xr:uid="{BC62CD21-D0B2-4692-A863-4601AB3C2D3D}"/>
    <cellStyle name="60% - Akzent5 3 4" xfId="9999" xr:uid="{8ABE9F9C-A337-408B-A8CC-8F0AB3F7A22B}"/>
    <cellStyle name="60% - Akzent5 3 4 2" xfId="29436" xr:uid="{155E8471-CFDB-4CAC-9327-C6EB4FB90F9B}"/>
    <cellStyle name="60% - Akzent5 3 5" xfId="10000" xr:uid="{445D4DDF-4931-485F-9D05-DE1FDACD154A}"/>
    <cellStyle name="60% - Akzent5 3 5 2" xfId="10001" xr:uid="{B970B6CE-D34C-44C3-B677-CD9C549E9C7A}"/>
    <cellStyle name="60% - Akzent5 3 5 2 2" xfId="29438" xr:uid="{5344772B-DEF2-4CB0-BBB9-2C868E11AF2B}"/>
    <cellStyle name="60% - Akzent5 3 5 3" xfId="29437" xr:uid="{02731E84-9525-4D68-9AC4-00582D95D89C}"/>
    <cellStyle name="60% - Akzent5 3 6" xfId="10002" xr:uid="{F883A504-97D5-47D4-B29D-7E1F0536C06D}"/>
    <cellStyle name="60% - Akzent5 3 6 2" xfId="29439" xr:uid="{76033FCF-33A1-4F7F-8EFA-24A86367C04D}"/>
    <cellStyle name="60% - Akzent5 3 7" xfId="10003" xr:uid="{8FCB80EB-72FA-4B28-B023-825BB3CC8341}"/>
    <cellStyle name="60% - Akzent5 3 7 2" xfId="29440" xr:uid="{A91C0763-C6CE-49C2-AF28-A3C77355882B}"/>
    <cellStyle name="60% - Akzent5 3 8" xfId="10004" xr:uid="{17E77BC2-6ACD-4F60-B452-E43D11AB7D18}"/>
    <cellStyle name="60% - Akzent5 3 8 2" xfId="29441" xr:uid="{FF59EBB9-25E1-439F-BC1F-CB9E3A1D4CBD}"/>
    <cellStyle name="60% - Akzent5 3 9" xfId="29429" xr:uid="{F25BA45D-BE8D-46DA-9947-E18714B67108}"/>
    <cellStyle name="60% - Akzent5 30" xfId="10005" xr:uid="{B421447A-B059-484E-AEEE-4EDF8E0DDEEB}"/>
    <cellStyle name="60% - Akzent5 30 2" xfId="10006" xr:uid="{2784C37B-F1C8-4599-B4A1-89780562D245}"/>
    <cellStyle name="60% - Akzent5 30 2 2" xfId="29443" xr:uid="{BCF6C58F-F0C0-4AAE-94BE-EBEAD43E4830}"/>
    <cellStyle name="60% - Akzent5 30 3" xfId="29442" xr:uid="{795E0EF5-9931-4327-8D54-ADD5D4E5980F}"/>
    <cellStyle name="60% - Akzent5 31" xfId="10007" xr:uid="{91948312-9418-4E18-B3B3-207C271B3B25}"/>
    <cellStyle name="60% - Akzent5 31 2" xfId="10008" xr:uid="{53AF93FC-C6BD-413E-8ED8-60ED44BCD573}"/>
    <cellStyle name="60% - Akzent5 31 2 2" xfId="29445" xr:uid="{116B46B8-5FB8-4B76-BD24-4016F21E1E8C}"/>
    <cellStyle name="60% - Akzent5 31 3" xfId="29444" xr:uid="{646372C6-6335-4C90-B81F-1FD5256CD8B2}"/>
    <cellStyle name="60% - Akzent5 32" xfId="10009" xr:uid="{FE4ACF22-DB80-4029-A5EA-8482FE75E1C7}"/>
    <cellStyle name="60% - Akzent5 32 2" xfId="10010" xr:uid="{CA33DC23-9ED3-4B1D-A3CC-7BD485BCAC83}"/>
    <cellStyle name="60% - Akzent5 32 2 2" xfId="29447" xr:uid="{410C2509-9F8E-43C8-B269-F94141AA7795}"/>
    <cellStyle name="60% - Akzent5 32 3" xfId="29446" xr:uid="{C554FEDD-774D-4CE5-B9E2-D614094BE7B1}"/>
    <cellStyle name="60% - Akzent5 33" xfId="10011" xr:uid="{74D10741-4698-4122-9153-74590B10496C}"/>
    <cellStyle name="60% - Akzent5 33 2" xfId="10012" xr:uid="{8D4C6BCA-9CC7-4D85-88E7-CE4C69F063E6}"/>
    <cellStyle name="60% - Akzent5 33 2 2" xfId="29449" xr:uid="{0E5BA308-46C2-4AF3-9E41-91C66F78924E}"/>
    <cellStyle name="60% - Akzent5 33 3" xfId="29448" xr:uid="{1451132A-B799-46A1-AE22-7B42F01740F6}"/>
    <cellStyle name="60% - Akzent5 34" xfId="10013" xr:uid="{73C63207-D310-4EA4-B3B8-5F5C720444A4}"/>
    <cellStyle name="60% - Akzent5 34 2" xfId="10014" xr:uid="{73C4394C-ED95-4405-BA0C-0EACE562A8FD}"/>
    <cellStyle name="60% - Akzent5 34 2 2" xfId="29451" xr:uid="{8342C9B6-13E6-4755-AA1A-6330EF0D7531}"/>
    <cellStyle name="60% - Akzent5 34 3" xfId="29450" xr:uid="{AB98AF1A-7C56-41E5-88B6-AF4215EE8859}"/>
    <cellStyle name="60% - Akzent5 35" xfId="10015" xr:uid="{5B94F5A3-72CB-484F-89AF-479B09C7A619}"/>
    <cellStyle name="60% - Akzent5 35 2" xfId="10016" xr:uid="{FE463469-E565-49C4-8237-11E11A8A25B2}"/>
    <cellStyle name="60% - Akzent5 35 2 2" xfId="29453" xr:uid="{ED1AD818-C399-47E4-9D53-D25DD50D8922}"/>
    <cellStyle name="60% - Akzent5 35 3" xfId="29452" xr:uid="{C632EA3C-3863-4134-A930-DC3135654DFD}"/>
    <cellStyle name="60% - Akzent5 36" xfId="10017" xr:uid="{113A007D-C107-42D1-A6E9-5FA9270747CF}"/>
    <cellStyle name="60% - Akzent5 36 2" xfId="10018" xr:uid="{EF56C621-6CC1-45AF-A527-BB1EF761FE55}"/>
    <cellStyle name="60% - Akzent5 36 2 2" xfId="29455" xr:uid="{9A3372CE-124A-40FE-80A1-EA648305AED9}"/>
    <cellStyle name="60% - Akzent5 36 3" xfId="29454" xr:uid="{C2B343B0-BFE2-430D-BFE5-37C065299FF4}"/>
    <cellStyle name="60% - Akzent5 37" xfId="29329" xr:uid="{3A342AE0-9AB8-46B5-8349-6FDC38317981}"/>
    <cellStyle name="60% - Akzent5 38" xfId="9892" xr:uid="{78F46732-332E-423F-B6CE-A024C94D784C}"/>
    <cellStyle name="60% - Akzent5 4" xfId="10019" xr:uid="{7114EFFA-7057-4826-8A65-2A1B4A7BEAA1}"/>
    <cellStyle name="60% - Akzent5 4 2" xfId="10020" xr:uid="{994AAC6C-ACDF-4DFF-A967-BC18FA876C4C}"/>
    <cellStyle name="60% - Akzent5 4 2 2" xfId="10021" xr:uid="{C9F291AE-3C2E-4BFA-BF19-A103112D2A35}"/>
    <cellStyle name="60% - Akzent5 4 2 2 2" xfId="29458" xr:uid="{33EC0810-122B-443C-9E3A-534E929091F5}"/>
    <cellStyle name="60% - Akzent5 4 2 3" xfId="29457" xr:uid="{C7CA9261-2EF9-4422-84A1-325F5EB2107C}"/>
    <cellStyle name="60% - Akzent5 4 2 4" xfId="39981" xr:uid="{E3F27C4C-CFDF-494C-B1FE-6C7DAC3E22C9}"/>
    <cellStyle name="60% - Akzent5 4 3" xfId="10022" xr:uid="{EC77C712-CC72-4732-8ABE-8F58F8741714}"/>
    <cellStyle name="60% - Akzent5 4 3 2" xfId="29459" xr:uid="{76B68477-43C6-46CF-ADE8-359ED4EECEA8}"/>
    <cellStyle name="60% - Akzent5 4 4" xfId="10023" xr:uid="{FFCAD8B4-4D28-4B2F-9CEC-F9B1DE418A36}"/>
    <cellStyle name="60% - Akzent5 4 4 2" xfId="29460" xr:uid="{0200A1A4-D83D-4F36-998B-610826A447D0}"/>
    <cellStyle name="60% - Akzent5 4 5" xfId="10024" xr:uid="{6664649A-0BC7-4A2B-A7D1-CD44A981A4BB}"/>
    <cellStyle name="60% - Akzent5 4 5 2" xfId="29461" xr:uid="{7C83E150-D2CF-45FF-BB13-57C334089B13}"/>
    <cellStyle name="60% - Akzent5 4 6" xfId="10025" xr:uid="{96028266-17CC-4192-87F0-1D923BB5AC98}"/>
    <cellStyle name="60% - Akzent5 4 6 2" xfId="29462" xr:uid="{8E402804-309D-4C33-8ADA-85B125F49837}"/>
    <cellStyle name="60% - Akzent5 4 7" xfId="29456" xr:uid="{5702C188-F07A-4B59-9136-57E1923876C8}"/>
    <cellStyle name="60% - Akzent5 4 8" xfId="39364" xr:uid="{EAC56E55-C9DB-4A39-BBC8-1EFA1DB04328}"/>
    <cellStyle name="60% - Akzent5 5" xfId="10026" xr:uid="{26F24B12-486D-4052-B60E-B0B4314A1E29}"/>
    <cellStyle name="60% - Akzent5 5 2" xfId="10027" xr:uid="{B4FF0C26-C925-4E60-9AF0-6D6F633FFFAB}"/>
    <cellStyle name="60% - Akzent5 5 2 2" xfId="29464" xr:uid="{43A97A7E-96EC-46C5-98AA-5B0D438C7A49}"/>
    <cellStyle name="60% - Akzent5 5 3" xfId="10028" xr:uid="{6BC964CA-8DD8-49A5-9AEF-F11972627B46}"/>
    <cellStyle name="60% - Akzent5 5 3 2" xfId="29465" xr:uid="{E14FF34A-B0E7-4B0D-9510-D03398B00BF2}"/>
    <cellStyle name="60% - Akzent5 5 4" xfId="10029" xr:uid="{2B66D4B8-A231-499D-9894-D428DAFADA15}"/>
    <cellStyle name="60% - Akzent5 5 4 2" xfId="29466" xr:uid="{DC34A302-9DE0-46D0-A31E-35338CE0025A}"/>
    <cellStyle name="60% - Akzent5 5 5" xfId="29463" xr:uid="{22DDFE39-2B26-474D-B4B8-225A6ADB3520}"/>
    <cellStyle name="60% - Akzent5 5 6" xfId="39360" xr:uid="{2A31AEEA-337C-4632-B170-0176F624A067}"/>
    <cellStyle name="60% - Akzent5 6" xfId="10030" xr:uid="{59CAF268-018A-4E42-AC01-E7D75A5129DE}"/>
    <cellStyle name="60% - Akzent5 6 2" xfId="10031" xr:uid="{3AB3C8EF-A608-4C64-BB7D-39E84CEEFAC3}"/>
    <cellStyle name="60% - Akzent5 6 2 2" xfId="29468" xr:uid="{CAAA2DCE-98F0-4FA5-B01B-E25FCD529CAE}"/>
    <cellStyle name="60% - Akzent5 6 3" xfId="10032" xr:uid="{CF2CBFD4-4F35-48CD-9594-CC75218802FF}"/>
    <cellStyle name="60% - Akzent5 6 3 2" xfId="29469" xr:uid="{16486769-D672-4446-A3BB-E662BAD592F2}"/>
    <cellStyle name="60% - Akzent5 6 4" xfId="10033" xr:uid="{6F0A9A2F-030D-47C6-9242-82C990DFC488}"/>
    <cellStyle name="60% - Akzent5 6 4 2" xfId="29470" xr:uid="{809BF4C0-4CF9-445F-898A-0EFD2244033E}"/>
    <cellStyle name="60% - Akzent5 6 5" xfId="29467" xr:uid="{43DA8D2D-E074-4A34-91FE-D1FB27EF6D2E}"/>
    <cellStyle name="60% - Akzent5 7" xfId="10034" xr:uid="{5D53AE4C-17FF-4CF9-A42B-0D367AB91627}"/>
    <cellStyle name="60% - Akzent5 7 2" xfId="10035" xr:uid="{20E1D787-FCE1-4DB4-9049-CA6C511E846E}"/>
    <cellStyle name="60% - Akzent5 7 2 2" xfId="29472" xr:uid="{DC69C50B-48D7-4346-8911-04F8EA5B27FC}"/>
    <cellStyle name="60% - Akzent5 7 3" xfId="29471" xr:uid="{1F1CD391-EBD6-4238-BC0B-9E68FD84605A}"/>
    <cellStyle name="60% - Akzent5 8" xfId="10036" xr:uid="{A256B821-15BE-40C0-A2ED-5D768C0C2106}"/>
    <cellStyle name="60% - Akzent5 8 2" xfId="10037" xr:uid="{1E5FB94C-CB88-455A-8EEC-70261103C1EA}"/>
    <cellStyle name="60% - Akzent5 8 2 2" xfId="29474" xr:uid="{1FABBDEC-B79E-464E-BDB2-EC19324E4C31}"/>
    <cellStyle name="60% - Akzent5 8 3" xfId="29473" xr:uid="{3935A801-B00A-4BAE-9596-AF7518C70911}"/>
    <cellStyle name="60% - Akzent5 9" xfId="10038" xr:uid="{089258D5-AD3A-4190-8EBA-193574C491CF}"/>
    <cellStyle name="60% - Akzent5 9 2" xfId="10039" xr:uid="{D1F6655E-83EC-4906-9808-E73BF87A1366}"/>
    <cellStyle name="60% - Akzent5 9 2 2" xfId="29476" xr:uid="{41021F5B-A3CC-430C-B9EE-B784FE0D4F66}"/>
    <cellStyle name="60% - Akzent5 9 3" xfId="29475" xr:uid="{D05A5260-9939-49DE-8F00-B9E67736E1C7}"/>
    <cellStyle name="60% - Akzent6 10" xfId="10041" xr:uid="{11AA8E25-7564-4654-88A3-06EEA1AFBA7F}"/>
    <cellStyle name="60% - Akzent6 10 2" xfId="10042" xr:uid="{CDE3623E-96BD-43EA-968F-057A9B9C4C57}"/>
    <cellStyle name="60% - Akzent6 10 2 2" xfId="29479" xr:uid="{0B39CA38-ADE0-494D-863B-239AEB811585}"/>
    <cellStyle name="60% - Akzent6 10 3" xfId="29478" xr:uid="{27CB23AF-F2DF-4E4B-B1AB-F9ABD487BDC4}"/>
    <cellStyle name="60% - Akzent6 11" xfId="10043" xr:uid="{4C6A2FA5-D00A-47E5-8DCF-5D80807E6E7E}"/>
    <cellStyle name="60% - Akzent6 11 2" xfId="10044" xr:uid="{D41C8A87-34C9-4B0F-A1D3-2AA0F809EC11}"/>
    <cellStyle name="60% - Akzent6 11 2 2" xfId="29481" xr:uid="{3D49353D-77F0-4894-82C0-A340E037D91C}"/>
    <cellStyle name="60% - Akzent6 11 3" xfId="29480" xr:uid="{6ABF5D92-DC68-4C69-A936-4075C91D98A5}"/>
    <cellStyle name="60% - Akzent6 12" xfId="10045" xr:uid="{D7771A53-60EC-4F7B-B125-ED067DD9F945}"/>
    <cellStyle name="60% - Akzent6 12 2" xfId="10046" xr:uid="{CD23CCE5-E10C-40E9-AA05-AA8143AC6818}"/>
    <cellStyle name="60% - Akzent6 12 2 2" xfId="29483" xr:uid="{707318BB-CA09-4709-BA22-0644CE7C6476}"/>
    <cellStyle name="60% - Akzent6 12 3" xfId="29482" xr:uid="{F5892A83-9510-4E1C-A79E-AADF93DCF5BD}"/>
    <cellStyle name="60% - Akzent6 13" xfId="10047" xr:uid="{77DFED29-B012-4BBF-9F1D-5F5FC68B8D0A}"/>
    <cellStyle name="60% - Akzent6 13 2" xfId="10048" xr:uid="{0D11B142-0DFF-4E96-90FB-813066619848}"/>
    <cellStyle name="60% - Akzent6 13 2 2" xfId="29485" xr:uid="{D59B4AD7-5851-4A0D-B7F4-1164901359B4}"/>
    <cellStyle name="60% - Akzent6 13 3" xfId="29484" xr:uid="{D3DB6CA8-8AC3-4D8B-A31D-8D901BFA806C}"/>
    <cellStyle name="60% - Akzent6 14" xfId="10049" xr:uid="{F23F6EFF-54E3-4641-8A5C-C91252B28A7E}"/>
    <cellStyle name="60% - Akzent6 14 2" xfId="10050" xr:uid="{4B36933C-90D4-4899-A661-36F134A3436C}"/>
    <cellStyle name="60% - Akzent6 14 2 2" xfId="29487" xr:uid="{B89FD4B2-D21A-42FB-A2BE-7EDD8BD1B013}"/>
    <cellStyle name="60% - Akzent6 14 3" xfId="29486" xr:uid="{A82EE909-DD3B-4903-AF66-B952722390DC}"/>
    <cellStyle name="60% - Akzent6 15" xfId="10051" xr:uid="{3E23323E-E916-4E13-BA52-C68CEF7D5114}"/>
    <cellStyle name="60% - Akzent6 15 2" xfId="10052" xr:uid="{02983A2B-505E-499A-8823-75A0C2761A29}"/>
    <cellStyle name="60% - Akzent6 15 2 2" xfId="29489" xr:uid="{9F5809E7-8DF6-4928-ABEC-FD731595F1CD}"/>
    <cellStyle name="60% - Akzent6 15 3" xfId="29488" xr:uid="{FBD976A6-851B-4062-A0E2-0FC5FC441D09}"/>
    <cellStyle name="60% - Akzent6 16" xfId="10053" xr:uid="{AD29154A-3696-406E-A291-53DCD51C57E2}"/>
    <cellStyle name="60% - Akzent6 16 2" xfId="10054" xr:uid="{6CFBFE38-80AE-4FF8-A65C-D494C28C1962}"/>
    <cellStyle name="60% - Akzent6 16 2 2" xfId="29491" xr:uid="{8CA61999-B4A5-4BB0-BEBA-99CAFA23C08A}"/>
    <cellStyle name="60% - Akzent6 16 3" xfId="29490" xr:uid="{4D37316A-E3E8-47A6-805A-C082AFBE7D51}"/>
    <cellStyle name="60% - Akzent6 17" xfId="10055" xr:uid="{81C7522E-B8FB-43F6-BC0F-F973D0D712EC}"/>
    <cellStyle name="60% - Akzent6 17 2" xfId="10056" xr:uid="{9A96BF1F-57C9-43EA-B83D-49336719A3AB}"/>
    <cellStyle name="60% - Akzent6 17 2 2" xfId="29493" xr:uid="{2C035AEB-D121-45F5-AEE4-BD5713FB08BB}"/>
    <cellStyle name="60% - Akzent6 17 3" xfId="29492" xr:uid="{D2EC47A0-763A-4E25-A273-C859D4FD9959}"/>
    <cellStyle name="60% - Akzent6 18" xfId="10057" xr:uid="{65C1FC76-962E-4024-88A1-2864F999E6E2}"/>
    <cellStyle name="60% - Akzent6 18 2" xfId="10058" xr:uid="{5312403E-48D1-49D0-97C7-37999337EEA7}"/>
    <cellStyle name="60% - Akzent6 18 2 2" xfId="29495" xr:uid="{147AD94F-3EDA-4C7E-8A2A-CA21510B8517}"/>
    <cellStyle name="60% - Akzent6 18 3" xfId="29494" xr:uid="{B0E9E895-A33B-4395-B5D4-C47FD5F24B89}"/>
    <cellStyle name="60% - Akzent6 19" xfId="10059" xr:uid="{41951A78-6F31-4E3B-8F76-6C8157046139}"/>
    <cellStyle name="60% - Akzent6 19 2" xfId="10060" xr:uid="{DD22699B-1F02-43EF-A117-6F3948473238}"/>
    <cellStyle name="60% - Akzent6 19 2 2" xfId="29497" xr:uid="{3465D5AC-EE2E-4088-8F1D-C8E20C780B18}"/>
    <cellStyle name="60% - Akzent6 19 3" xfId="29496" xr:uid="{DDB5419F-F083-4F58-BBF9-482BF595E32E}"/>
    <cellStyle name="60% - Akzent6 2" xfId="10061" xr:uid="{D4A955BD-0C01-42C0-B35A-D945230720D7}"/>
    <cellStyle name="60% - Akzent6 2 10" xfId="10062" xr:uid="{83FC2C7A-3167-4383-84A2-EDC3198E7501}"/>
    <cellStyle name="60% - Akzent6 2 10 2" xfId="29499" xr:uid="{B1E89495-137D-4B1B-B1FD-DADCFC2DC9DE}"/>
    <cellStyle name="60% - Akzent6 2 11" xfId="10063" xr:uid="{69D2C470-9EF5-4995-8561-43BCCE0BA7F9}"/>
    <cellStyle name="60% - Akzent6 2 11 2" xfId="29500" xr:uid="{8339C4B7-C3E0-4E50-BC7A-6186BB1CBABB}"/>
    <cellStyle name="60% - Akzent6 2 12" xfId="10064" xr:uid="{150512A1-60E8-4B30-9466-0EB78D1A344B}"/>
    <cellStyle name="60% - Akzent6 2 12 2" xfId="29501" xr:uid="{E558A3F7-841E-4606-A259-048D62DE6918}"/>
    <cellStyle name="60% - Akzent6 2 13" xfId="10065" xr:uid="{42D547D8-1B96-4382-92D1-861510900A03}"/>
    <cellStyle name="60% - Akzent6 2 13 2" xfId="29502" xr:uid="{6B800CC1-19B0-4B64-B5F1-D4E56F777AE3}"/>
    <cellStyle name="60% - Akzent6 2 14" xfId="10066" xr:uid="{4FEE3C3A-7E4F-4ECF-BEDA-933093B7EE7B}"/>
    <cellStyle name="60% - Akzent6 2 14 2" xfId="29503" xr:uid="{023BF95A-45D7-406C-A5DB-02067C9BEE77}"/>
    <cellStyle name="60% - Akzent6 2 15" xfId="29498" xr:uid="{D460EAFA-1F5D-4A05-A45A-71D2E68D04BD}"/>
    <cellStyle name="60% - Akzent6 2 16" xfId="39366" xr:uid="{89C67383-0B28-412D-B91E-8D641D0D1ADA}"/>
    <cellStyle name="60% - Akzent6 2 2" xfId="10067" xr:uid="{AB1636BD-E4F0-4810-96AB-8E580DB0AAAA}"/>
    <cellStyle name="60% - Akzent6 2 2 10" xfId="10068" xr:uid="{95914385-D27E-4F1E-A3FC-37779F3FE702}"/>
    <cellStyle name="60% - Akzent6 2 2 10 2" xfId="29505" xr:uid="{FD761299-4658-43AE-A4A4-EA1E6EB609C7}"/>
    <cellStyle name="60% - Akzent6 2 2 11" xfId="10069" xr:uid="{C212F50E-06D4-4851-8C30-B3AAC9BFFA72}"/>
    <cellStyle name="60% - Akzent6 2 2 11 2" xfId="29506" xr:uid="{1C399936-A6E4-48AA-AD02-A31FDDBFC5FB}"/>
    <cellStyle name="60% - Akzent6 2 2 12" xfId="10070" xr:uid="{CB233B59-B0A6-4811-97A8-26252A4271CD}"/>
    <cellStyle name="60% - Akzent6 2 2 12 2" xfId="29507" xr:uid="{C46E64AB-8972-4C0E-BA84-16AB15DC782F}"/>
    <cellStyle name="60% - Akzent6 2 2 13" xfId="29504" xr:uid="{8AC535A3-E98D-4D90-9088-DC1AC8000D52}"/>
    <cellStyle name="60% - Akzent6 2 2 14" xfId="39367" xr:uid="{9DABBEDE-1295-4B9C-9381-34CB2DE876C6}"/>
    <cellStyle name="60% - Akzent6 2 2 2" xfId="10071" xr:uid="{5B9233B7-1BA3-4042-8D1E-E5B9792FEA9D}"/>
    <cellStyle name="60% - Akzent6 2 2 2 10" xfId="10072" xr:uid="{EB73B733-FEB2-4C3F-83E9-C50ED6F6BA23}"/>
    <cellStyle name="60% - Akzent6 2 2 2 10 2" xfId="29509" xr:uid="{0988B4E0-D36D-405B-B455-7BD2EBF4B7B3}"/>
    <cellStyle name="60% - Akzent6 2 2 2 11" xfId="29508" xr:uid="{7613729E-4540-497C-AEF4-FB9E914066DD}"/>
    <cellStyle name="60% - Akzent6 2 2 2 2" xfId="10073" xr:uid="{75CB3601-3224-456E-9393-5690F4BE435F}"/>
    <cellStyle name="60% - Akzent6 2 2 2 2 2" xfId="10074" xr:uid="{6CE19E6D-821F-4B44-A832-BF9A872314BC}"/>
    <cellStyle name="60% - Akzent6 2 2 2 2 2 2" xfId="10075" xr:uid="{6FB221CF-2F65-4982-8D05-C4FF347CF34F}"/>
    <cellStyle name="60% - Akzent6 2 2 2 2 2 2 2" xfId="10076" xr:uid="{90A4C4DA-19CC-4C8C-8B38-0BE94D16F5F5}"/>
    <cellStyle name="60% - Akzent6 2 2 2 2 2 2 2 2" xfId="29513" xr:uid="{56D12E52-75C5-44C3-89E6-C89D5850B4A1}"/>
    <cellStyle name="60% - Akzent6 2 2 2 2 2 2 3" xfId="29512" xr:uid="{271965F5-F0B5-42A9-98B7-7AED782E06DF}"/>
    <cellStyle name="60% - Akzent6 2 2 2 2 2 3" xfId="10077" xr:uid="{C19834C7-76F1-4C68-84DB-5DF646E09970}"/>
    <cellStyle name="60% - Akzent6 2 2 2 2 2 3 2" xfId="29514" xr:uid="{E79E8BF0-D9EA-433A-9C8D-0011A227E958}"/>
    <cellStyle name="60% - Akzent6 2 2 2 2 2 4" xfId="10078" xr:uid="{FE6BCA89-E546-45F1-81D6-7A2DBE938C6A}"/>
    <cellStyle name="60% - Akzent6 2 2 2 2 2 4 2" xfId="29515" xr:uid="{A0130A35-4B78-4417-BD2C-45691A9EC6F6}"/>
    <cellStyle name="60% - Akzent6 2 2 2 2 2 5" xfId="10079" xr:uid="{FE020CE6-EE27-4885-9502-882FADDF82FD}"/>
    <cellStyle name="60% - Akzent6 2 2 2 2 2 5 2" xfId="29516" xr:uid="{35E19D90-E75F-44E2-957B-B0C985989B6A}"/>
    <cellStyle name="60% - Akzent6 2 2 2 2 2 6" xfId="10080" xr:uid="{F1ECB9EE-F77E-44F7-8741-579C0E123352}"/>
    <cellStyle name="60% - Akzent6 2 2 2 2 2 6 2" xfId="29517" xr:uid="{F3F94A59-87F4-4DF3-9EEE-2B4599112EBC}"/>
    <cellStyle name="60% - Akzent6 2 2 2 2 2 7" xfId="10081" xr:uid="{1B610D92-2147-4A60-9581-AE505C600235}"/>
    <cellStyle name="60% - Akzent6 2 2 2 2 2 7 2" xfId="29518" xr:uid="{CC8663F3-CA09-48B5-98AF-524517DFB324}"/>
    <cellStyle name="60% - Akzent6 2 2 2 2 2 8" xfId="10082" xr:uid="{CB34A14E-4C52-42F5-BE67-73F262879579}"/>
    <cellStyle name="60% - Akzent6 2 2 2 2 2 8 2" xfId="29519" xr:uid="{0941381C-B1C3-404C-B35C-823136870B8E}"/>
    <cellStyle name="60% - Akzent6 2 2 2 2 2 9" xfId="29511" xr:uid="{5C799086-883B-46D9-8CEB-2354DDCEAFD3}"/>
    <cellStyle name="60% - Akzent6 2 2 2 2 3" xfId="10083" xr:uid="{EC64F6F4-0CAD-43ED-A671-1F89DF08DC01}"/>
    <cellStyle name="60% - Akzent6 2 2 2 2 3 2" xfId="10084" xr:uid="{E43CE482-09EE-47C4-A917-8C59CFBC7A64}"/>
    <cellStyle name="60% - Akzent6 2 2 2 2 3 2 2" xfId="29521" xr:uid="{37CF530D-1713-45FC-8F80-F3E184BA8AC3}"/>
    <cellStyle name="60% - Akzent6 2 2 2 2 3 3" xfId="29520" xr:uid="{042AB0AE-A743-44CA-8407-584E8021AA47}"/>
    <cellStyle name="60% - Akzent6 2 2 2 2 4" xfId="10085" xr:uid="{EAE57FD8-3929-4925-A0A5-732F60814A80}"/>
    <cellStyle name="60% - Akzent6 2 2 2 2 4 2" xfId="29522" xr:uid="{DC6A6DEA-F07F-48D1-9C1F-150DDBE211C3}"/>
    <cellStyle name="60% - Akzent6 2 2 2 2 5" xfId="10086" xr:uid="{3229EE5F-57AC-4DF0-823E-A1BCA86C88B2}"/>
    <cellStyle name="60% - Akzent6 2 2 2 2 5 2" xfId="29523" xr:uid="{31389E29-D7CE-4D8F-B83C-8433BD552903}"/>
    <cellStyle name="60% - Akzent6 2 2 2 2 6" xfId="10087" xr:uid="{432034CD-BC1C-4C13-8760-A79796DF8A55}"/>
    <cellStyle name="60% - Akzent6 2 2 2 2 6 2" xfId="29524" xr:uid="{1890631F-1F43-4EA0-8642-6E564F31CDF5}"/>
    <cellStyle name="60% - Akzent6 2 2 2 2 7" xfId="10088" xr:uid="{485EA121-ABB6-4953-AA69-D7569B98379B}"/>
    <cellStyle name="60% - Akzent6 2 2 2 2 7 2" xfId="29525" xr:uid="{99FDA39A-0C51-4F37-B1DB-BF4B0D3B4E6E}"/>
    <cellStyle name="60% - Akzent6 2 2 2 2 8" xfId="10089" xr:uid="{4A1C13F7-3D8A-4B13-A7AF-3099D74A1771}"/>
    <cellStyle name="60% - Akzent6 2 2 2 2 8 2" xfId="29526" xr:uid="{07F64506-F38C-4159-95F3-10A0F299CE22}"/>
    <cellStyle name="60% - Akzent6 2 2 2 2 9" xfId="29510" xr:uid="{B8BD22C8-8DB5-4463-B09F-495AF47C3802}"/>
    <cellStyle name="60% - Akzent6 2 2 2 3" xfId="10090" xr:uid="{A5ACBF04-DD93-4A8E-A6C7-EEE203209F9D}"/>
    <cellStyle name="60% - Akzent6 2 2 2 3 2" xfId="29527" xr:uid="{E7D1CC48-8BC9-46E8-AF2A-8286B2DE3740}"/>
    <cellStyle name="60% - Akzent6 2 2 2 4" xfId="10091" xr:uid="{192ED3E4-405E-44D5-A8DB-D6086C78834C}"/>
    <cellStyle name="60% - Akzent6 2 2 2 4 2" xfId="29528" xr:uid="{17629B16-75D9-426E-A38E-B0F3B60B8E97}"/>
    <cellStyle name="60% - Akzent6 2 2 2 5" xfId="10092" xr:uid="{1E02FD4B-480E-4B01-9DC6-EC89DEE14B89}"/>
    <cellStyle name="60% - Akzent6 2 2 2 5 2" xfId="10093" xr:uid="{0736FFB7-7391-4127-9C34-90F17A08A404}"/>
    <cellStyle name="60% - Akzent6 2 2 2 5 2 2" xfId="29530" xr:uid="{E80A5BA3-59D8-433F-B471-B6CA61BE5151}"/>
    <cellStyle name="60% - Akzent6 2 2 2 5 3" xfId="29529" xr:uid="{47058876-0070-4739-9E0E-8030D6D2A4A6}"/>
    <cellStyle name="60% - Akzent6 2 2 2 6" xfId="10094" xr:uid="{F4EE1489-441F-4BDC-B7A0-0C2B5269F6C5}"/>
    <cellStyle name="60% - Akzent6 2 2 2 6 2" xfId="29531" xr:uid="{B019BD88-9348-4B8D-8477-45E9211E4804}"/>
    <cellStyle name="60% - Akzent6 2 2 2 7" xfId="10095" xr:uid="{455663B0-CF53-4A39-BD5E-F54C012D207A}"/>
    <cellStyle name="60% - Akzent6 2 2 2 7 2" xfId="29532" xr:uid="{16D9AFA1-0A2A-4033-9747-25E225215AA8}"/>
    <cellStyle name="60% - Akzent6 2 2 2 8" xfId="10096" xr:uid="{5DAD0F96-A449-480D-86F0-8CB603882313}"/>
    <cellStyle name="60% - Akzent6 2 2 2 8 2" xfId="29533" xr:uid="{D799B7E1-45B9-4EF8-A532-AC9F715F6C4A}"/>
    <cellStyle name="60% - Akzent6 2 2 2 9" xfId="10097" xr:uid="{7677F463-7B60-49FE-9115-D34F087FCE39}"/>
    <cellStyle name="60% - Akzent6 2 2 2 9 2" xfId="29534" xr:uid="{D7CA81F1-9702-43F6-A165-0089C9551DF3}"/>
    <cellStyle name="60% - Akzent6 2 2 3" xfId="10098" xr:uid="{BC0C97B8-5C45-42A6-BC20-0AE6DFF699CF}"/>
    <cellStyle name="60% - Akzent6 2 2 3 2" xfId="29535" xr:uid="{F3AE6DAE-7DF3-4D4B-B7AB-AEA16E128769}"/>
    <cellStyle name="60% - Akzent6 2 2 4" xfId="10099" xr:uid="{50626B12-3D8D-478B-B224-CF19553311B1}"/>
    <cellStyle name="60% - Akzent6 2 2 4 2" xfId="29536" xr:uid="{EABCAEB3-99A3-4811-97AD-FCAF0F8FF08B}"/>
    <cellStyle name="60% - Akzent6 2 2 5" xfId="10100" xr:uid="{0A917748-827B-4EF7-A849-ABF163EDDE0F}"/>
    <cellStyle name="60% - Akzent6 2 2 5 2" xfId="10101" xr:uid="{FDE5E74B-B81B-4EAE-9E6F-D61142783C19}"/>
    <cellStyle name="60% - Akzent6 2 2 5 2 2" xfId="29538" xr:uid="{21476ACA-3D01-4D96-A2B3-7A3B7402B7DD}"/>
    <cellStyle name="60% - Akzent6 2 2 5 3" xfId="29537" xr:uid="{61251CC5-C43D-44B7-8FB6-3AFDFE3E5D8A}"/>
    <cellStyle name="60% - Akzent6 2 2 6" xfId="10102" xr:uid="{CFA88136-FC46-4A6F-908C-7C3C66D7B032}"/>
    <cellStyle name="60% - Akzent6 2 2 6 2" xfId="29539" xr:uid="{88887D09-C645-4387-A7B8-A9AC9290547D}"/>
    <cellStyle name="60% - Akzent6 2 2 7" xfId="10103" xr:uid="{E2E5DA8A-36C2-4A63-8D88-BC2C9029A9B1}"/>
    <cellStyle name="60% - Akzent6 2 2 7 2" xfId="10104" xr:uid="{29AE6B47-B792-4081-8128-15550D7CAB63}"/>
    <cellStyle name="60% - Akzent6 2 2 7 2 2" xfId="29541" xr:uid="{F7F5F499-1C17-4E4D-83F6-73670E448B7C}"/>
    <cellStyle name="60% - Akzent6 2 2 7 3" xfId="29540" xr:uid="{6C59AA04-7611-4F68-8267-6FE0C865348B}"/>
    <cellStyle name="60% - Akzent6 2 2 8" xfId="10105" xr:uid="{3191CC61-BE7F-4C53-901E-0CE46C0C17AB}"/>
    <cellStyle name="60% - Akzent6 2 2 8 2" xfId="29542" xr:uid="{6C8CFF1C-522B-4C7B-B777-1DB77630E6B2}"/>
    <cellStyle name="60% - Akzent6 2 2 9" xfId="10106" xr:uid="{D65003AA-BF7A-497D-BA99-522D0228AFA7}"/>
    <cellStyle name="60% - Akzent6 2 2 9 2" xfId="29543" xr:uid="{9755D447-52C7-4E2A-85CE-45640C821C60}"/>
    <cellStyle name="60% - Akzent6 2 3" xfId="10107" xr:uid="{C6E45773-DD69-4808-8CA2-E613EBA627F1}"/>
    <cellStyle name="60% - Akzent6 2 3 2" xfId="29544" xr:uid="{389D4367-A02A-444B-BE7A-3E8362080560}"/>
    <cellStyle name="60% - Akzent6 2 4" xfId="10108" xr:uid="{9A8115A8-8FFC-43C0-823C-4FC1F8097086}"/>
    <cellStyle name="60% - Akzent6 2 4 2" xfId="10109" xr:uid="{8B79A51D-0E2E-4943-8006-8A4E95A0B452}"/>
    <cellStyle name="60% - Akzent6 2 4 2 2" xfId="10110" xr:uid="{ABC3CC6B-5281-4A8C-8BFB-08F9CB8F3685}"/>
    <cellStyle name="60% - Akzent6 2 4 2 2 2" xfId="29547" xr:uid="{5110A953-9907-45CC-9BA6-B127C4B49426}"/>
    <cellStyle name="60% - Akzent6 2 4 2 3" xfId="29546" xr:uid="{06B55AE7-4054-492B-9A61-1D35848E635C}"/>
    <cellStyle name="60% - Akzent6 2 4 3" xfId="10111" xr:uid="{D7DC6D7A-EC08-41C9-AE79-265209F786C7}"/>
    <cellStyle name="60% - Akzent6 2 4 3 2" xfId="29548" xr:uid="{2624C2E8-B35C-4E61-9B59-6FE5D4F3D24A}"/>
    <cellStyle name="60% - Akzent6 2 4 4" xfId="10112" xr:uid="{98A28B23-BE37-4D1D-B815-427A06861050}"/>
    <cellStyle name="60% - Akzent6 2 4 4 2" xfId="29549" xr:uid="{BEF55CDA-48EE-429E-8EA4-294D07CC8F39}"/>
    <cellStyle name="60% - Akzent6 2 4 5" xfId="29545" xr:uid="{840432C0-6D9C-416B-BA84-A44012EF8D99}"/>
    <cellStyle name="60% - Akzent6 2 5" xfId="10113" xr:uid="{C4868BF7-505B-4EF6-ADCD-8D6D82EFE9C6}"/>
    <cellStyle name="60% - Akzent6 2 5 2" xfId="29550" xr:uid="{B6BF4940-A8AB-4718-B13C-804870129EFF}"/>
    <cellStyle name="60% - Akzent6 2 6" xfId="10114" xr:uid="{D48BB54E-A7E3-405E-94FF-4C383BD8357A}"/>
    <cellStyle name="60% - Akzent6 2 6 2" xfId="10115" xr:uid="{EADEFADA-8250-4467-BA3A-116B2B679FB6}"/>
    <cellStyle name="60% - Akzent6 2 6 2 2" xfId="29552" xr:uid="{A40935EA-9448-4271-9D96-89866AFF02FB}"/>
    <cellStyle name="60% - Akzent6 2 6 3" xfId="29551" xr:uid="{C85F132D-D028-426D-B615-60E779B17EAE}"/>
    <cellStyle name="60% - Akzent6 2 7" xfId="10116" xr:uid="{854FFF47-C92E-41F5-BC77-426D10E91DE6}"/>
    <cellStyle name="60% - Akzent6 2 7 2" xfId="29553" xr:uid="{0684891E-2599-40F4-8D5C-0A62FF603C5C}"/>
    <cellStyle name="60% - Akzent6 2 8" xfId="10117" xr:uid="{77B5FC1C-BB15-45CF-8A1B-E52EFA723B77}"/>
    <cellStyle name="60% - Akzent6 2 8 2" xfId="10118" xr:uid="{B957766F-9898-48AF-8489-F8F263874C18}"/>
    <cellStyle name="60% - Akzent6 2 8 2 2" xfId="29555" xr:uid="{8E00DFB3-342B-48D2-94D9-B4F71FC8DBFA}"/>
    <cellStyle name="60% - Akzent6 2 8 3" xfId="29554" xr:uid="{212399FF-3EA5-4E14-BED4-836801EB6E39}"/>
    <cellStyle name="60% - Akzent6 2 9" xfId="10119" xr:uid="{299D5E6C-DFF6-4122-B26F-2EF515546821}"/>
    <cellStyle name="60% - Akzent6 2 9 2" xfId="29556" xr:uid="{0EA9B332-A717-4E1F-9D0E-DC9076E6F662}"/>
    <cellStyle name="60% - Akzent6 20" xfId="10120" xr:uid="{6B00E24D-B56F-4CE6-943E-0D6368FBDF96}"/>
    <cellStyle name="60% - Akzent6 20 2" xfId="10121" xr:uid="{CED0076D-31BB-4CB3-AE70-EF293DF8C044}"/>
    <cellStyle name="60% - Akzent6 20 2 2" xfId="29558" xr:uid="{8DF28769-054A-445E-9CB3-76EC98C5944A}"/>
    <cellStyle name="60% - Akzent6 20 3" xfId="29557" xr:uid="{AD107846-A665-4AD4-8CE1-C46111D1EE68}"/>
    <cellStyle name="60% - Akzent6 21" xfId="10122" xr:uid="{F12A68D5-1AE7-4110-82E1-4C889567EFA8}"/>
    <cellStyle name="60% - Akzent6 21 2" xfId="10123" xr:uid="{5D6E66FD-C1C5-4ED5-8A70-A487829EF22C}"/>
    <cellStyle name="60% - Akzent6 21 2 2" xfId="29560" xr:uid="{1FA43D1E-BE99-4540-92D2-F9CD6AC6B74F}"/>
    <cellStyle name="60% - Akzent6 21 3" xfId="29559" xr:uid="{A0BD8C90-281B-4FBC-A803-A39DE9F5D265}"/>
    <cellStyle name="60% - Akzent6 22" xfId="10124" xr:uid="{50A4A1C7-94D5-47F6-A426-069856B357A5}"/>
    <cellStyle name="60% - Akzent6 22 2" xfId="10125" xr:uid="{DBD262CE-0679-4B21-99CE-627E716778F2}"/>
    <cellStyle name="60% - Akzent6 22 2 2" xfId="29562" xr:uid="{F6A1696E-574F-4B97-B7A9-6E761FDCEF79}"/>
    <cellStyle name="60% - Akzent6 22 3" xfId="29561" xr:uid="{33F7511F-5492-4B3F-BCF5-2C9D2CA0D41D}"/>
    <cellStyle name="60% - Akzent6 23" xfId="10126" xr:uid="{FCC723AB-4EFC-439A-8B8E-A1960C4B328F}"/>
    <cellStyle name="60% - Akzent6 23 2" xfId="10127" xr:uid="{9AB0BAEA-98DA-4B92-8249-A9EDDFE4CA92}"/>
    <cellStyle name="60% - Akzent6 23 2 2" xfId="29564" xr:uid="{80EAEDC3-CD3C-4BB7-BCC0-ECB95362156C}"/>
    <cellStyle name="60% - Akzent6 23 3" xfId="29563" xr:uid="{884132E0-7358-4EEE-BAFD-B0A6A11F2421}"/>
    <cellStyle name="60% - Akzent6 24" xfId="10128" xr:uid="{5932A624-3456-46B0-8B1B-114857C2E675}"/>
    <cellStyle name="60% - Akzent6 24 2" xfId="10129" xr:uid="{FEA5235C-E7DD-439F-8C9D-D10A5F720BCE}"/>
    <cellStyle name="60% - Akzent6 24 2 2" xfId="29566" xr:uid="{9E4C0C4A-2E8F-4ACE-9C03-72FECDB7F088}"/>
    <cellStyle name="60% - Akzent6 24 3" xfId="29565" xr:uid="{690794E2-0028-4CB3-8FD0-B14FE0E58B82}"/>
    <cellStyle name="60% - Akzent6 25" xfId="10130" xr:uid="{21B1579B-B906-4EA2-B15B-27609A8BCE02}"/>
    <cellStyle name="60% - Akzent6 25 2" xfId="10131" xr:uid="{7DFBBED7-5105-45DB-8B39-CD4A254A8560}"/>
    <cellStyle name="60% - Akzent6 25 2 2" xfId="29568" xr:uid="{4115DC1C-6C4C-4611-A092-7D81A515713D}"/>
    <cellStyle name="60% - Akzent6 25 3" xfId="29567" xr:uid="{42846455-9248-4E6C-98B1-788A04528EF0}"/>
    <cellStyle name="60% - Akzent6 26" xfId="10132" xr:uid="{79E36664-C0DA-423F-84A2-55DDB77986ED}"/>
    <cellStyle name="60% - Akzent6 26 2" xfId="10133" xr:uid="{1034D295-6CC8-4170-9AE8-D2D2528D15B7}"/>
    <cellStyle name="60% - Akzent6 26 2 2" xfId="29570" xr:uid="{579EB3F5-F457-4B27-AA03-3E177D09E5A8}"/>
    <cellStyle name="60% - Akzent6 26 3" xfId="29569" xr:uid="{65E906D3-ABE0-432D-88B0-9F11E705A509}"/>
    <cellStyle name="60% - Akzent6 27" xfId="10134" xr:uid="{601243FB-9CCF-47C4-96C1-346B7A32650F}"/>
    <cellStyle name="60% - Akzent6 27 2" xfId="10135" xr:uid="{BA4E5A99-3447-4AAD-8880-3A33A14D8C63}"/>
    <cellStyle name="60% - Akzent6 27 2 2" xfId="29572" xr:uid="{03186A6C-CF65-4CBE-98F0-A6EDA5C62BDD}"/>
    <cellStyle name="60% - Akzent6 27 3" xfId="29571" xr:uid="{CA54B07F-8800-4FBA-A442-B5957AA1B1B0}"/>
    <cellStyle name="60% - Akzent6 28" xfId="10136" xr:uid="{EAF3390D-29D8-4A37-AED1-8771E637D860}"/>
    <cellStyle name="60% - Akzent6 28 2" xfId="10137" xr:uid="{8084ABFF-4C88-42FF-A008-96103E13B784}"/>
    <cellStyle name="60% - Akzent6 28 2 2" xfId="29574" xr:uid="{678042FB-3725-4C54-B7EC-EE226EE74D71}"/>
    <cellStyle name="60% - Akzent6 28 3" xfId="29573" xr:uid="{806A8F9E-3803-4590-99C5-788352132FE2}"/>
    <cellStyle name="60% - Akzent6 29" xfId="10138" xr:uid="{9D26F4E6-F0B8-42DD-B7A5-2FCCC7E2A51A}"/>
    <cellStyle name="60% - Akzent6 29 2" xfId="10139" xr:uid="{4CAF63A0-BFA0-47C7-932A-C0DC547A1B08}"/>
    <cellStyle name="60% - Akzent6 29 2 2" xfId="29576" xr:uid="{F3C9368A-E3E7-4FC2-80DC-023A32C0CE4E}"/>
    <cellStyle name="60% - Akzent6 29 3" xfId="29575" xr:uid="{B1981004-38A2-4750-9646-5F5DCB8C2AAF}"/>
    <cellStyle name="60% - Akzent6 3" xfId="10140" xr:uid="{C425DEDF-BC4D-4F0F-BA7D-38F49F236AEA}"/>
    <cellStyle name="60% - Akzent6 3 10" xfId="39368" xr:uid="{4CB85B2D-78A2-4AFA-93BD-294B1E5D39D7}"/>
    <cellStyle name="60% - Akzent6 3 2" xfId="10141" xr:uid="{8D688E17-5775-492E-B7F3-7792CB303DAC}"/>
    <cellStyle name="60% - Akzent6 3 2 2" xfId="10142" xr:uid="{A37AD743-24F4-44FD-ABCB-CED3E08C52C8}"/>
    <cellStyle name="60% - Akzent6 3 2 2 2" xfId="10143" xr:uid="{E2B5FDF3-27EA-4D4D-9649-B545E1ED8EFE}"/>
    <cellStyle name="60% - Akzent6 3 2 2 2 2" xfId="29580" xr:uid="{FAAC74CD-1756-45A5-AC48-86A1D917F58C}"/>
    <cellStyle name="60% - Akzent6 3 2 2 3" xfId="29579" xr:uid="{5BABA4E0-B0D0-42E3-9F8A-1ECF0D4E9528}"/>
    <cellStyle name="60% - Akzent6 3 2 3" xfId="10144" xr:uid="{4A5CD233-A8E6-4AB9-BFE5-D00DD9C0646B}"/>
    <cellStyle name="60% - Akzent6 3 2 3 2" xfId="29581" xr:uid="{82E42F7D-9365-4AFA-A720-3C824C3CA247}"/>
    <cellStyle name="60% - Akzent6 3 2 4" xfId="10145" xr:uid="{616F4EFA-A0C0-4613-AEA4-872E9CD4512C}"/>
    <cellStyle name="60% - Akzent6 3 2 4 2" xfId="29582" xr:uid="{6ECD5C2C-D0AD-47CF-8538-1CC79A59297C}"/>
    <cellStyle name="60% - Akzent6 3 2 5" xfId="29578" xr:uid="{1810D5E2-CB95-430B-A80F-38FF0EF1F484}"/>
    <cellStyle name="60% - Akzent6 3 2 6" xfId="39982" xr:uid="{CAC75E12-328F-4006-B0ED-3AE9B62DF6F5}"/>
    <cellStyle name="60% - Akzent6 3 3" xfId="10146" xr:uid="{112C3502-B0A4-4E2D-8AA2-FE3E48CD163B}"/>
    <cellStyle name="60% - Akzent6 3 3 2" xfId="29583" xr:uid="{504987EC-C1A9-4344-8480-421402E50D8B}"/>
    <cellStyle name="60% - Akzent6 3 4" xfId="10147" xr:uid="{7238373D-FA89-44EC-BDD2-D0017915228C}"/>
    <cellStyle name="60% - Akzent6 3 4 2" xfId="29584" xr:uid="{7C6A4321-530D-4964-BF4E-64D31CE31BDB}"/>
    <cellStyle name="60% - Akzent6 3 5" xfId="10148" xr:uid="{432A47A9-0649-4352-8B44-DAB83FD64EFE}"/>
    <cellStyle name="60% - Akzent6 3 5 2" xfId="10149" xr:uid="{066DEF92-093F-4677-9A43-B3BECFCEDB90}"/>
    <cellStyle name="60% - Akzent6 3 5 2 2" xfId="29586" xr:uid="{77483822-5288-476C-B8FF-F8DE1824E5B6}"/>
    <cellStyle name="60% - Akzent6 3 5 3" xfId="29585" xr:uid="{B66EC6BE-535C-4366-87D6-046EF235DDF6}"/>
    <cellStyle name="60% - Akzent6 3 6" xfId="10150" xr:uid="{666398EC-6BBB-4377-9CB2-9DDBF1E0E6A7}"/>
    <cellStyle name="60% - Akzent6 3 6 2" xfId="29587" xr:uid="{24D42462-BA16-4F2A-B154-2388E28FFC5E}"/>
    <cellStyle name="60% - Akzent6 3 7" xfId="10151" xr:uid="{09CD1043-421F-4989-813D-C059835283D8}"/>
    <cellStyle name="60% - Akzent6 3 7 2" xfId="29588" xr:uid="{EE129877-1F5B-4864-8D18-B752504B3B40}"/>
    <cellStyle name="60% - Akzent6 3 8" xfId="10152" xr:uid="{F30B0EFC-E4E1-4D7A-86BF-DD26DF24E6ED}"/>
    <cellStyle name="60% - Akzent6 3 8 2" xfId="29589" xr:uid="{6FFC62FA-F998-48B1-9E19-11244CE98525}"/>
    <cellStyle name="60% - Akzent6 3 9" xfId="29577" xr:uid="{49B7F59F-82D9-49FE-95D5-47F280D89817}"/>
    <cellStyle name="60% - Akzent6 30" xfId="10153" xr:uid="{D3BACFC9-F01A-425B-9D90-CF41DAB6C2DF}"/>
    <cellStyle name="60% - Akzent6 30 2" xfId="10154" xr:uid="{D664E64E-539F-4809-897E-4DA8325476EA}"/>
    <cellStyle name="60% - Akzent6 30 2 2" xfId="29591" xr:uid="{2593E7A0-60AD-4BC1-8E75-1EAA97854330}"/>
    <cellStyle name="60% - Akzent6 30 3" xfId="29590" xr:uid="{ABEE68CB-93A9-43B6-ABD5-262F9D84E2D1}"/>
    <cellStyle name="60% - Akzent6 31" xfId="10155" xr:uid="{B1761148-079B-4E1D-81AB-5353AA2B2AD6}"/>
    <cellStyle name="60% - Akzent6 31 2" xfId="10156" xr:uid="{38BDBF49-1CD1-41AE-A83A-40AC7D76CD81}"/>
    <cellStyle name="60% - Akzent6 31 2 2" xfId="29593" xr:uid="{7C2EB12D-C78D-4788-9695-72C669E0A577}"/>
    <cellStyle name="60% - Akzent6 31 3" xfId="29592" xr:uid="{C3DF9C12-EF2C-47F6-BF41-7AA32CA9A3E8}"/>
    <cellStyle name="60% - Akzent6 32" xfId="10157" xr:uid="{31156DAF-B401-4297-B68E-42D7839A2626}"/>
    <cellStyle name="60% - Akzent6 32 2" xfId="10158" xr:uid="{A38FBEA1-B528-444D-A63C-B31F6D0138B2}"/>
    <cellStyle name="60% - Akzent6 32 2 2" xfId="29595" xr:uid="{49E099DC-A012-4DDF-9903-2DFD6891BC4C}"/>
    <cellStyle name="60% - Akzent6 32 3" xfId="29594" xr:uid="{51628A3A-98B8-41FC-94AD-06CE6A2BD9B9}"/>
    <cellStyle name="60% - Akzent6 33" xfId="10159" xr:uid="{794ABED2-8CF9-4C9E-98E9-E7B808A536B1}"/>
    <cellStyle name="60% - Akzent6 33 2" xfId="10160" xr:uid="{B0989E63-F7D3-4B58-8627-D9DEC0C30EB4}"/>
    <cellStyle name="60% - Akzent6 33 2 2" xfId="29597" xr:uid="{F28BEC71-F81E-494D-9CEE-78D7F7B7DB4F}"/>
    <cellStyle name="60% - Akzent6 33 3" xfId="29596" xr:uid="{B9EE7F78-D103-4B65-9CC8-00294B3F2D33}"/>
    <cellStyle name="60% - Akzent6 34" xfId="10161" xr:uid="{74D851C8-E0D4-4F02-8378-BFFE56D662E5}"/>
    <cellStyle name="60% - Akzent6 34 2" xfId="10162" xr:uid="{55348938-BB39-417B-97CD-8A49E52F0460}"/>
    <cellStyle name="60% - Akzent6 34 2 2" xfId="29599" xr:uid="{8F2B35D7-03F4-4398-A124-DC30D36F55B6}"/>
    <cellStyle name="60% - Akzent6 34 3" xfId="29598" xr:uid="{61E5FFD8-2C63-4D9D-AB9B-3CAD5BF0B14B}"/>
    <cellStyle name="60% - Akzent6 35" xfId="10163" xr:uid="{4CDF9B36-DEF9-431A-8350-065DD6190B4A}"/>
    <cellStyle name="60% - Akzent6 35 2" xfId="10164" xr:uid="{037F362A-573C-476A-8D76-6765A94C0293}"/>
    <cellStyle name="60% - Akzent6 35 2 2" xfId="29601" xr:uid="{975412F8-FBB4-4F5F-AD2E-0CC1C37B92F6}"/>
    <cellStyle name="60% - Akzent6 35 3" xfId="29600" xr:uid="{C431DC29-B724-4077-A628-B740EC0AA3D1}"/>
    <cellStyle name="60% - Akzent6 36" xfId="10165" xr:uid="{4AA1214A-A859-41C7-8070-67DF207AC355}"/>
    <cellStyle name="60% - Akzent6 36 2" xfId="10166" xr:uid="{AD582A5B-13BE-4226-A972-C4FD504AED21}"/>
    <cellStyle name="60% - Akzent6 36 2 2" xfId="29603" xr:uid="{B59352BD-58B0-44F0-8A73-E16F67E4BA20}"/>
    <cellStyle name="60% - Akzent6 36 3" xfId="29602" xr:uid="{DAFBE308-24E2-44AB-BBD9-7A3F94B7C701}"/>
    <cellStyle name="60% - Akzent6 37" xfId="29477" xr:uid="{9106C023-A241-4F02-892F-796B916563F9}"/>
    <cellStyle name="60% - Akzent6 38" xfId="10040" xr:uid="{A218EFBF-89B9-49B1-8DB1-C072B4C5E17E}"/>
    <cellStyle name="60% - Akzent6 4" xfId="10167" xr:uid="{CB60146E-3937-4640-BAB1-D8C2846E6B49}"/>
    <cellStyle name="60% - Akzent6 4 2" xfId="10168" xr:uid="{3AB9CDA7-B003-4118-AEB5-1199B9183198}"/>
    <cellStyle name="60% - Akzent6 4 2 2" xfId="10169" xr:uid="{BC1AB633-6064-41F7-87E9-7AFC1D52AD83}"/>
    <cellStyle name="60% - Akzent6 4 2 2 2" xfId="29606" xr:uid="{DF73065F-C3EA-4C5E-9F1E-A7C24433BBF1}"/>
    <cellStyle name="60% - Akzent6 4 2 3" xfId="29605" xr:uid="{0C752743-2E83-4715-A2B8-BD79124D9CAF}"/>
    <cellStyle name="60% - Akzent6 4 2 4" xfId="39983" xr:uid="{9C495FEF-A296-4216-9793-A64EB0938C3B}"/>
    <cellStyle name="60% - Akzent6 4 3" xfId="10170" xr:uid="{747BB512-13BD-4E39-B3CC-7035E881AF0D}"/>
    <cellStyle name="60% - Akzent6 4 3 2" xfId="29607" xr:uid="{61348D17-AF5C-4A6F-9D8F-7716FD4FAFC4}"/>
    <cellStyle name="60% - Akzent6 4 4" xfId="10171" xr:uid="{9F48BA8B-1540-4368-A682-7CEDF8F5086F}"/>
    <cellStyle name="60% - Akzent6 4 4 2" xfId="29608" xr:uid="{AC421D90-41E2-4723-AB27-D88C3F455FDB}"/>
    <cellStyle name="60% - Akzent6 4 5" xfId="10172" xr:uid="{453173F6-F45E-4567-B738-49D56A3328D7}"/>
    <cellStyle name="60% - Akzent6 4 5 2" xfId="29609" xr:uid="{B46A88B1-33E7-4A94-99AA-57AAC68043C9}"/>
    <cellStyle name="60% - Akzent6 4 6" xfId="10173" xr:uid="{2D82802C-9BA4-4CF5-BC5A-B9E449F639BF}"/>
    <cellStyle name="60% - Akzent6 4 6 2" xfId="29610" xr:uid="{2F70CA20-6C74-42F1-9200-2C8FD13509E3}"/>
    <cellStyle name="60% - Akzent6 4 7" xfId="29604" xr:uid="{8AF65239-34DC-4E86-8FBB-AEAF0C7EDCB0}"/>
    <cellStyle name="60% - Akzent6 4 8" xfId="39369" xr:uid="{7E8AB98F-A83A-4E80-AAB4-DBA114EDA550}"/>
    <cellStyle name="60% - Akzent6 5" xfId="10174" xr:uid="{EB4DD415-E169-4D51-B9DA-BB5844551496}"/>
    <cellStyle name="60% - Akzent6 5 2" xfId="10175" xr:uid="{A096B571-5101-49A2-93D6-8E55097679AC}"/>
    <cellStyle name="60% - Akzent6 5 2 2" xfId="29612" xr:uid="{E4FBC6CF-3205-4985-9DEA-1CA0476C9A85}"/>
    <cellStyle name="60% - Akzent6 5 3" xfId="10176" xr:uid="{D2EE47DF-ECE0-4B55-9616-E222768DA2EB}"/>
    <cellStyle name="60% - Akzent6 5 3 2" xfId="29613" xr:uid="{AA147767-84B6-44A5-A4A0-3A5B3600EDAE}"/>
    <cellStyle name="60% - Akzent6 5 4" xfId="10177" xr:uid="{28E2A8D3-D7E9-4A6F-A3EC-591F80DCE632}"/>
    <cellStyle name="60% - Akzent6 5 4 2" xfId="29614" xr:uid="{8344573F-FC45-4D58-A2EB-4BBC7C81F166}"/>
    <cellStyle name="60% - Akzent6 5 5" xfId="29611" xr:uid="{8516B52C-0977-4F72-8324-14141BCC1BD6}"/>
    <cellStyle name="60% - Akzent6 5 6" xfId="39370" xr:uid="{5C3D0FD4-4725-4421-919C-A8E5773F1BA9}"/>
    <cellStyle name="60% - Akzent6 6" xfId="10178" xr:uid="{511C4AAC-24DD-465F-8F86-B706B8EB351B}"/>
    <cellStyle name="60% - Akzent6 6 2" xfId="10179" xr:uid="{A1F56B20-A261-4967-9AE3-12327128AFFA}"/>
    <cellStyle name="60% - Akzent6 6 2 2" xfId="29616" xr:uid="{02A4E6EB-503F-4830-9E61-0D19540ECC28}"/>
    <cellStyle name="60% - Akzent6 6 3" xfId="10180" xr:uid="{938DEA94-5E29-46D7-A809-11D5162201D4}"/>
    <cellStyle name="60% - Akzent6 6 3 2" xfId="29617" xr:uid="{CB85E2AC-26EC-4688-AA6F-AC7A48C0B420}"/>
    <cellStyle name="60% - Akzent6 6 4" xfId="10181" xr:uid="{0558448B-2993-438E-A288-6A376EE4C6D5}"/>
    <cellStyle name="60% - Akzent6 6 4 2" xfId="29618" xr:uid="{18925422-6C58-4137-BB4C-CBF6818873D8}"/>
    <cellStyle name="60% - Akzent6 6 5" xfId="29615" xr:uid="{83115C74-6696-45FE-A994-8FC34E063268}"/>
    <cellStyle name="60% - Akzent6 6 6" xfId="39365" xr:uid="{AB30AC48-35D5-4351-B4A6-5A3BCFB46432}"/>
    <cellStyle name="60% - Akzent6 7" xfId="10182" xr:uid="{6ED3B2E7-48A0-48F4-9AD0-FA1CE3A08FEC}"/>
    <cellStyle name="60% - Akzent6 7 2" xfId="10183" xr:uid="{2D644759-EC0F-46CE-99D8-D392BB74A03B}"/>
    <cellStyle name="60% - Akzent6 7 2 2" xfId="29620" xr:uid="{2B43E976-53F4-46ED-8579-AFDF6A5FA669}"/>
    <cellStyle name="60% - Akzent6 7 3" xfId="29619" xr:uid="{DF4E2BBD-99DD-4E67-88D6-E53F6C4E33A5}"/>
    <cellStyle name="60% - Akzent6 8" xfId="10184" xr:uid="{D97A8204-67C0-4AA9-AD74-B6F9F16182B9}"/>
    <cellStyle name="60% - Akzent6 8 2" xfId="10185" xr:uid="{717C1787-CB4C-4977-8183-46E5FF59ECD4}"/>
    <cellStyle name="60% - Akzent6 8 2 2" xfId="29622" xr:uid="{0DFB7B31-82DE-4887-B795-491A33C3A6D3}"/>
    <cellStyle name="60% - Akzent6 8 3" xfId="29621" xr:uid="{E6A818B5-3D90-4221-99F1-7625D0B0DC25}"/>
    <cellStyle name="60% - Akzent6 9" xfId="10186" xr:uid="{0343E671-8673-4B11-84CD-778ED6E562C3}"/>
    <cellStyle name="60% - Akzent6 9 2" xfId="10187" xr:uid="{52C811A7-A253-4863-A7CC-611ABF680055}"/>
    <cellStyle name="60% - Akzent6 9 2 2" xfId="29624" xr:uid="{4E6168FE-6C5C-4A5A-9020-CADD0A5F009B}"/>
    <cellStyle name="60% - Akzent6 9 3" xfId="29623" xr:uid="{83002FA6-38AB-4CA6-AE96-5E997C6D55BC}"/>
    <cellStyle name="Accent1" xfId="11" builtinId="29" customBuiltin="1"/>
    <cellStyle name="Accent2" xfId="14" builtinId="33" customBuiltin="1"/>
    <cellStyle name="Accent3" xfId="17" builtinId="37" customBuiltin="1"/>
    <cellStyle name="Accent4" xfId="20" builtinId="41" customBuiltin="1"/>
    <cellStyle name="Accent5" xfId="23" builtinId="45" customBuiltin="1"/>
    <cellStyle name="Accent6" xfId="26" builtinId="49" customBuiltin="1"/>
    <cellStyle name="Akzent1 10" xfId="10189" xr:uid="{FA6BBF89-E73F-450C-B5BC-323B836795D8}"/>
    <cellStyle name="Akzent1 10 2" xfId="10190" xr:uid="{B33A2B1A-4FF9-429C-85E8-3773BB30E807}"/>
    <cellStyle name="Akzent1 10 2 2" xfId="29627" xr:uid="{18C8C12A-2040-412E-9C88-B42BD2FAF1B4}"/>
    <cellStyle name="Akzent1 10 3" xfId="29626" xr:uid="{F16A3D21-B62F-48D6-9A07-7E543B7B5D3E}"/>
    <cellStyle name="Akzent1 11" xfId="10191" xr:uid="{9746E793-A316-4652-8351-BD1A97A17338}"/>
    <cellStyle name="Akzent1 11 2" xfId="10192" xr:uid="{4CCF9654-5521-436E-919F-CB883D43029F}"/>
    <cellStyle name="Akzent1 11 2 2" xfId="29629" xr:uid="{41E61CD8-0C45-43EC-A436-CCEAA53C526B}"/>
    <cellStyle name="Akzent1 11 3" xfId="29628" xr:uid="{449D930E-8763-4D28-9632-F4745EE7CF54}"/>
    <cellStyle name="Akzent1 12" xfId="10193" xr:uid="{D8C1E908-AC7E-4CB1-96FE-2B6714342E56}"/>
    <cellStyle name="Akzent1 12 2" xfId="10194" xr:uid="{10AA01A4-210B-4761-B403-A3DB39FB5A0E}"/>
    <cellStyle name="Akzent1 12 2 2" xfId="29631" xr:uid="{1FB00AF3-1723-42F4-B4D8-E6A251061B40}"/>
    <cellStyle name="Akzent1 12 3" xfId="29630" xr:uid="{0B1AF2AE-3D6E-49FC-B939-E9FDE371F7E7}"/>
    <cellStyle name="Akzent1 13" xfId="10195" xr:uid="{764A1E9D-2E52-4E46-B010-2E55CB196B21}"/>
    <cellStyle name="Akzent1 13 2" xfId="10196" xr:uid="{FD8F2653-4061-4054-8EB1-FE2BF0DB88D8}"/>
    <cellStyle name="Akzent1 13 2 2" xfId="29633" xr:uid="{642FFF5F-6EB1-40F7-9089-EE78AB11DF44}"/>
    <cellStyle name="Akzent1 13 3" xfId="29632" xr:uid="{0D732334-91A9-4717-B0D3-E721D4433B6F}"/>
    <cellStyle name="Akzent1 14" xfId="10197" xr:uid="{FA6D5200-580E-4C18-9ED3-615FBB5D4207}"/>
    <cellStyle name="Akzent1 14 2" xfId="10198" xr:uid="{FF357B8C-34C3-48FF-A512-EB44941DC0C4}"/>
    <cellStyle name="Akzent1 14 2 2" xfId="29635" xr:uid="{54548430-6A82-42B2-88CD-8E96FA4CF1AB}"/>
    <cellStyle name="Akzent1 14 3" xfId="29634" xr:uid="{5279723A-F984-4AD5-A179-AFECE7FC218C}"/>
    <cellStyle name="Akzent1 15" xfId="10199" xr:uid="{A8C098A3-9F67-4DAD-ADB0-86EB6344FF9D}"/>
    <cellStyle name="Akzent1 15 2" xfId="10200" xr:uid="{0134AD41-9E43-4B94-A510-FF48C0A04D67}"/>
    <cellStyle name="Akzent1 15 2 2" xfId="29637" xr:uid="{F6EF8600-EA51-4B7B-AE92-5BB2EE8BA51C}"/>
    <cellStyle name="Akzent1 15 3" xfId="29636" xr:uid="{29BA117C-1D4D-4233-83ED-CE4B0816580E}"/>
    <cellStyle name="Akzent1 16" xfId="10201" xr:uid="{5BBE87E3-90D5-42A9-A364-2078CA247C2F}"/>
    <cellStyle name="Akzent1 16 2" xfId="10202" xr:uid="{20E79571-73B9-4C0D-B432-269B97BFF162}"/>
    <cellStyle name="Akzent1 16 2 2" xfId="29639" xr:uid="{08F71E0A-72ED-45D8-8DC4-DDEED2C27667}"/>
    <cellStyle name="Akzent1 16 3" xfId="29638" xr:uid="{7677EB27-A5C9-4D58-BA5F-2EC9273EC089}"/>
    <cellStyle name="Akzent1 17" xfId="10203" xr:uid="{5F6B1F4B-2224-4652-B56F-B83AD3F2B387}"/>
    <cellStyle name="Akzent1 17 2" xfId="10204" xr:uid="{FB48BB18-2C56-40DD-A1F1-76E07AB1F2F8}"/>
    <cellStyle name="Akzent1 17 2 2" xfId="29641" xr:uid="{447610B4-C49E-45B1-98B2-8FADB40B52B6}"/>
    <cellStyle name="Akzent1 17 3" xfId="29640" xr:uid="{39944708-7798-4BC3-9201-E2D53A9E6660}"/>
    <cellStyle name="Akzent1 18" xfId="10205" xr:uid="{6F5168F1-79C9-4B13-B800-BAE2B5B36573}"/>
    <cellStyle name="Akzent1 18 2" xfId="10206" xr:uid="{A8C07AE3-1E9F-4CA5-A603-10C53B108D68}"/>
    <cellStyle name="Akzent1 18 2 2" xfId="29643" xr:uid="{7A87530E-F4E7-4E19-8D7D-F82CCC58B6BC}"/>
    <cellStyle name="Akzent1 18 3" xfId="29642" xr:uid="{6BD2CEB7-D339-40B4-9DCF-AC55C3F7DE80}"/>
    <cellStyle name="Akzent1 19" xfId="10207" xr:uid="{C0B98575-CD73-4103-AE2E-208A3CAEFDFD}"/>
    <cellStyle name="Akzent1 19 2" xfId="10208" xr:uid="{D8F81D39-C0FF-4C1F-B9E4-3439FCD14D6F}"/>
    <cellStyle name="Akzent1 19 2 2" xfId="29645" xr:uid="{7FAA9402-82DF-4AF9-8072-C9428F738365}"/>
    <cellStyle name="Akzent1 19 3" xfId="29644" xr:uid="{5ED4B0CE-F5C2-434E-AA3A-4366D50064EB}"/>
    <cellStyle name="Akzent1 2" xfId="10209" xr:uid="{7691320E-EAFD-4A06-8E10-FAC1C49EBC80}"/>
    <cellStyle name="Akzent1 2 10" xfId="10210" xr:uid="{CB299661-8CE9-472C-933D-CAC94EDFFD82}"/>
    <cellStyle name="Akzent1 2 10 2" xfId="29647" xr:uid="{7B49C78D-89E9-4BA2-9A3C-D46B4B7C65B2}"/>
    <cellStyle name="Akzent1 2 11" xfId="10211" xr:uid="{0ED53C57-0B69-4EEF-9121-F3213B283350}"/>
    <cellStyle name="Akzent1 2 11 2" xfId="29648" xr:uid="{20228CF6-0AB2-4B0F-A693-7A9C7AE999B7}"/>
    <cellStyle name="Akzent1 2 12" xfId="10212" xr:uid="{26653FF2-83AB-4C47-BBDE-964C4BEC6551}"/>
    <cellStyle name="Akzent1 2 12 2" xfId="29649" xr:uid="{FC94D192-F0A7-45E7-9773-FD6303A353D6}"/>
    <cellStyle name="Akzent1 2 13" xfId="10213" xr:uid="{FF16DABE-F684-420B-BCEE-D3D0DA1DECE5}"/>
    <cellStyle name="Akzent1 2 13 2" xfId="29650" xr:uid="{11EC282A-6CC5-46FB-8EA4-DBD00F819FA0}"/>
    <cellStyle name="Akzent1 2 14" xfId="10214" xr:uid="{36D9164A-4312-447F-859F-D7C9827E82AF}"/>
    <cellStyle name="Akzent1 2 14 2" xfId="29651" xr:uid="{553B23C2-47A8-4647-9201-9286FCBA49FD}"/>
    <cellStyle name="Akzent1 2 15" xfId="29646" xr:uid="{450ABE5F-4EA2-42D6-8873-0239B9CCC2EA}"/>
    <cellStyle name="Akzent1 2 16" xfId="39372" xr:uid="{B27003FA-9BB6-4B06-974D-4C22D21EF61F}"/>
    <cellStyle name="Akzent1 2 2" xfId="10215" xr:uid="{6978968F-394D-4D15-9126-2137FBB61B5E}"/>
    <cellStyle name="Akzent1 2 2 10" xfId="10216" xr:uid="{9468C120-0ED7-4462-A2DD-FAF470BB0E28}"/>
    <cellStyle name="Akzent1 2 2 10 2" xfId="29653" xr:uid="{0641FB0E-E8AF-4AA4-B457-5AFDD6BF2753}"/>
    <cellStyle name="Akzent1 2 2 11" xfId="10217" xr:uid="{18BF24D9-6C52-4B4F-862E-FA6D70E27A0E}"/>
    <cellStyle name="Akzent1 2 2 11 2" xfId="29654" xr:uid="{CB9A501F-AEC5-42A3-A6B7-C53E8DD24400}"/>
    <cellStyle name="Akzent1 2 2 12" xfId="10218" xr:uid="{5E45313D-2D40-44BB-BE62-C2227FC32768}"/>
    <cellStyle name="Akzent1 2 2 12 2" xfId="29655" xr:uid="{3DAA4702-075F-4D9A-BE50-5F91D23A0A95}"/>
    <cellStyle name="Akzent1 2 2 13" xfId="29652" xr:uid="{D740E4C6-EFA6-4421-A3FA-53691C713958}"/>
    <cellStyle name="Akzent1 2 2 14" xfId="39373" xr:uid="{F4D96651-1741-4E2D-AB9D-A3BFE20726EF}"/>
    <cellStyle name="Akzent1 2 2 2" xfId="10219" xr:uid="{E5C6150D-5287-433A-AB7C-519D1313419D}"/>
    <cellStyle name="Akzent1 2 2 2 10" xfId="10220" xr:uid="{A3FE714E-7C6F-4BF0-BB53-0B95D8C71EFC}"/>
    <cellStyle name="Akzent1 2 2 2 10 2" xfId="29657" xr:uid="{31573F48-C2A9-49F4-9D7E-79167E90D2EB}"/>
    <cellStyle name="Akzent1 2 2 2 11" xfId="29656" xr:uid="{A8EE7E21-FE32-473C-91AE-C98B2C54FDC0}"/>
    <cellStyle name="Akzent1 2 2 2 2" xfId="10221" xr:uid="{7E6BDF86-4780-42F0-8570-F76BF4B1C4EA}"/>
    <cellStyle name="Akzent1 2 2 2 2 2" xfId="10222" xr:uid="{5249E1D1-5F51-404F-A790-5AEC73A44AAC}"/>
    <cellStyle name="Akzent1 2 2 2 2 2 2" xfId="10223" xr:uid="{E3547C8A-65F5-4994-BC93-713E80F1B41F}"/>
    <cellStyle name="Akzent1 2 2 2 2 2 2 2" xfId="10224" xr:uid="{C397497E-16C4-4EFA-ACE2-602C8E74F19C}"/>
    <cellStyle name="Akzent1 2 2 2 2 2 2 2 2" xfId="29661" xr:uid="{2681D770-BDA5-4F6A-AF2B-8E9F9F5CF755}"/>
    <cellStyle name="Akzent1 2 2 2 2 2 2 3" xfId="29660" xr:uid="{09B5F2C5-E702-49EA-B9EC-FE8F86E4A181}"/>
    <cellStyle name="Akzent1 2 2 2 2 2 3" xfId="10225" xr:uid="{1B22B54B-38D9-46F2-8571-9DE31E4B50CB}"/>
    <cellStyle name="Akzent1 2 2 2 2 2 3 2" xfId="29662" xr:uid="{2E7FBC2D-A276-4F09-826D-B5D702BFB48B}"/>
    <cellStyle name="Akzent1 2 2 2 2 2 4" xfId="10226" xr:uid="{3DA11D27-FD20-4FF9-AC96-B2683D66EF8A}"/>
    <cellStyle name="Akzent1 2 2 2 2 2 4 2" xfId="29663" xr:uid="{470F3E86-5A7E-471C-AF3C-4813C9F77EC7}"/>
    <cellStyle name="Akzent1 2 2 2 2 2 5" xfId="10227" xr:uid="{3296CB89-8558-40E8-81C2-2662EFCAF36B}"/>
    <cellStyle name="Akzent1 2 2 2 2 2 5 2" xfId="29664" xr:uid="{8387F5AF-D7E8-4BD4-90D4-395C0D3B87A0}"/>
    <cellStyle name="Akzent1 2 2 2 2 2 6" xfId="10228" xr:uid="{A8189C0E-6E53-4BFD-9DC1-E48D023ECBCE}"/>
    <cellStyle name="Akzent1 2 2 2 2 2 6 2" xfId="29665" xr:uid="{32A3270B-4A5C-4AB3-9E08-64404F5A329F}"/>
    <cellStyle name="Akzent1 2 2 2 2 2 7" xfId="10229" xr:uid="{069BC8C2-ACE2-491E-825D-5DA24CDD1904}"/>
    <cellStyle name="Akzent1 2 2 2 2 2 7 2" xfId="29666" xr:uid="{D920B0D5-3DB8-488A-B034-AFBE98068E9D}"/>
    <cellStyle name="Akzent1 2 2 2 2 2 8" xfId="10230" xr:uid="{7F3799E6-0438-4902-AE3F-3ABC9E77C9FD}"/>
    <cellStyle name="Akzent1 2 2 2 2 2 8 2" xfId="29667" xr:uid="{28BD64FF-923E-42D2-B3F5-86154FE1EEFC}"/>
    <cellStyle name="Akzent1 2 2 2 2 2 9" xfId="29659" xr:uid="{687FCC52-D959-481B-8E96-F75B0672B103}"/>
    <cellStyle name="Akzent1 2 2 2 2 3" xfId="10231" xr:uid="{CFB31CB4-975C-4E5B-A22C-58B2F14DF588}"/>
    <cellStyle name="Akzent1 2 2 2 2 3 2" xfId="10232" xr:uid="{6A0984E6-E908-4167-8DB1-83D7ACAC4388}"/>
    <cellStyle name="Akzent1 2 2 2 2 3 2 2" xfId="29669" xr:uid="{F1914226-67BC-4429-80BA-EB99F1C0F642}"/>
    <cellStyle name="Akzent1 2 2 2 2 3 3" xfId="29668" xr:uid="{81F8F09E-DA91-4CFA-A194-179CEFC3DE07}"/>
    <cellStyle name="Akzent1 2 2 2 2 4" xfId="10233" xr:uid="{02AA4141-B4A6-4A40-9C59-4519582C6527}"/>
    <cellStyle name="Akzent1 2 2 2 2 4 2" xfId="29670" xr:uid="{A0D0AFD4-A7BA-40D1-93DF-EF5F3A41E066}"/>
    <cellStyle name="Akzent1 2 2 2 2 5" xfId="10234" xr:uid="{4D0E8D8C-D649-4B0F-8302-D3FCB4728455}"/>
    <cellStyle name="Akzent1 2 2 2 2 5 2" xfId="29671" xr:uid="{EAD65F8A-BB00-4AF9-BC98-BF845DA9B426}"/>
    <cellStyle name="Akzent1 2 2 2 2 6" xfId="10235" xr:uid="{B8937DF1-D62C-425B-9E67-9AF595C89504}"/>
    <cellStyle name="Akzent1 2 2 2 2 6 2" xfId="29672" xr:uid="{EBE5C2A4-4B83-495C-9603-92E85940069D}"/>
    <cellStyle name="Akzent1 2 2 2 2 7" xfId="10236" xr:uid="{DCFE7C24-EA71-46C1-929E-2C1C49A996D1}"/>
    <cellStyle name="Akzent1 2 2 2 2 7 2" xfId="29673" xr:uid="{95F9383B-8F5B-496F-AA4D-F9DB1519A21C}"/>
    <cellStyle name="Akzent1 2 2 2 2 8" xfId="10237" xr:uid="{46676085-30A7-47AC-9261-3FA30212DED4}"/>
    <cellStyle name="Akzent1 2 2 2 2 8 2" xfId="29674" xr:uid="{CDBCE50C-AD37-4BAD-A57E-B14FE97FEF66}"/>
    <cellStyle name="Akzent1 2 2 2 2 9" xfId="29658" xr:uid="{F7A0A665-9D8D-4995-9B30-F92E5CC79C0B}"/>
    <cellStyle name="Akzent1 2 2 2 3" xfId="10238" xr:uid="{FC227036-750A-40AD-BD20-BF9C62979528}"/>
    <cellStyle name="Akzent1 2 2 2 3 2" xfId="29675" xr:uid="{29783C1F-AB18-450D-958F-E5A2089C9BF2}"/>
    <cellStyle name="Akzent1 2 2 2 4" xfId="10239" xr:uid="{5F173127-7806-4A91-80D6-E756EC7F5F40}"/>
    <cellStyle name="Akzent1 2 2 2 4 2" xfId="29676" xr:uid="{5D2C96BD-287D-4775-A787-2B6AA3A06E86}"/>
    <cellStyle name="Akzent1 2 2 2 5" xfId="10240" xr:uid="{7E448DED-78BD-4E55-8BAB-CDF288DD2D01}"/>
    <cellStyle name="Akzent1 2 2 2 5 2" xfId="10241" xr:uid="{5DA956FB-BA0D-4416-88DB-2B3A32CD8C82}"/>
    <cellStyle name="Akzent1 2 2 2 5 2 2" xfId="29678" xr:uid="{A13B8931-76ED-4038-A504-F6FD6B8166A3}"/>
    <cellStyle name="Akzent1 2 2 2 5 3" xfId="29677" xr:uid="{CA1F7A7D-155C-40F3-8EB8-72063FA23DB3}"/>
    <cellStyle name="Akzent1 2 2 2 6" xfId="10242" xr:uid="{2AB06EA9-A7FE-4AA0-AA61-78233C40768F}"/>
    <cellStyle name="Akzent1 2 2 2 6 2" xfId="29679" xr:uid="{0138D1FA-BE97-44BE-8E9D-B73A2B321DAF}"/>
    <cellStyle name="Akzent1 2 2 2 7" xfId="10243" xr:uid="{6E8E7F3B-0410-4174-9D29-743039A1AFCE}"/>
    <cellStyle name="Akzent1 2 2 2 7 2" xfId="29680" xr:uid="{355F9485-5E5A-4B5D-9BF4-E5BFA86A01BA}"/>
    <cellStyle name="Akzent1 2 2 2 8" xfId="10244" xr:uid="{BA63EE89-BBDB-4C5D-B66E-D7A9540B86B3}"/>
    <cellStyle name="Akzent1 2 2 2 8 2" xfId="29681" xr:uid="{C9126736-892C-43ED-8B3A-E9EDEAB28412}"/>
    <cellStyle name="Akzent1 2 2 2 9" xfId="10245" xr:uid="{4D240177-344C-4797-B98B-D5D792BE8423}"/>
    <cellStyle name="Akzent1 2 2 2 9 2" xfId="29682" xr:uid="{027787B1-6765-40B1-B296-DE422D5F1AE4}"/>
    <cellStyle name="Akzent1 2 2 3" xfId="10246" xr:uid="{FA4A9971-FB66-42B8-97C5-2033B08D8D66}"/>
    <cellStyle name="Akzent1 2 2 3 2" xfId="29683" xr:uid="{1529EBE8-36FF-4EDE-B0AA-9E3FBCA25B5F}"/>
    <cellStyle name="Akzent1 2 2 4" xfId="10247" xr:uid="{9CBB2F0C-BE69-454E-B29E-21577491A033}"/>
    <cellStyle name="Akzent1 2 2 4 2" xfId="29684" xr:uid="{1C105B4C-AB61-43CF-ACA2-AAB24BA4CACC}"/>
    <cellStyle name="Akzent1 2 2 5" xfId="10248" xr:uid="{3F99DA9E-409D-4930-A4F5-AFF9230C77B1}"/>
    <cellStyle name="Akzent1 2 2 5 2" xfId="10249" xr:uid="{3DE3C046-6A16-419A-8547-56D2B03517AC}"/>
    <cellStyle name="Akzent1 2 2 5 2 2" xfId="29686" xr:uid="{DC2191B3-8335-4CFB-9986-626A37C5087E}"/>
    <cellStyle name="Akzent1 2 2 5 3" xfId="29685" xr:uid="{70831A85-2719-4978-B8F3-62DD1775DB38}"/>
    <cellStyle name="Akzent1 2 2 6" xfId="10250" xr:uid="{005CB9AD-C457-470B-98CA-A06EB7854D5B}"/>
    <cellStyle name="Akzent1 2 2 6 2" xfId="29687" xr:uid="{369077A7-7F26-4ABC-8665-0987FA0E9F07}"/>
    <cellStyle name="Akzent1 2 2 7" xfId="10251" xr:uid="{C10CC79D-3A4D-4804-A149-BCA2506EA2C8}"/>
    <cellStyle name="Akzent1 2 2 7 2" xfId="10252" xr:uid="{1F9680C6-81D5-48F9-A01B-706CA610EB45}"/>
    <cellStyle name="Akzent1 2 2 7 2 2" xfId="29689" xr:uid="{9A2A04CD-6658-4A34-8FD8-8A816047E293}"/>
    <cellStyle name="Akzent1 2 2 7 3" xfId="29688" xr:uid="{E13207BC-F46C-4E9E-86E7-0480AA2090FE}"/>
    <cellStyle name="Akzent1 2 2 8" xfId="10253" xr:uid="{41208399-73D1-4575-91A5-28E83BBA8D26}"/>
    <cellStyle name="Akzent1 2 2 8 2" xfId="29690" xr:uid="{B47FA94C-441B-40D6-BB3A-85BF6F9EBA0E}"/>
    <cellStyle name="Akzent1 2 2 9" xfId="10254" xr:uid="{3FDFCBEC-5261-4548-B41E-60872FC9BF53}"/>
    <cellStyle name="Akzent1 2 2 9 2" xfId="29691" xr:uid="{731B7A0D-75E8-47F0-BC0A-0D338EF0AD70}"/>
    <cellStyle name="Akzent1 2 3" xfId="10255" xr:uid="{A4F4C254-95E3-4745-B823-E6F819236A97}"/>
    <cellStyle name="Akzent1 2 3 2" xfId="29692" xr:uid="{A1EC55BE-1DB5-4EB4-9D8F-39753C248754}"/>
    <cellStyle name="Akzent1 2 4" xfId="10256" xr:uid="{AAF785F6-A86A-4458-A29D-7ACDC7276E2A}"/>
    <cellStyle name="Akzent1 2 4 2" xfId="10257" xr:uid="{263D15ED-3552-4243-A842-E9A76EAA0BDE}"/>
    <cellStyle name="Akzent1 2 4 2 2" xfId="10258" xr:uid="{F7FCF88F-7EC9-467C-9233-0F49CB4DA05E}"/>
    <cellStyle name="Akzent1 2 4 2 2 2" xfId="29695" xr:uid="{2DA42CBC-7351-4C8C-A55D-FC222C7F9FB3}"/>
    <cellStyle name="Akzent1 2 4 2 3" xfId="29694" xr:uid="{A396546A-8B52-4987-B6E3-1340E59A0FFA}"/>
    <cellStyle name="Akzent1 2 4 3" xfId="10259" xr:uid="{21CE2511-8A9C-4C30-B307-E1469CE571A1}"/>
    <cellStyle name="Akzent1 2 4 3 2" xfId="29696" xr:uid="{D8E3195E-351D-4193-9E15-334E4274729F}"/>
    <cellStyle name="Akzent1 2 4 4" xfId="10260" xr:uid="{7906DF67-51D4-4C90-8093-512A5DDD8CB8}"/>
    <cellStyle name="Akzent1 2 4 4 2" xfId="29697" xr:uid="{28EAC53B-4D05-448A-A506-25E9CC382B74}"/>
    <cellStyle name="Akzent1 2 4 5" xfId="29693" xr:uid="{AAF11BCF-7D50-49E2-A015-2D633CBD628B}"/>
    <cellStyle name="Akzent1 2 5" xfId="10261" xr:uid="{6F30A4FF-A060-482B-B282-0A4F79234FF8}"/>
    <cellStyle name="Akzent1 2 5 2" xfId="29698" xr:uid="{CAA66409-61B8-4D1D-9E67-4E6A5CF27C76}"/>
    <cellStyle name="Akzent1 2 6" xfId="10262" xr:uid="{7267F913-0ABC-43F7-A11B-D9104E656BA5}"/>
    <cellStyle name="Akzent1 2 6 2" xfId="10263" xr:uid="{ACEA793E-0FBF-483B-AA33-9A8F5EA6106C}"/>
    <cellStyle name="Akzent1 2 6 2 2" xfId="29700" xr:uid="{E58D41D1-8DCC-413A-8302-45DBF0B89F02}"/>
    <cellStyle name="Akzent1 2 6 3" xfId="29699" xr:uid="{0BC6FA24-6E73-4110-B859-A4FF27A6B10A}"/>
    <cellStyle name="Akzent1 2 7" xfId="10264" xr:uid="{2EBEEBF1-DE86-4FB5-963B-9FC191330383}"/>
    <cellStyle name="Akzent1 2 7 2" xfId="29701" xr:uid="{1D3A8778-8111-4D94-8892-56319D789DB1}"/>
    <cellStyle name="Akzent1 2 8" xfId="10265" xr:uid="{F54FD206-E768-4A9F-8A43-14DAACE40B71}"/>
    <cellStyle name="Akzent1 2 8 2" xfId="10266" xr:uid="{932E6908-EAB1-4862-ABD9-0F3F5752A9DC}"/>
    <cellStyle name="Akzent1 2 8 2 2" xfId="29703" xr:uid="{995E34A0-ED05-4C58-913D-1D2795B8E6E3}"/>
    <cellStyle name="Akzent1 2 8 3" xfId="29702" xr:uid="{F5DAED1B-6F97-4941-A627-BC11C65F56B8}"/>
    <cellStyle name="Akzent1 2 9" xfId="10267" xr:uid="{5791AF60-0DAA-4D41-A4E8-55549E34B21A}"/>
    <cellStyle name="Akzent1 2 9 2" xfId="29704" xr:uid="{E1A3C172-889D-42D4-8DF3-4AE7B3A2747C}"/>
    <cellStyle name="Akzent1 20" xfId="10268" xr:uid="{32B57ADB-1BC2-4291-9BAE-AF170DACB999}"/>
    <cellStyle name="Akzent1 20 2" xfId="10269" xr:uid="{D94CF984-6E82-4062-B8FB-66E693967B51}"/>
    <cellStyle name="Akzent1 20 2 2" xfId="29706" xr:uid="{904B895E-ED56-4DAD-B0BF-1F06DBF96ED2}"/>
    <cellStyle name="Akzent1 20 3" xfId="29705" xr:uid="{54889FF0-27A1-4DD6-AC1E-52B6C96B33B3}"/>
    <cellStyle name="Akzent1 21" xfId="10270" xr:uid="{B29311B7-EA12-4458-8090-3F57FD66746C}"/>
    <cellStyle name="Akzent1 21 2" xfId="10271" xr:uid="{CEE72B41-C78E-4908-9B44-B5AFC3C0C472}"/>
    <cellStyle name="Akzent1 21 2 2" xfId="29708" xr:uid="{436F100A-2295-4D04-A883-8407E893EF5C}"/>
    <cellStyle name="Akzent1 21 3" xfId="29707" xr:uid="{0FD4C9B5-0AF6-48D7-A8CC-974F39B915CE}"/>
    <cellStyle name="Akzent1 22" xfId="10272" xr:uid="{89F8F243-F74C-4A75-B5D2-269AFA3847F4}"/>
    <cellStyle name="Akzent1 22 2" xfId="10273" xr:uid="{C0E515E0-B75F-4AE4-BBE0-11FD10F58923}"/>
    <cellStyle name="Akzent1 22 2 2" xfId="29710" xr:uid="{748FC1CF-CDAC-404F-9B0A-A40735E6D434}"/>
    <cellStyle name="Akzent1 22 3" xfId="29709" xr:uid="{CD736EFA-F62E-48E2-A83E-9B6E5C11AF4A}"/>
    <cellStyle name="Akzent1 23" xfId="10274" xr:uid="{AB364D93-98E6-46EF-BC30-CDA01C58DCD2}"/>
    <cellStyle name="Akzent1 23 2" xfId="10275" xr:uid="{A81A13EE-4A3F-4555-91F5-EC9684FDB7B1}"/>
    <cellStyle name="Akzent1 23 2 2" xfId="29712" xr:uid="{FE23C7F3-D8D1-447D-BEB4-31F2AC2B5E79}"/>
    <cellStyle name="Akzent1 23 3" xfId="29711" xr:uid="{C9401F60-D4B1-425A-819C-8C96CA6770E3}"/>
    <cellStyle name="Akzent1 24" xfId="10276" xr:uid="{A840751F-DD1D-471F-AC8B-C628FE81909A}"/>
    <cellStyle name="Akzent1 24 2" xfId="10277" xr:uid="{ABEC5541-9BC5-4819-A5DB-E68E6A5504FD}"/>
    <cellStyle name="Akzent1 24 2 2" xfId="29714" xr:uid="{3F0819C8-7752-47F1-8191-7C11375E4A9D}"/>
    <cellStyle name="Akzent1 24 3" xfId="29713" xr:uid="{5032F22F-5F5D-45BF-8FA8-EA283E2E7C65}"/>
    <cellStyle name="Akzent1 25" xfId="10278" xr:uid="{F6DE2268-2EF8-4839-B3A5-97EC0B14F6F6}"/>
    <cellStyle name="Akzent1 25 2" xfId="10279" xr:uid="{5B4D1A51-34C9-4839-B1BB-F19E95F03F70}"/>
    <cellStyle name="Akzent1 25 2 2" xfId="29716" xr:uid="{9E979D25-800E-4A0E-849A-F714801D533A}"/>
    <cellStyle name="Akzent1 25 3" xfId="29715" xr:uid="{8211FA8F-9843-433B-9503-175569A31B82}"/>
    <cellStyle name="Akzent1 26" xfId="10280" xr:uid="{56A25C14-7604-4E10-9812-7D0E85237B49}"/>
    <cellStyle name="Akzent1 26 2" xfId="10281" xr:uid="{F48ADFE4-B7DF-4F30-A90D-8481995F2EB9}"/>
    <cellStyle name="Akzent1 26 2 2" xfId="29718" xr:uid="{4B55A278-70F4-49A1-8BFB-4427312C9490}"/>
    <cellStyle name="Akzent1 26 3" xfId="29717" xr:uid="{A1AAE192-E037-4EE0-9786-DAE0D5CBFE18}"/>
    <cellStyle name="Akzent1 27" xfId="10282" xr:uid="{DAD40FE8-487B-48D4-B82E-D300D26EA675}"/>
    <cellStyle name="Akzent1 27 2" xfId="10283" xr:uid="{A4C1C999-B641-4459-A4D8-EED2C04A0856}"/>
    <cellStyle name="Akzent1 27 2 2" xfId="29720" xr:uid="{40136683-DC14-44C0-A9AA-D4204E948B4E}"/>
    <cellStyle name="Akzent1 27 3" xfId="29719" xr:uid="{7F427B5B-A6AA-44A8-B23F-D2AE731A6CC8}"/>
    <cellStyle name="Akzent1 28" xfId="10284" xr:uid="{06057960-2E12-4274-8CE1-E8AC02A4FC7E}"/>
    <cellStyle name="Akzent1 28 2" xfId="10285" xr:uid="{E854CE2E-89E7-4E7E-AF61-8BFF684A1D93}"/>
    <cellStyle name="Akzent1 28 2 2" xfId="29722" xr:uid="{64D3F474-8CF0-49E8-BBDA-FE516FA5C4F5}"/>
    <cellStyle name="Akzent1 28 3" xfId="29721" xr:uid="{A2037A0E-0688-4356-A73E-5D61789057C5}"/>
    <cellStyle name="Akzent1 29" xfId="10286" xr:uid="{D77F88D3-B503-484B-87BD-8C721329E1A4}"/>
    <cellStyle name="Akzent1 29 2" xfId="10287" xr:uid="{3E578905-6E89-4429-B039-FA41C7BB59CD}"/>
    <cellStyle name="Akzent1 29 2 2" xfId="29724" xr:uid="{A154B744-D917-4331-B59D-DD190A97F491}"/>
    <cellStyle name="Akzent1 29 3" xfId="29723" xr:uid="{EA7DF723-3DD4-4785-820C-FF943C42BA3A}"/>
    <cellStyle name="Akzent1 3" xfId="10288" xr:uid="{8527DDB8-29AF-46BE-AE49-6CC91CB46AA8}"/>
    <cellStyle name="Akzent1 3 10" xfId="39374" xr:uid="{D5479A24-B228-47FF-A6C8-EBA020AA8CAB}"/>
    <cellStyle name="Akzent1 3 2" xfId="10289" xr:uid="{8A1072D8-AFF4-4DC4-9681-595AF3B002F0}"/>
    <cellStyle name="Akzent1 3 2 2" xfId="10290" xr:uid="{0A570899-82EB-4253-90E6-7C5246CDC633}"/>
    <cellStyle name="Akzent1 3 2 2 2" xfId="10291" xr:uid="{A509AF7D-1625-42FF-B3AE-13DDE42B90E3}"/>
    <cellStyle name="Akzent1 3 2 2 2 2" xfId="29728" xr:uid="{F4F2A4C0-AC32-41BB-B0EB-DFBD8C55F9B7}"/>
    <cellStyle name="Akzent1 3 2 2 3" xfId="29727" xr:uid="{039966E2-E5E0-46B1-858C-6E5800F8A1C7}"/>
    <cellStyle name="Akzent1 3 2 3" xfId="10292" xr:uid="{9D0E98E3-793B-4E76-93E1-9B7E62256DD9}"/>
    <cellStyle name="Akzent1 3 2 3 2" xfId="29729" xr:uid="{6E7A7B67-1262-4CE3-8CD2-8DF724068105}"/>
    <cellStyle name="Akzent1 3 2 4" xfId="10293" xr:uid="{A5FE18B3-9753-4A86-8B7F-90C71D662A96}"/>
    <cellStyle name="Akzent1 3 2 4 2" xfId="29730" xr:uid="{E404B681-0A6B-42E7-B458-E3D477CF0DB2}"/>
    <cellStyle name="Akzent1 3 2 5" xfId="29726" xr:uid="{1CDFABE8-A4CC-43E4-87C5-BB57154CD51C}"/>
    <cellStyle name="Akzent1 3 2 6" xfId="39984" xr:uid="{B367624C-3A43-4131-BE61-9CCA16C6DE10}"/>
    <cellStyle name="Akzent1 3 3" xfId="10294" xr:uid="{A9905906-7411-43B4-8E69-2C97CCD69DB2}"/>
    <cellStyle name="Akzent1 3 3 2" xfId="29731" xr:uid="{9969154A-6210-42D2-8F8F-4820AC2C3C87}"/>
    <cellStyle name="Akzent1 3 4" xfId="10295" xr:uid="{016DFFEF-FA4A-41C4-B8C6-30439D537BFF}"/>
    <cellStyle name="Akzent1 3 4 2" xfId="29732" xr:uid="{3D359C1C-3E93-42B8-BBAD-7E54BB0F6C9F}"/>
    <cellStyle name="Akzent1 3 5" xfId="10296" xr:uid="{35EC280F-CC8F-4470-82DE-9CACEE6EA619}"/>
    <cellStyle name="Akzent1 3 5 2" xfId="10297" xr:uid="{B6388AB5-653E-4FB4-90A0-82CADA440596}"/>
    <cellStyle name="Akzent1 3 5 2 2" xfId="29734" xr:uid="{C68A9AA6-B6FD-48F5-9764-1278C17467F8}"/>
    <cellStyle name="Akzent1 3 5 3" xfId="29733" xr:uid="{D2BF1750-9703-48BE-9795-723E2BF631A6}"/>
    <cellStyle name="Akzent1 3 6" xfId="10298" xr:uid="{C7264B93-5FC7-4E5C-875B-8218B626EB51}"/>
    <cellStyle name="Akzent1 3 6 2" xfId="29735" xr:uid="{54FFFB30-05BC-47D9-815E-7AAABB9A5BF9}"/>
    <cellStyle name="Akzent1 3 7" xfId="10299" xr:uid="{DED633EA-D410-4740-9956-C410EA70E04C}"/>
    <cellStyle name="Akzent1 3 7 2" xfId="29736" xr:uid="{2D58969C-326D-428E-A00D-B6A4140022EE}"/>
    <cellStyle name="Akzent1 3 8" xfId="10300" xr:uid="{CEB57963-7080-4023-8A08-F8151A04822E}"/>
    <cellStyle name="Akzent1 3 8 2" xfId="29737" xr:uid="{E0FC67DB-26A6-4E07-A045-B839746852E8}"/>
    <cellStyle name="Akzent1 3 9" xfId="29725" xr:uid="{52323EE9-2A71-400C-9B95-D033652F50E1}"/>
    <cellStyle name="Akzent1 30" xfId="10301" xr:uid="{2CB16F9C-08E3-4F45-BD3C-FA6FBC8E7FE6}"/>
    <cellStyle name="Akzent1 30 2" xfId="10302" xr:uid="{968C43D2-7035-4DEA-BF78-8045F38D8497}"/>
    <cellStyle name="Akzent1 30 2 2" xfId="29739" xr:uid="{BD61E933-B8A8-4F81-A0F6-2EC65CF0D566}"/>
    <cellStyle name="Akzent1 30 3" xfId="29738" xr:uid="{E39B423E-6EA6-4A3E-8186-8BD24B30965A}"/>
    <cellStyle name="Akzent1 31" xfId="10303" xr:uid="{4582E093-7DAA-43C0-801B-144EF5079AE2}"/>
    <cellStyle name="Akzent1 31 2" xfId="10304" xr:uid="{137FB9B9-2378-467D-9CBE-29B84C5BEA10}"/>
    <cellStyle name="Akzent1 31 2 2" xfId="29741" xr:uid="{775D0E5B-E53B-4CFD-9BF6-4C30A484D422}"/>
    <cellStyle name="Akzent1 31 3" xfId="29740" xr:uid="{F912C65A-36B3-4C43-B353-08F35C04DE96}"/>
    <cellStyle name="Akzent1 32" xfId="10305" xr:uid="{C92444A8-EF5A-43DF-857D-BF578C63927B}"/>
    <cellStyle name="Akzent1 32 2" xfId="10306" xr:uid="{9C8109AC-9AC8-44DB-A8DD-BD565E900002}"/>
    <cellStyle name="Akzent1 32 2 2" xfId="29743" xr:uid="{A3EE4427-2137-417E-91C6-E593CF724A93}"/>
    <cellStyle name="Akzent1 32 3" xfId="29742" xr:uid="{FE23A556-4F52-4AC2-B862-5B39E8549C4E}"/>
    <cellStyle name="Akzent1 33" xfId="10307" xr:uid="{7978A244-88A8-4717-ABD1-DD6182C71D68}"/>
    <cellStyle name="Akzent1 33 2" xfId="10308" xr:uid="{9E594E89-6045-4BA7-ADDE-BC9A294A9454}"/>
    <cellStyle name="Akzent1 33 2 2" xfId="29745" xr:uid="{38AB92D4-EF53-4560-9C76-94351C28BE8A}"/>
    <cellStyle name="Akzent1 33 3" xfId="29744" xr:uid="{0BBEA980-938F-4AB6-A924-C38178C32CFB}"/>
    <cellStyle name="Akzent1 34" xfId="10309" xr:uid="{36002539-6D74-40FE-AE3A-FEB2379F3B83}"/>
    <cellStyle name="Akzent1 34 2" xfId="10310" xr:uid="{8327E896-0186-4657-96B5-2DF5355FC69C}"/>
    <cellStyle name="Akzent1 34 2 2" xfId="29747" xr:uid="{2209411D-648B-40CE-8A27-40CC7DCAB10B}"/>
    <cellStyle name="Akzent1 34 3" xfId="29746" xr:uid="{B7D51EE5-188D-44A2-BC34-73F7B4818587}"/>
    <cellStyle name="Akzent1 35" xfId="10311" xr:uid="{8ECECF43-4BA0-4ACC-8B54-086F41FC1DB7}"/>
    <cellStyle name="Akzent1 35 2" xfId="10312" xr:uid="{F851ACF7-7DD7-49D6-A421-EA4FF58E6A05}"/>
    <cellStyle name="Akzent1 35 2 2" xfId="29749" xr:uid="{D1E277F6-229A-43ED-9983-E10BDFF191C6}"/>
    <cellStyle name="Akzent1 35 3" xfId="29748" xr:uid="{A6276FFC-AF39-4ED4-9436-F9381E0AA5E0}"/>
    <cellStyle name="Akzent1 36" xfId="10313" xr:uid="{12D83E2E-412B-4B92-8180-F113F0A956DB}"/>
    <cellStyle name="Akzent1 36 2" xfId="10314" xr:uid="{8C0EAB46-4394-4310-BB56-B7978CE9EA8F}"/>
    <cellStyle name="Akzent1 36 2 2" xfId="29751" xr:uid="{D05CD013-D28B-4489-B780-AACE3620456F}"/>
    <cellStyle name="Akzent1 36 3" xfId="29750" xr:uid="{0D7B5F09-860F-4307-9119-3B8F89B50397}"/>
    <cellStyle name="Akzent1 37" xfId="29625" xr:uid="{24C4BB33-B473-4E62-A311-5EA7929D7509}"/>
    <cellStyle name="Akzent1 38" xfId="10188" xr:uid="{34EAD404-112C-443D-A71D-8FE940894FDB}"/>
    <cellStyle name="Akzent1 4" xfId="10315" xr:uid="{36A271FE-6F11-4AB5-8651-7F59DE6C4B38}"/>
    <cellStyle name="Akzent1 4 2" xfId="10316" xr:uid="{1D314199-E557-41C9-94FE-60E1C9907038}"/>
    <cellStyle name="Akzent1 4 2 2" xfId="10317" xr:uid="{072A2486-0F4A-440B-894B-2B3804C6E6FA}"/>
    <cellStyle name="Akzent1 4 2 2 2" xfId="29754" xr:uid="{C705B16E-52FA-49F7-A866-A0DD7B10FDD8}"/>
    <cellStyle name="Akzent1 4 2 3" xfId="29753" xr:uid="{98940763-F4FB-4430-9461-E6CCACD28AA5}"/>
    <cellStyle name="Akzent1 4 2 4" xfId="39985" xr:uid="{6C62220E-A24B-4114-8EB7-60AAF8AAD36E}"/>
    <cellStyle name="Akzent1 4 3" xfId="10318" xr:uid="{53D0203E-4971-4F0B-8F98-84DFEBC26419}"/>
    <cellStyle name="Akzent1 4 3 2" xfId="29755" xr:uid="{B9798034-B5C7-4FA7-B323-089A661B06E2}"/>
    <cellStyle name="Akzent1 4 4" xfId="10319" xr:uid="{2912BE4C-1D1E-4780-9544-D75A6EEE848F}"/>
    <cellStyle name="Akzent1 4 4 2" xfId="29756" xr:uid="{0EB70C6F-3F4A-4FE3-96D4-50B777CB9150}"/>
    <cellStyle name="Akzent1 4 5" xfId="10320" xr:uid="{622ED914-88E4-494A-9C26-5D429FFD602D}"/>
    <cellStyle name="Akzent1 4 5 2" xfId="29757" xr:uid="{1BC23C8B-8438-496D-9110-7000927D2528}"/>
    <cellStyle name="Akzent1 4 6" xfId="10321" xr:uid="{127AE338-7529-437C-B922-A036A2FA84B7}"/>
    <cellStyle name="Akzent1 4 6 2" xfId="29758" xr:uid="{FCB0F651-1F46-493C-9FB5-79C0059B9891}"/>
    <cellStyle name="Akzent1 4 7" xfId="29752" xr:uid="{FA33AA56-8BDF-4B15-96B2-47C7D317DCBA}"/>
    <cellStyle name="Akzent1 4 8" xfId="39375" xr:uid="{958D37CF-4685-474B-AD5D-8263E7653138}"/>
    <cellStyle name="Akzent1 5" xfId="10322" xr:uid="{CD392D25-BC6C-48E6-8E76-EE74693F4EDD}"/>
    <cellStyle name="Akzent1 5 2" xfId="10323" xr:uid="{D7BEDEC2-9893-4FC5-A2B8-70774B8844E8}"/>
    <cellStyle name="Akzent1 5 2 2" xfId="29760" xr:uid="{A0CC9A1F-96F9-4783-8FB8-3F35E2ED636B}"/>
    <cellStyle name="Akzent1 5 3" xfId="10324" xr:uid="{DAA54603-ADCB-4502-BC0C-FC594A8F05E0}"/>
    <cellStyle name="Akzent1 5 3 2" xfId="29761" xr:uid="{438AF1B6-BF7D-43E4-A4F3-C45C748FE455}"/>
    <cellStyle name="Akzent1 5 4" xfId="10325" xr:uid="{AB6FF048-F4BF-4E5C-85AC-783493856FDD}"/>
    <cellStyle name="Akzent1 5 4 2" xfId="29762" xr:uid="{4A85A7E0-104B-4F7E-8F4C-C33146697CD2}"/>
    <cellStyle name="Akzent1 5 5" xfId="29759" xr:uid="{3A0DDD63-04A8-4A49-84D4-1F73831EFD00}"/>
    <cellStyle name="Akzent1 5 6" xfId="39376" xr:uid="{C0E41722-2B7D-49BB-A203-549A86B7090E}"/>
    <cellStyle name="Akzent1 6" xfId="10326" xr:uid="{65A2F6C2-EA5D-4DA0-9CD3-FC202FC3EB23}"/>
    <cellStyle name="Akzent1 6 2" xfId="10327" xr:uid="{C413C2D6-A5F2-4B06-8B8F-B9F888BA7170}"/>
    <cellStyle name="Akzent1 6 2 2" xfId="29764" xr:uid="{28E5F243-706B-4223-BD10-E7B0EA4444DB}"/>
    <cellStyle name="Akzent1 6 3" xfId="10328" xr:uid="{14D233E8-7EFE-46B8-BAFE-163F0F73E2DC}"/>
    <cellStyle name="Akzent1 6 3 2" xfId="29765" xr:uid="{298832AF-6074-4152-B52C-8E4135681AFB}"/>
    <cellStyle name="Akzent1 6 4" xfId="10329" xr:uid="{13FD0372-143E-466C-BFBE-C682DE980534}"/>
    <cellStyle name="Akzent1 6 4 2" xfId="29766" xr:uid="{B68DEEF3-FD0A-4FB3-933B-995F6213D0B1}"/>
    <cellStyle name="Akzent1 6 5" xfId="29763" xr:uid="{82E752D6-A28B-482C-931B-0E2E27773719}"/>
    <cellStyle name="Akzent1 6 6" xfId="39371" xr:uid="{D6F9E9C2-7C70-4283-9E12-29A061ED79C8}"/>
    <cellStyle name="Akzent1 7" xfId="10330" xr:uid="{222C62EC-DAF0-4D30-8E82-FD31FFCFABF3}"/>
    <cellStyle name="Akzent1 7 2" xfId="10331" xr:uid="{C7872467-781D-4F43-A77F-641ECFA64BB6}"/>
    <cellStyle name="Akzent1 7 2 2" xfId="29768" xr:uid="{1CACB286-0679-42C8-9625-9C0660ED3A3B}"/>
    <cellStyle name="Akzent1 7 3" xfId="29767" xr:uid="{50B3524B-973F-4C28-B900-0CACDD583A06}"/>
    <cellStyle name="Akzent1 8" xfId="10332" xr:uid="{3E85DE9F-750F-4AF0-B21E-16657425C0EA}"/>
    <cellStyle name="Akzent1 8 2" xfId="10333" xr:uid="{D816D190-2218-4B05-8930-70711C6E1A26}"/>
    <cellStyle name="Akzent1 8 2 2" xfId="29770" xr:uid="{1F71A62A-E7C2-4B38-981E-90FC80DE7757}"/>
    <cellStyle name="Akzent1 8 3" xfId="29769" xr:uid="{3717F41C-3131-4AE7-827D-2D2C2A566FDA}"/>
    <cellStyle name="Akzent1 9" xfId="10334" xr:uid="{7A6CA30E-2A83-4937-B644-AE23C790218B}"/>
    <cellStyle name="Akzent1 9 2" xfId="10335" xr:uid="{09133E1E-47ED-4B27-95D0-BADECA5101A7}"/>
    <cellStyle name="Akzent1 9 2 2" xfId="29772" xr:uid="{4459D371-25FB-49DF-86A4-5A6354C7BD2B}"/>
    <cellStyle name="Akzent1 9 3" xfId="29771" xr:uid="{BEE79018-5638-44EB-8C26-47099BEBCCF5}"/>
    <cellStyle name="Akzent2 10" xfId="10337" xr:uid="{2DCDACF4-E171-404C-AFE6-4E47704B2959}"/>
    <cellStyle name="Akzent2 10 2" xfId="10338" xr:uid="{A9C7C3AF-2747-4B03-BC35-73672B309447}"/>
    <cellStyle name="Akzent2 10 2 2" xfId="29775" xr:uid="{FA5CF10F-7922-45E7-AE46-853CEF38412D}"/>
    <cellStyle name="Akzent2 10 3" xfId="29774" xr:uid="{82E1B26D-98FB-4902-B540-23BA82746671}"/>
    <cellStyle name="Akzent2 11" xfId="10339" xr:uid="{A7A0B9C4-FE87-416E-857A-77CC2045FA26}"/>
    <cellStyle name="Akzent2 11 2" xfId="10340" xr:uid="{9A2D47A3-5E06-4849-ADC6-F7E3C419A72C}"/>
    <cellStyle name="Akzent2 11 2 2" xfId="29777" xr:uid="{C683352C-E4C3-4B8E-8E27-164331F43179}"/>
    <cellStyle name="Akzent2 11 3" xfId="29776" xr:uid="{34D7D7A8-8B83-43EF-8A24-FBB3A140F7F8}"/>
    <cellStyle name="Akzent2 12" xfId="10341" xr:uid="{BADDA692-F70A-44E0-888D-ECE165045909}"/>
    <cellStyle name="Akzent2 12 2" xfId="10342" xr:uid="{69DF7DBB-4E8F-4913-9A52-780C22B3908A}"/>
    <cellStyle name="Akzent2 12 2 2" xfId="29779" xr:uid="{D10F8C84-E780-4A57-BB0D-13098FACC618}"/>
    <cellStyle name="Akzent2 12 3" xfId="29778" xr:uid="{275488BE-5999-44D4-B347-3AA8542C5386}"/>
    <cellStyle name="Akzent2 13" xfId="10343" xr:uid="{09D122B6-6C70-479E-860C-A3B0EBCBCEE0}"/>
    <cellStyle name="Akzent2 13 2" xfId="10344" xr:uid="{47809E7E-0709-4F29-8119-3CF86370844A}"/>
    <cellStyle name="Akzent2 13 2 2" xfId="29781" xr:uid="{E20FBD41-DCE8-4F5D-A49A-4AEAA45A652F}"/>
    <cellStyle name="Akzent2 13 3" xfId="29780" xr:uid="{AF8C7236-4DA0-4D71-BABE-1490862655BC}"/>
    <cellStyle name="Akzent2 14" xfId="10345" xr:uid="{E9CD690B-E15B-46CC-A634-DB9363F8E612}"/>
    <cellStyle name="Akzent2 14 2" xfId="10346" xr:uid="{1DB75E46-954B-4805-B5E4-7A9141A27F88}"/>
    <cellStyle name="Akzent2 14 2 2" xfId="29783" xr:uid="{72811D0C-7EEB-4AB5-BCFF-FE911C5BEB71}"/>
    <cellStyle name="Akzent2 14 3" xfId="29782" xr:uid="{415114AA-DF2A-418E-AC82-89C6FEC97E40}"/>
    <cellStyle name="Akzent2 15" xfId="10347" xr:uid="{2773E7EE-1944-42A4-808A-DEDA0BF2A502}"/>
    <cellStyle name="Akzent2 15 2" xfId="10348" xr:uid="{E7C7BFF5-254D-43E9-A602-918F5B291573}"/>
    <cellStyle name="Akzent2 15 2 2" xfId="29785" xr:uid="{3DBABC29-AF07-4796-8B57-91E54F2F83D4}"/>
    <cellStyle name="Akzent2 15 3" xfId="29784" xr:uid="{6CD6DCEE-1212-4967-ABD8-84F0D7D27174}"/>
    <cellStyle name="Akzent2 16" xfId="10349" xr:uid="{EAE56D9C-5500-4BC4-9887-113759545408}"/>
    <cellStyle name="Akzent2 16 2" xfId="10350" xr:uid="{21834AE7-0EB3-497E-B597-42FCC904F77E}"/>
    <cellStyle name="Akzent2 16 2 2" xfId="29787" xr:uid="{B90FB894-E3DB-42AB-833E-5721D07D377A}"/>
    <cellStyle name="Akzent2 16 3" xfId="29786" xr:uid="{0F0213C3-40C0-445D-AE5E-93004FA1C8A9}"/>
    <cellStyle name="Akzent2 17" xfId="10351" xr:uid="{5AC32FF1-5FD8-4FA2-B0A6-0987FF448415}"/>
    <cellStyle name="Akzent2 17 2" xfId="10352" xr:uid="{62F18627-08C7-4A64-8C6C-115AEC0FE041}"/>
    <cellStyle name="Akzent2 17 2 2" xfId="29789" xr:uid="{344C0BB3-AE64-476F-AAB5-78630CBF8CD0}"/>
    <cellStyle name="Akzent2 17 3" xfId="29788" xr:uid="{7B7FD46A-78D1-4F00-A357-939CA4B89345}"/>
    <cellStyle name="Akzent2 18" xfId="10353" xr:uid="{F983F749-DA7C-4736-AC7C-46803B3D85FB}"/>
    <cellStyle name="Akzent2 18 2" xfId="10354" xr:uid="{16339BFA-8C92-4D74-8A09-7FCC4BDEDCE0}"/>
    <cellStyle name="Akzent2 18 2 2" xfId="29791" xr:uid="{A5FB5B53-52DF-4D28-AD8E-A2DF9BEF652B}"/>
    <cellStyle name="Akzent2 18 3" xfId="29790" xr:uid="{B95C343D-CA7F-49DC-B6E3-22A06E7E2D0A}"/>
    <cellStyle name="Akzent2 19" xfId="10355" xr:uid="{AEA4669E-B336-4A5F-8039-41B97434AC6C}"/>
    <cellStyle name="Akzent2 19 2" xfId="10356" xr:uid="{057D1037-1000-446B-903A-6F5F5A410E04}"/>
    <cellStyle name="Akzent2 19 2 2" xfId="29793" xr:uid="{28903E04-980F-476C-AF5B-0F28C1B0CC9C}"/>
    <cellStyle name="Akzent2 19 3" xfId="29792" xr:uid="{7754DA1C-0394-4029-B945-31C736185842}"/>
    <cellStyle name="Akzent2 2" xfId="10357" xr:uid="{435326E4-5F82-40AF-AD3D-404A343BCE9F}"/>
    <cellStyle name="Akzent2 2 10" xfId="10358" xr:uid="{B19C9455-B77E-41D0-B1E6-DD053C9A9DEA}"/>
    <cellStyle name="Akzent2 2 10 2" xfId="29795" xr:uid="{4EA601CF-D0D2-4712-98DC-F56DEA32FBEC}"/>
    <cellStyle name="Akzent2 2 11" xfId="10359" xr:uid="{7FAB6DEC-00F2-4BFD-B4C6-9549BBDE783B}"/>
    <cellStyle name="Akzent2 2 11 2" xfId="29796" xr:uid="{2B82D23E-3DA1-490D-A6B3-CF3172A91908}"/>
    <cellStyle name="Akzent2 2 12" xfId="10360" xr:uid="{8BBC0C74-B574-4975-A058-3B7EC370F4A5}"/>
    <cellStyle name="Akzent2 2 12 2" xfId="29797" xr:uid="{66592CDC-8382-4DAB-8DBD-FE439C9B1512}"/>
    <cellStyle name="Akzent2 2 13" xfId="10361" xr:uid="{7E78AC32-CE01-4379-9A2F-3F117265602B}"/>
    <cellStyle name="Akzent2 2 13 2" xfId="29798" xr:uid="{0E1BC4E8-2A38-4685-BEBD-E50EDB269C7A}"/>
    <cellStyle name="Akzent2 2 14" xfId="10362" xr:uid="{45E233A7-46FA-447B-B4E6-D6161535FB50}"/>
    <cellStyle name="Akzent2 2 14 2" xfId="29799" xr:uid="{D1536A1D-9432-410F-A030-1C23E1B2BBF3}"/>
    <cellStyle name="Akzent2 2 15" xfId="29794" xr:uid="{9702AFCF-FAA0-4303-BA85-91971F36EDF8}"/>
    <cellStyle name="Akzent2 2 16" xfId="39378" xr:uid="{FD0290F6-8A76-4DCF-87E7-361912D43B50}"/>
    <cellStyle name="Akzent2 2 2" xfId="10363" xr:uid="{BE196E7A-B6B9-4D2F-9B73-0337983A9EE6}"/>
    <cellStyle name="Akzent2 2 2 10" xfId="10364" xr:uid="{CB923001-2F48-4C28-933C-F90A07AE5CF1}"/>
    <cellStyle name="Akzent2 2 2 10 2" xfId="29801" xr:uid="{0820A346-69D4-402D-A1BC-F0E7C7A73CD1}"/>
    <cellStyle name="Akzent2 2 2 11" xfId="10365" xr:uid="{F8C2AD7A-0BB4-4B48-B805-544CE874F71A}"/>
    <cellStyle name="Akzent2 2 2 11 2" xfId="29802" xr:uid="{49FF910C-30B3-4F33-B1BB-C8032CAF5166}"/>
    <cellStyle name="Akzent2 2 2 12" xfId="10366" xr:uid="{C5BCD9F3-371C-47E4-80AA-40310CB1407E}"/>
    <cellStyle name="Akzent2 2 2 12 2" xfId="29803" xr:uid="{5393C925-9F4B-41F3-9B2D-6F2EE70B78D3}"/>
    <cellStyle name="Akzent2 2 2 13" xfId="29800" xr:uid="{C514B25F-D4FF-494C-AF68-E7CBA2A5FAE3}"/>
    <cellStyle name="Akzent2 2 2 14" xfId="39379" xr:uid="{98ACEEC8-AF15-4D7B-956F-E86231388816}"/>
    <cellStyle name="Akzent2 2 2 2" xfId="10367" xr:uid="{3309647A-6243-45AE-B245-52D192037306}"/>
    <cellStyle name="Akzent2 2 2 2 10" xfId="10368" xr:uid="{944ED656-ECD2-450A-A4B8-3492E91BD858}"/>
    <cellStyle name="Akzent2 2 2 2 10 2" xfId="29805" xr:uid="{0EBB2CCE-61D1-4CDB-9D70-F8FAF1164476}"/>
    <cellStyle name="Akzent2 2 2 2 11" xfId="29804" xr:uid="{BAB3B41A-404C-47A7-AEB3-97D88970A036}"/>
    <cellStyle name="Akzent2 2 2 2 2" xfId="10369" xr:uid="{BCBB8535-539E-466A-8189-54573278CEF4}"/>
    <cellStyle name="Akzent2 2 2 2 2 2" xfId="10370" xr:uid="{3797A5AA-B4B4-4A38-BDA4-1C7079B42C00}"/>
    <cellStyle name="Akzent2 2 2 2 2 2 2" xfId="10371" xr:uid="{0092DC40-657C-42FE-89D1-E0811B3BD38C}"/>
    <cellStyle name="Akzent2 2 2 2 2 2 2 2" xfId="10372" xr:uid="{2EE4A14D-8A5C-4706-91DD-1FF07DD24158}"/>
    <cellStyle name="Akzent2 2 2 2 2 2 2 2 2" xfId="29809" xr:uid="{05B38ECA-5512-4A62-B34A-29EA269BAECE}"/>
    <cellStyle name="Akzent2 2 2 2 2 2 2 3" xfId="29808" xr:uid="{845B0677-B8B7-4BCA-AC9A-EF108A6AA5DE}"/>
    <cellStyle name="Akzent2 2 2 2 2 2 3" xfId="10373" xr:uid="{7CBC7F0A-047A-49CC-BA8F-96B8AF96581C}"/>
    <cellStyle name="Akzent2 2 2 2 2 2 3 2" xfId="29810" xr:uid="{705DC1A9-9DFD-4595-AA0C-EEDB12534480}"/>
    <cellStyle name="Akzent2 2 2 2 2 2 4" xfId="10374" xr:uid="{1CC20184-3A7D-41D9-AF13-1B976395D022}"/>
    <cellStyle name="Akzent2 2 2 2 2 2 4 2" xfId="29811" xr:uid="{7D1AF378-8F3F-4290-98AE-FB0435E41579}"/>
    <cellStyle name="Akzent2 2 2 2 2 2 5" xfId="10375" xr:uid="{01DC1105-31DD-4C5E-8BB5-CB1A88A4A6A0}"/>
    <cellStyle name="Akzent2 2 2 2 2 2 5 2" xfId="29812" xr:uid="{CF9EB5D3-C5FC-495F-8446-4B898913AC6F}"/>
    <cellStyle name="Akzent2 2 2 2 2 2 6" xfId="10376" xr:uid="{DA272FFF-EB69-46DF-A27C-A7C630C88E1A}"/>
    <cellStyle name="Akzent2 2 2 2 2 2 6 2" xfId="29813" xr:uid="{26401ABD-D96F-4C3E-9403-FFFF9A9DDFE9}"/>
    <cellStyle name="Akzent2 2 2 2 2 2 7" xfId="10377" xr:uid="{7E06C71B-A961-4A3A-A16C-6157BBE59339}"/>
    <cellStyle name="Akzent2 2 2 2 2 2 7 2" xfId="29814" xr:uid="{619DED8E-A7BF-4FA8-9259-23BA2A988FD5}"/>
    <cellStyle name="Akzent2 2 2 2 2 2 8" xfId="10378" xr:uid="{7390D224-B860-4DCB-A784-5F3A8AA3A4BC}"/>
    <cellStyle name="Akzent2 2 2 2 2 2 8 2" xfId="29815" xr:uid="{F26C53CF-1966-49EC-908C-E1AF0B35DC12}"/>
    <cellStyle name="Akzent2 2 2 2 2 2 9" xfId="29807" xr:uid="{5DD7DE2C-C93F-492D-9525-821463EADF78}"/>
    <cellStyle name="Akzent2 2 2 2 2 3" xfId="10379" xr:uid="{DF941190-FE2C-41CA-9178-4B0A3FF9F93C}"/>
    <cellStyle name="Akzent2 2 2 2 2 3 2" xfId="10380" xr:uid="{E4661B68-FBE8-4902-8F8A-B03AB34B20FD}"/>
    <cellStyle name="Akzent2 2 2 2 2 3 2 2" xfId="29817" xr:uid="{3DE4DB0F-DA48-4AAD-8858-2440C48ADC66}"/>
    <cellStyle name="Akzent2 2 2 2 2 3 3" xfId="29816" xr:uid="{AB7495EF-0DC4-441F-BBD0-42A8B972F256}"/>
    <cellStyle name="Akzent2 2 2 2 2 4" xfId="10381" xr:uid="{6F5CA5A5-0968-4618-97EC-65D23BE67E9A}"/>
    <cellStyle name="Akzent2 2 2 2 2 4 2" xfId="29818" xr:uid="{09B98786-7EFD-4F9F-A77D-1CBD0DB41C23}"/>
    <cellStyle name="Akzent2 2 2 2 2 5" xfId="10382" xr:uid="{F9B73ACB-786A-413F-9662-0B492066DC52}"/>
    <cellStyle name="Akzent2 2 2 2 2 5 2" xfId="29819" xr:uid="{76E07C17-802F-4277-BBA2-12B9D38B6759}"/>
    <cellStyle name="Akzent2 2 2 2 2 6" xfId="10383" xr:uid="{17A2E984-238A-4507-B0AE-2BD9E7AE3B32}"/>
    <cellStyle name="Akzent2 2 2 2 2 6 2" xfId="29820" xr:uid="{3519458B-F02E-4DE1-8C02-8F3925461A5B}"/>
    <cellStyle name="Akzent2 2 2 2 2 7" xfId="10384" xr:uid="{3890AF6F-BE8F-4E23-B431-EDFC195D76A4}"/>
    <cellStyle name="Akzent2 2 2 2 2 7 2" xfId="29821" xr:uid="{ED3ED32B-DB60-4BC4-A92B-D254C4BA941C}"/>
    <cellStyle name="Akzent2 2 2 2 2 8" xfId="10385" xr:uid="{E5C1B3E1-04F8-4D94-B053-AD023D35399A}"/>
    <cellStyle name="Akzent2 2 2 2 2 8 2" xfId="29822" xr:uid="{3758CE8E-F69F-455F-BFDD-A68A05941A4F}"/>
    <cellStyle name="Akzent2 2 2 2 2 9" xfId="29806" xr:uid="{365EC11E-17F6-4531-AC1D-B3B6F9CE3A04}"/>
    <cellStyle name="Akzent2 2 2 2 3" xfId="10386" xr:uid="{34D1FE03-DDC5-42F0-AB8A-80DA39D06CFC}"/>
    <cellStyle name="Akzent2 2 2 2 3 2" xfId="29823" xr:uid="{5D4E49AB-7D25-4665-84EA-551AEB4579ED}"/>
    <cellStyle name="Akzent2 2 2 2 4" xfId="10387" xr:uid="{807D42E7-406C-4BEE-8CA4-0E903DA8B2A8}"/>
    <cellStyle name="Akzent2 2 2 2 4 2" xfId="29824" xr:uid="{C7C98E8D-6040-4776-A0E5-B8FDF78B72BB}"/>
    <cellStyle name="Akzent2 2 2 2 5" xfId="10388" xr:uid="{6C693F80-AC52-46A9-8041-F45954641152}"/>
    <cellStyle name="Akzent2 2 2 2 5 2" xfId="10389" xr:uid="{218EB41D-97E7-40BE-AFA9-2D5BA1D8C69F}"/>
    <cellStyle name="Akzent2 2 2 2 5 2 2" xfId="29826" xr:uid="{D4372B9A-036D-47FB-B2C8-1D6C1E8F0A6E}"/>
    <cellStyle name="Akzent2 2 2 2 5 3" xfId="29825" xr:uid="{A8BD5594-2170-41EA-A98A-2382AC9B0029}"/>
    <cellStyle name="Akzent2 2 2 2 6" xfId="10390" xr:uid="{1ADC3048-9F69-42C1-ACAB-6BB2559521A5}"/>
    <cellStyle name="Akzent2 2 2 2 6 2" xfId="29827" xr:uid="{BE59585C-3B8F-4285-AC2C-1AC5FD00682F}"/>
    <cellStyle name="Akzent2 2 2 2 7" xfId="10391" xr:uid="{2936BBA0-E97C-4DB7-992D-9977ED52DE4B}"/>
    <cellStyle name="Akzent2 2 2 2 7 2" xfId="29828" xr:uid="{20DED6E1-EF4D-492F-8224-008C4FE3B19D}"/>
    <cellStyle name="Akzent2 2 2 2 8" xfId="10392" xr:uid="{15756AEC-11D9-419F-A373-E75C2D423147}"/>
    <cellStyle name="Akzent2 2 2 2 8 2" xfId="29829" xr:uid="{B94F4FBB-3002-4E67-9D8C-B27A0CAAB394}"/>
    <cellStyle name="Akzent2 2 2 2 9" xfId="10393" xr:uid="{2E2CB608-FDDC-46AF-AE29-8B574083E1A1}"/>
    <cellStyle name="Akzent2 2 2 2 9 2" xfId="29830" xr:uid="{53F605AB-7C78-4492-93EB-42CE4FEE83DE}"/>
    <cellStyle name="Akzent2 2 2 3" xfId="10394" xr:uid="{29813D1F-B0F5-4727-90C9-DD145B5BD784}"/>
    <cellStyle name="Akzent2 2 2 3 2" xfId="29831" xr:uid="{B54B5C38-6ED3-431B-AA5B-4D582436E56A}"/>
    <cellStyle name="Akzent2 2 2 4" xfId="10395" xr:uid="{DC542EDE-4FF8-4872-8BB4-D58C8EEF6E1F}"/>
    <cellStyle name="Akzent2 2 2 4 2" xfId="29832" xr:uid="{3C18C53D-2BAC-427B-A5BA-4E114749F0D9}"/>
    <cellStyle name="Akzent2 2 2 5" xfId="10396" xr:uid="{BAA0D33B-6EAD-42D2-9646-27B90DFA4ECF}"/>
    <cellStyle name="Akzent2 2 2 5 2" xfId="10397" xr:uid="{54D71B0B-BDAE-4C46-8F64-611B4CB4EC0A}"/>
    <cellStyle name="Akzent2 2 2 5 2 2" xfId="29834" xr:uid="{F563764F-7BC5-4599-A7AF-CA3B8D49FFB9}"/>
    <cellStyle name="Akzent2 2 2 5 3" xfId="29833" xr:uid="{FEF90454-469D-4969-9C97-52336F5E4E4D}"/>
    <cellStyle name="Akzent2 2 2 6" xfId="10398" xr:uid="{7B69909B-AADD-4FE5-9E8C-75EE46B77E86}"/>
    <cellStyle name="Akzent2 2 2 6 2" xfId="29835" xr:uid="{A2B49175-E25F-422E-93C9-AD23B1648804}"/>
    <cellStyle name="Akzent2 2 2 7" xfId="10399" xr:uid="{2350F531-793C-492C-80B3-B45F0A84877C}"/>
    <cellStyle name="Akzent2 2 2 7 2" xfId="10400" xr:uid="{A1ABA4E1-F51B-4415-A999-2CAD1A3ED7E6}"/>
    <cellStyle name="Akzent2 2 2 7 2 2" xfId="29837" xr:uid="{2296DBDF-EC92-4827-ADC6-30A85B4479CB}"/>
    <cellStyle name="Akzent2 2 2 7 3" xfId="29836" xr:uid="{2C0138AB-1F92-4A02-9226-A974C43A321D}"/>
    <cellStyle name="Akzent2 2 2 8" xfId="10401" xr:uid="{C662E022-4C45-449C-883D-55BA515FB91A}"/>
    <cellStyle name="Akzent2 2 2 8 2" xfId="29838" xr:uid="{B9DACF59-A501-4BF1-8D2D-E8BC37FB0418}"/>
    <cellStyle name="Akzent2 2 2 9" xfId="10402" xr:uid="{6728F312-D37A-424D-866B-1BEE8AB1B90B}"/>
    <cellStyle name="Akzent2 2 2 9 2" xfId="29839" xr:uid="{DA2439E6-1106-43E7-882F-6C964C02876A}"/>
    <cellStyle name="Akzent2 2 3" xfId="10403" xr:uid="{A3828BE2-F47E-4386-8538-14BD3AC61CE5}"/>
    <cellStyle name="Akzent2 2 3 2" xfId="29840" xr:uid="{25D3E325-C376-42E7-9CA0-B74C59061536}"/>
    <cellStyle name="Akzent2 2 4" xfId="10404" xr:uid="{A9561FBC-4F3A-4281-9673-0A2908FD5180}"/>
    <cellStyle name="Akzent2 2 4 2" xfId="10405" xr:uid="{EDECB9A1-B528-4EFE-B44B-36ECA98F6B23}"/>
    <cellStyle name="Akzent2 2 4 2 2" xfId="10406" xr:uid="{E3F60CC9-D145-4133-AAA6-15E46C02CA60}"/>
    <cellStyle name="Akzent2 2 4 2 2 2" xfId="29843" xr:uid="{91538EDD-FCD6-4CEA-A986-C835664132A3}"/>
    <cellStyle name="Akzent2 2 4 2 3" xfId="29842" xr:uid="{A73F3E35-D71B-4F03-8D78-792A1C966B58}"/>
    <cellStyle name="Akzent2 2 4 3" xfId="10407" xr:uid="{7A72DCFF-04A2-4FF0-B085-CCA1CE32454F}"/>
    <cellStyle name="Akzent2 2 4 3 2" xfId="29844" xr:uid="{88C927D1-B55D-45AE-AB4E-662BE05FC284}"/>
    <cellStyle name="Akzent2 2 4 4" xfId="10408" xr:uid="{DAD82329-B05A-417F-A86C-C09A46E6CBA7}"/>
    <cellStyle name="Akzent2 2 4 4 2" xfId="29845" xr:uid="{6283BF9D-311C-4032-8415-B24D8D342D96}"/>
    <cellStyle name="Akzent2 2 4 5" xfId="29841" xr:uid="{2820BEBF-D5D1-414C-BE7D-B8446C39F359}"/>
    <cellStyle name="Akzent2 2 5" xfId="10409" xr:uid="{0E6005E5-D047-450C-A86C-738E749C246C}"/>
    <cellStyle name="Akzent2 2 5 2" xfId="29846" xr:uid="{7C0C2E20-7D92-4AD2-BCAA-8A44492B8C5C}"/>
    <cellStyle name="Akzent2 2 6" xfId="10410" xr:uid="{90EF00F7-601A-42AA-BDA1-13AEDFBE3BE4}"/>
    <cellStyle name="Akzent2 2 6 2" xfId="10411" xr:uid="{D09426E2-C1C1-49F4-AA06-BD0E17BE895C}"/>
    <cellStyle name="Akzent2 2 6 2 2" xfId="29848" xr:uid="{3332621F-4C24-4288-9817-DEB99E3A5289}"/>
    <cellStyle name="Akzent2 2 6 3" xfId="29847" xr:uid="{7684827D-93D5-4FA8-833D-773F3814D713}"/>
    <cellStyle name="Akzent2 2 7" xfId="10412" xr:uid="{82B23012-410A-412D-9CCA-5B2744AF2764}"/>
    <cellStyle name="Akzent2 2 7 2" xfId="29849" xr:uid="{CA2D6C3C-FFCF-4D56-999E-1C255F25952E}"/>
    <cellStyle name="Akzent2 2 8" xfId="10413" xr:uid="{25450014-C515-406C-9002-3EC770C58FDB}"/>
    <cellStyle name="Akzent2 2 8 2" xfId="10414" xr:uid="{4BA30003-BDD1-4A10-85EB-6AC54765248E}"/>
    <cellStyle name="Akzent2 2 8 2 2" xfId="29851" xr:uid="{A71FEFA1-4F54-400D-908C-E3A43462801E}"/>
    <cellStyle name="Akzent2 2 8 3" xfId="29850" xr:uid="{53155F84-BDBE-4A33-9DC8-BD830BAA2A95}"/>
    <cellStyle name="Akzent2 2 9" xfId="10415" xr:uid="{DFF3706E-A9F9-4B4F-AD4E-DACD15096B40}"/>
    <cellStyle name="Akzent2 2 9 2" xfId="29852" xr:uid="{C5FA5AC1-9AF4-45D0-8562-EDB74C4B4AF5}"/>
    <cellStyle name="Akzent2 20" xfId="10416" xr:uid="{65325091-5C28-40C5-BF08-E9063AB97BC0}"/>
    <cellStyle name="Akzent2 20 2" xfId="10417" xr:uid="{C536152F-B242-4372-8189-4A524BB67382}"/>
    <cellStyle name="Akzent2 20 2 2" xfId="29854" xr:uid="{C07F8181-0FCF-4AF6-B724-2C04E95F9711}"/>
    <cellStyle name="Akzent2 20 3" xfId="29853" xr:uid="{97E5EAD5-25A0-493F-91E3-84DF90148D3B}"/>
    <cellStyle name="Akzent2 21" xfId="10418" xr:uid="{640F6148-8303-4814-AE2F-FA3EF56E4FBB}"/>
    <cellStyle name="Akzent2 21 2" xfId="10419" xr:uid="{7C1CF0CA-4B4E-40E4-813C-8708A56A9171}"/>
    <cellStyle name="Akzent2 21 2 2" xfId="29856" xr:uid="{C2ABCDBA-581B-44FC-B2CF-908215C234A1}"/>
    <cellStyle name="Akzent2 21 3" xfId="29855" xr:uid="{BE40918E-3CCE-4983-8ED1-089311296003}"/>
    <cellStyle name="Akzent2 22" xfId="10420" xr:uid="{D70EE312-1D40-429C-917F-F6BB1D1165DA}"/>
    <cellStyle name="Akzent2 22 2" xfId="10421" xr:uid="{ADDC08F4-D768-4B99-B2EE-8B35BC5C1CF8}"/>
    <cellStyle name="Akzent2 22 2 2" xfId="29858" xr:uid="{DC153FE7-27FC-45F0-987F-56E6DA8F9DDB}"/>
    <cellStyle name="Akzent2 22 3" xfId="29857" xr:uid="{6F0C7628-F85A-400B-BA7D-163EF5800FDA}"/>
    <cellStyle name="Akzent2 23" xfId="10422" xr:uid="{6EE5F6E0-7F31-428F-A3AF-B2D35F730489}"/>
    <cellStyle name="Akzent2 23 2" xfId="10423" xr:uid="{32CB8212-DF36-497D-8FA6-A0143232A535}"/>
    <cellStyle name="Akzent2 23 2 2" xfId="29860" xr:uid="{6538FECA-BD2D-4F74-8DC3-EF072364A15F}"/>
    <cellStyle name="Akzent2 23 3" xfId="29859" xr:uid="{14B726CA-F603-476D-BD43-423F07C45555}"/>
    <cellStyle name="Akzent2 24" xfId="10424" xr:uid="{8E74662A-9866-417F-8B74-D96AAB7A5E1F}"/>
    <cellStyle name="Akzent2 24 2" xfId="10425" xr:uid="{D07CE0A3-4B8A-4CE2-BBD0-A02679BEE4F1}"/>
    <cellStyle name="Akzent2 24 2 2" xfId="29862" xr:uid="{42F1F8C8-AB32-4508-9E0B-C934532B6BF7}"/>
    <cellStyle name="Akzent2 24 3" xfId="29861" xr:uid="{7BEA8F31-4323-4B13-A3EA-AA682534F9F6}"/>
    <cellStyle name="Akzent2 25" xfId="10426" xr:uid="{D272D965-4F94-422E-A70D-6417E0A1BC20}"/>
    <cellStyle name="Akzent2 25 2" xfId="10427" xr:uid="{7F616284-04C2-4B95-848B-DD111B619A34}"/>
    <cellStyle name="Akzent2 25 2 2" xfId="29864" xr:uid="{E5EB94E7-611A-4F80-8EF2-0DA3A6F30F0B}"/>
    <cellStyle name="Akzent2 25 3" xfId="29863" xr:uid="{1A6E6C56-72AD-4054-9EDF-FC4D4DE84295}"/>
    <cellStyle name="Akzent2 26" xfId="10428" xr:uid="{5395E15D-CFD2-4802-8582-60D9D97DE4A8}"/>
    <cellStyle name="Akzent2 26 2" xfId="10429" xr:uid="{63D936C4-C58E-4027-86FA-96D7CE8DA77C}"/>
    <cellStyle name="Akzent2 26 2 2" xfId="29866" xr:uid="{02339B16-535E-49B2-B089-CFBFA03D1F80}"/>
    <cellStyle name="Akzent2 26 3" xfId="29865" xr:uid="{E7BFC062-B652-4081-B1F6-94C5764126B7}"/>
    <cellStyle name="Akzent2 27" xfId="10430" xr:uid="{179B03C5-1A7D-4430-A901-3BC19E19B6C8}"/>
    <cellStyle name="Akzent2 27 2" xfId="10431" xr:uid="{98833F76-C926-4566-BA7A-29263942B296}"/>
    <cellStyle name="Akzent2 27 2 2" xfId="29868" xr:uid="{75C27754-F65B-4F1A-BB7A-D0B1FB6B2CB7}"/>
    <cellStyle name="Akzent2 27 3" xfId="29867" xr:uid="{B82E841D-775A-49E2-92AB-2DD710CBCAE6}"/>
    <cellStyle name="Akzent2 28" xfId="10432" xr:uid="{06B4521A-18F1-4185-ADFF-5D1D51EAB608}"/>
    <cellStyle name="Akzent2 28 2" xfId="10433" xr:uid="{BA8E8A96-C308-4DB1-A950-6576430ED1B8}"/>
    <cellStyle name="Akzent2 28 2 2" xfId="29870" xr:uid="{A182E936-963E-41FA-AF1A-534D3B07B9FE}"/>
    <cellStyle name="Akzent2 28 3" xfId="29869" xr:uid="{6B8A404E-3915-471E-B955-70879FAE249C}"/>
    <cellStyle name="Akzent2 29" xfId="10434" xr:uid="{084A5DB2-A5BF-4E0E-A8EA-9E7D6E06987F}"/>
    <cellStyle name="Akzent2 29 2" xfId="10435" xr:uid="{318A4559-B4B4-42E7-B2F4-9325845332D1}"/>
    <cellStyle name="Akzent2 29 2 2" xfId="29872" xr:uid="{4530795B-A7D4-487C-9FBE-EA4FC6646936}"/>
    <cellStyle name="Akzent2 29 3" xfId="29871" xr:uid="{1F81EBCC-65E6-45F9-950F-865BE2C40E66}"/>
    <cellStyle name="Akzent2 3" xfId="10436" xr:uid="{1E495695-5D63-487D-9A20-51D383A20300}"/>
    <cellStyle name="Akzent2 3 10" xfId="39380" xr:uid="{572465AF-64BE-4394-BB31-54B29062C46C}"/>
    <cellStyle name="Akzent2 3 2" xfId="10437" xr:uid="{03482847-E4D2-418B-BF73-6BA5A1282B79}"/>
    <cellStyle name="Akzent2 3 2 2" xfId="10438" xr:uid="{65548BFD-6B48-410E-BDF4-38F6BBF4515C}"/>
    <cellStyle name="Akzent2 3 2 2 2" xfId="10439" xr:uid="{65CFE5A7-62BE-4F05-97AC-64E718E29C78}"/>
    <cellStyle name="Akzent2 3 2 2 2 2" xfId="29876" xr:uid="{484F176B-46CE-42E2-83A0-84CAE853C59D}"/>
    <cellStyle name="Akzent2 3 2 2 3" xfId="29875" xr:uid="{BF36A0FC-915C-4593-9B53-20862FE80AF2}"/>
    <cellStyle name="Akzent2 3 2 3" xfId="10440" xr:uid="{1D9F0CA7-2DAE-45C6-94D4-2E30EA46BA54}"/>
    <cellStyle name="Akzent2 3 2 3 2" xfId="29877" xr:uid="{57ACB952-AF27-4845-AB67-8B98B58213A3}"/>
    <cellStyle name="Akzent2 3 2 4" xfId="10441" xr:uid="{B1F1B308-AA27-4769-847D-15629EF4E43F}"/>
    <cellStyle name="Akzent2 3 2 4 2" xfId="29878" xr:uid="{95730D55-D250-429D-A834-189D91BF5C11}"/>
    <cellStyle name="Akzent2 3 2 5" xfId="29874" xr:uid="{40601513-D83C-48DA-9EFB-E2B10EA59DF9}"/>
    <cellStyle name="Akzent2 3 2 6" xfId="39986" xr:uid="{7B174ED7-1179-4989-A5B6-D3501332FF6E}"/>
    <cellStyle name="Akzent2 3 3" xfId="10442" xr:uid="{6FE2EB2A-BDFB-455A-BE17-7A2417A29CB5}"/>
    <cellStyle name="Akzent2 3 3 2" xfId="29879" xr:uid="{E80A6032-D203-476E-8D33-6735742F8C51}"/>
    <cellStyle name="Akzent2 3 4" xfId="10443" xr:uid="{36D14530-AF16-4354-AC5A-B29C2BD8566D}"/>
    <cellStyle name="Akzent2 3 4 2" xfId="29880" xr:uid="{BC2BC82F-A2D8-4BF6-994A-5CF62B519124}"/>
    <cellStyle name="Akzent2 3 5" xfId="10444" xr:uid="{8B0FF8BB-CC73-468B-8D23-DDEBF942A1C4}"/>
    <cellStyle name="Akzent2 3 5 2" xfId="10445" xr:uid="{62FDDEDF-E91C-48F9-9D92-A07D6E2CF2E0}"/>
    <cellStyle name="Akzent2 3 5 2 2" xfId="29882" xr:uid="{C977F742-47C6-466D-ADB6-B2358B995E65}"/>
    <cellStyle name="Akzent2 3 5 3" xfId="29881" xr:uid="{509C7C00-DF34-4B7B-A71A-E79F3E9CD077}"/>
    <cellStyle name="Akzent2 3 6" xfId="10446" xr:uid="{160EC79C-E2F5-4BC3-B4C8-C223C4013248}"/>
    <cellStyle name="Akzent2 3 6 2" xfId="29883" xr:uid="{782F2E4A-A418-4B4D-9165-1D461C402113}"/>
    <cellStyle name="Akzent2 3 7" xfId="10447" xr:uid="{009B7E16-B934-4D41-A97B-1ED30388D8F4}"/>
    <cellStyle name="Akzent2 3 7 2" xfId="29884" xr:uid="{B60B71F7-5D28-4E83-946B-7A82A7D87F5D}"/>
    <cellStyle name="Akzent2 3 8" xfId="10448" xr:uid="{214AEBAE-2799-4590-8121-5F7654A23125}"/>
    <cellStyle name="Akzent2 3 8 2" xfId="29885" xr:uid="{6944E7F6-53E2-4915-8D13-0433030DDF82}"/>
    <cellStyle name="Akzent2 3 9" xfId="29873" xr:uid="{0F10BFFF-5D12-4CFA-B1F4-391A1F9C179A}"/>
    <cellStyle name="Akzent2 30" xfId="10449" xr:uid="{AEF19466-D5F6-4C5B-A39E-377DCB06D853}"/>
    <cellStyle name="Akzent2 30 2" xfId="10450" xr:uid="{E7378601-3465-4395-B8EB-D19F12CECEC4}"/>
    <cellStyle name="Akzent2 30 2 2" xfId="29887" xr:uid="{FC272F4F-C06E-4779-A036-39E345B0DE60}"/>
    <cellStyle name="Akzent2 30 3" xfId="29886" xr:uid="{348FBDAC-CCB8-4808-AB8C-8A16A07C54F5}"/>
    <cellStyle name="Akzent2 31" xfId="10451" xr:uid="{1732FD36-8E7E-4999-9525-521D8EAABDF4}"/>
    <cellStyle name="Akzent2 31 2" xfId="10452" xr:uid="{31742A9A-0207-4C4F-8819-AA61CF434D57}"/>
    <cellStyle name="Akzent2 31 2 2" xfId="29889" xr:uid="{5BF3BF2C-6E5B-42A0-AC14-0FA9A6661247}"/>
    <cellStyle name="Akzent2 31 3" xfId="29888" xr:uid="{024EE8FA-D1EB-4A65-AB51-B0119E392907}"/>
    <cellStyle name="Akzent2 32" xfId="10453" xr:uid="{902A01EB-2888-4382-9D9F-6926CD0B69F9}"/>
    <cellStyle name="Akzent2 32 2" xfId="10454" xr:uid="{99CE6CAD-5A79-4A2C-98D4-AB3642068BED}"/>
    <cellStyle name="Akzent2 32 2 2" xfId="29891" xr:uid="{2C238066-DC14-4241-A892-C41C20552EEE}"/>
    <cellStyle name="Akzent2 32 3" xfId="29890" xr:uid="{74A36BFA-96A5-4702-9C69-D5D9A9ADACD3}"/>
    <cellStyle name="Akzent2 33" xfId="10455" xr:uid="{07EDD627-BCD2-41E2-8C68-7EEE9A05424C}"/>
    <cellStyle name="Akzent2 33 2" xfId="10456" xr:uid="{C23B1530-AFEC-442C-978B-1C204D37B3D1}"/>
    <cellStyle name="Akzent2 33 2 2" xfId="29893" xr:uid="{BAF32ED5-945F-4587-8349-5E9AAEAED499}"/>
    <cellStyle name="Akzent2 33 3" xfId="29892" xr:uid="{218F0D39-4989-466D-BC1C-7C68C91E4430}"/>
    <cellStyle name="Akzent2 34" xfId="10457" xr:uid="{8F63919F-83A7-486B-ABA3-603ED17ED3BA}"/>
    <cellStyle name="Akzent2 34 2" xfId="10458" xr:uid="{B9CAD467-1132-407A-A05D-1350DCDA20CA}"/>
    <cellStyle name="Akzent2 34 2 2" xfId="29895" xr:uid="{3F91F47E-A0C2-4490-B72C-361F5EDFAF84}"/>
    <cellStyle name="Akzent2 34 3" xfId="29894" xr:uid="{106DB0FC-0A2C-4609-BB70-F3A908EC34D5}"/>
    <cellStyle name="Akzent2 35" xfId="10459" xr:uid="{B1D70187-CD63-42C7-B501-843C67377A52}"/>
    <cellStyle name="Akzent2 35 2" xfId="10460" xr:uid="{5EF318DC-3264-415E-BA22-8C3889E7E8CF}"/>
    <cellStyle name="Akzent2 35 2 2" xfId="29897" xr:uid="{796739FF-A069-4257-B96F-3FD91F67CE32}"/>
    <cellStyle name="Akzent2 35 3" xfId="29896" xr:uid="{100B4060-F41F-4A70-BD42-8E94A9BF48FD}"/>
    <cellStyle name="Akzent2 36" xfId="10461" xr:uid="{49AB7D22-E30E-451A-8A9D-CA2FB3AAE501}"/>
    <cellStyle name="Akzent2 36 2" xfId="10462" xr:uid="{4E88F092-F70B-41FB-89B5-3C9E7E76599D}"/>
    <cellStyle name="Akzent2 36 2 2" xfId="29899" xr:uid="{D1E5C498-3E44-4545-808B-D7D5088AFBCD}"/>
    <cellStyle name="Akzent2 36 3" xfId="29898" xr:uid="{0431456B-10FE-4C92-BA31-DF7CE7506744}"/>
    <cellStyle name="Akzent2 37" xfId="29773" xr:uid="{46B8C713-358C-48E3-87EB-2532E94210C7}"/>
    <cellStyle name="Akzent2 38" xfId="10336" xr:uid="{9CCBD265-AC84-44E2-87CA-A80C1B26CCA6}"/>
    <cellStyle name="Akzent2 4" xfId="10463" xr:uid="{DD9856C7-7E67-4ACB-97FA-310B18EEE0DE}"/>
    <cellStyle name="Akzent2 4 2" xfId="10464" xr:uid="{55F66A95-EA56-484F-B2B8-AE6DD7B2236E}"/>
    <cellStyle name="Akzent2 4 2 2" xfId="10465" xr:uid="{091CA11B-0134-4EE7-9D97-E9D48D957672}"/>
    <cellStyle name="Akzent2 4 2 2 2" xfId="29902" xr:uid="{AD8B61C6-AEDA-4791-8D0F-354390EFA542}"/>
    <cellStyle name="Akzent2 4 2 3" xfId="29901" xr:uid="{DAA86FA2-9CD4-4FCD-AD03-65E50377C49F}"/>
    <cellStyle name="Akzent2 4 2 4" xfId="39987" xr:uid="{D4BBBE32-BF96-40B4-8D3C-5F694B5A9805}"/>
    <cellStyle name="Akzent2 4 3" xfId="10466" xr:uid="{D4B98295-2D62-4F8A-88A5-3D711CF14E6A}"/>
    <cellStyle name="Akzent2 4 3 2" xfId="29903" xr:uid="{416EEFDA-C25F-408E-8690-10CAF6BA3CA9}"/>
    <cellStyle name="Akzent2 4 4" xfId="10467" xr:uid="{C934F69F-5CC8-4F75-8034-7E4F9FA196E3}"/>
    <cellStyle name="Akzent2 4 4 2" xfId="29904" xr:uid="{68BEB08B-3EE4-45F5-99E0-5AFC44150FD8}"/>
    <cellStyle name="Akzent2 4 5" xfId="10468" xr:uid="{63930C4A-D45D-44D4-973D-281E9E4EE9B8}"/>
    <cellStyle name="Akzent2 4 5 2" xfId="29905" xr:uid="{BF5EF6E6-1DC1-499F-A970-D99E43AB316E}"/>
    <cellStyle name="Akzent2 4 6" xfId="10469" xr:uid="{285957A6-374D-499A-8F9F-81B69BD8A90D}"/>
    <cellStyle name="Akzent2 4 6 2" xfId="29906" xr:uid="{DD9ACBFD-29FE-4AF7-8561-69B49521D6A3}"/>
    <cellStyle name="Akzent2 4 7" xfId="29900" xr:uid="{FD5E4C11-97AA-43DB-9200-DCDBF751BF40}"/>
    <cellStyle name="Akzent2 4 8" xfId="39381" xr:uid="{7C5A4F44-A691-4F87-8EA0-37C5DF20921E}"/>
    <cellStyle name="Akzent2 5" xfId="10470" xr:uid="{40518A6C-043F-4C9D-8E4D-4F4D3269536D}"/>
    <cellStyle name="Akzent2 5 2" xfId="10471" xr:uid="{744F2F50-BA25-4409-A5D8-F2B1387FDF47}"/>
    <cellStyle name="Akzent2 5 2 2" xfId="29908" xr:uid="{3BA22933-5645-4F65-8305-6BB2485D1005}"/>
    <cellStyle name="Akzent2 5 3" xfId="10472" xr:uid="{90A20F10-B230-42EA-BE17-F98A2803F031}"/>
    <cellStyle name="Akzent2 5 3 2" xfId="29909" xr:uid="{6C727D46-F3C7-48B4-8310-87210636FE6B}"/>
    <cellStyle name="Akzent2 5 4" xfId="10473" xr:uid="{5DC591DF-F50B-4B58-945C-75647F23A7BD}"/>
    <cellStyle name="Akzent2 5 4 2" xfId="29910" xr:uid="{57ADA359-93D1-4FBC-858B-FC599AD9072D}"/>
    <cellStyle name="Akzent2 5 5" xfId="29907" xr:uid="{00860BCC-330F-486E-B7F5-A68549659A8C}"/>
    <cellStyle name="Akzent2 5 6" xfId="39382" xr:uid="{D6E1ED39-6246-44A4-8E1D-3D11CEE9B8F8}"/>
    <cellStyle name="Akzent2 6" xfId="10474" xr:uid="{B802D0CB-42C3-4E65-9B91-26D6AC052AC3}"/>
    <cellStyle name="Akzent2 6 2" xfId="10475" xr:uid="{B4ADC555-DDA4-4D49-AD27-3CB78C8EA4AD}"/>
    <cellStyle name="Akzent2 6 2 2" xfId="29912" xr:uid="{B645C832-0C8C-48C1-AF03-001B725D01A4}"/>
    <cellStyle name="Akzent2 6 3" xfId="10476" xr:uid="{BA7B58B3-6780-4300-90C7-0ADA8D26F091}"/>
    <cellStyle name="Akzent2 6 3 2" xfId="29913" xr:uid="{C2C0B8D8-3B4E-47E5-976E-95C8BDAAC212}"/>
    <cellStyle name="Akzent2 6 4" xfId="10477" xr:uid="{93C1962E-C343-4984-B5D0-1E7C2CA20172}"/>
    <cellStyle name="Akzent2 6 4 2" xfId="29914" xr:uid="{CC1EA11E-02EA-47CF-B545-CB4DC25F364C}"/>
    <cellStyle name="Akzent2 6 5" xfId="29911" xr:uid="{30A607FC-EADF-4553-A101-CEBB3F09130A}"/>
    <cellStyle name="Akzent2 6 6" xfId="39377" xr:uid="{312C0B15-7904-486C-877E-885A64FFD69D}"/>
    <cellStyle name="Akzent2 7" xfId="10478" xr:uid="{3BA632BD-455C-42DF-B13B-3FB64099E117}"/>
    <cellStyle name="Akzent2 7 2" xfId="10479" xr:uid="{F2BF9DB8-3F5A-4972-B9BF-646A2C588ECB}"/>
    <cellStyle name="Akzent2 7 2 2" xfId="29916" xr:uid="{2167671F-8BAA-4BC0-89FA-D4BE32E0E34D}"/>
    <cellStyle name="Akzent2 7 3" xfId="29915" xr:uid="{F1E52489-2140-4B64-9787-2569CE159140}"/>
    <cellStyle name="Akzent2 8" xfId="10480" xr:uid="{E3863527-4B69-49A5-AFC9-01A53C35505C}"/>
    <cellStyle name="Akzent2 8 2" xfId="10481" xr:uid="{902717D4-D967-45F2-BCF3-F6A58118274E}"/>
    <cellStyle name="Akzent2 8 2 2" xfId="29918" xr:uid="{0A751240-BA26-4910-A05D-B8D6717EFCC8}"/>
    <cellStyle name="Akzent2 8 3" xfId="29917" xr:uid="{28AFA4A3-3F3F-4017-837E-ECA4EF675F8D}"/>
    <cellStyle name="Akzent2 9" xfId="10482" xr:uid="{7583D985-EF10-4FD1-98F3-B4D08BB22BF5}"/>
    <cellStyle name="Akzent2 9 2" xfId="10483" xr:uid="{D8A71B0D-FC8A-41FD-8D0A-AD4A265850E6}"/>
    <cellStyle name="Akzent2 9 2 2" xfId="29920" xr:uid="{37E97517-FB26-49BB-A371-27EB6EB347B4}"/>
    <cellStyle name="Akzent2 9 3" xfId="29919" xr:uid="{83736900-58B4-4D69-ACB2-ECB8339CC44C}"/>
    <cellStyle name="Akzent3 10" xfId="10485" xr:uid="{0D8F6BF8-9098-46F5-911D-A997B84F2D10}"/>
    <cellStyle name="Akzent3 10 2" xfId="10486" xr:uid="{28A326AC-9310-48F9-BDE2-919EB39290DA}"/>
    <cellStyle name="Akzent3 10 2 2" xfId="29923" xr:uid="{43FA06D5-D833-47E9-B2C0-03970876D40E}"/>
    <cellStyle name="Akzent3 10 3" xfId="29922" xr:uid="{89E59E5C-E9AE-4D68-922A-9D9E4D8631AF}"/>
    <cellStyle name="Akzent3 11" xfId="10487" xr:uid="{4BE6443D-36A2-47F3-BDA0-7B1E1DE3DB25}"/>
    <cellStyle name="Akzent3 11 2" xfId="10488" xr:uid="{42DDB029-5BCF-4250-A5A5-4FAE3E7AE6CB}"/>
    <cellStyle name="Akzent3 11 2 2" xfId="29925" xr:uid="{F752A7C4-1743-4742-ABB8-D8463287C116}"/>
    <cellStyle name="Akzent3 11 3" xfId="29924" xr:uid="{DE55CFCC-1E60-4400-9839-B0BBF3E6BF9D}"/>
    <cellStyle name="Akzent3 12" xfId="10489" xr:uid="{A3C3FC2B-C51D-408B-BCC6-34D21B11BDF0}"/>
    <cellStyle name="Akzent3 12 2" xfId="10490" xr:uid="{B0B68632-B93A-489E-9105-A5903E0FE40D}"/>
    <cellStyle name="Akzent3 12 2 2" xfId="29927" xr:uid="{C4CA75F2-9D90-40F9-B953-AC10470D2BBD}"/>
    <cellStyle name="Akzent3 12 3" xfId="29926" xr:uid="{A03B50E7-5E13-4BBD-B5A8-9C76C91EC770}"/>
    <cellStyle name="Akzent3 13" xfId="10491" xr:uid="{93C171D4-2910-4BF7-B942-AD625BAECDCF}"/>
    <cellStyle name="Akzent3 13 2" xfId="10492" xr:uid="{C64DA1EF-0A61-4690-BAD0-73922AE829B9}"/>
    <cellStyle name="Akzent3 13 2 2" xfId="29929" xr:uid="{872081FD-0C6E-4E70-A9F9-7756A41B7161}"/>
    <cellStyle name="Akzent3 13 3" xfId="29928" xr:uid="{C9D020F3-0E3E-4CE9-B3AA-0E4389164F63}"/>
    <cellStyle name="Akzent3 14" xfId="10493" xr:uid="{B0AE1BE2-6F6A-44BF-9437-59BA4ED93448}"/>
    <cellStyle name="Akzent3 14 2" xfId="10494" xr:uid="{7638764C-AC46-40D8-961F-118F73210BA0}"/>
    <cellStyle name="Akzent3 14 2 2" xfId="29931" xr:uid="{D4AB2222-D6CE-485A-BB06-DA22477BC4E6}"/>
    <cellStyle name="Akzent3 14 3" xfId="29930" xr:uid="{31E97C38-290F-4CF7-BD5A-ACF25C2A72A8}"/>
    <cellStyle name="Akzent3 15" xfId="10495" xr:uid="{5EC5FA8F-4890-4EB5-A7DF-BD190B7B79A9}"/>
    <cellStyle name="Akzent3 15 2" xfId="10496" xr:uid="{55EA0554-F032-4BA8-B5BD-67A714F2180C}"/>
    <cellStyle name="Akzent3 15 2 2" xfId="29933" xr:uid="{875FDED3-C681-484C-8DC4-0858505163A8}"/>
    <cellStyle name="Akzent3 15 3" xfId="29932" xr:uid="{5DD54D30-84A0-4C97-8433-697A63A39B97}"/>
    <cellStyle name="Akzent3 16" xfId="10497" xr:uid="{FE83E61E-A3A7-4D4B-8737-F12BFA2CF950}"/>
    <cellStyle name="Akzent3 16 2" xfId="10498" xr:uid="{BADD1F49-2131-4236-9A40-326807C02465}"/>
    <cellStyle name="Akzent3 16 2 2" xfId="29935" xr:uid="{F353AFBE-0A56-42EC-B902-E16E7A1100FE}"/>
    <cellStyle name="Akzent3 16 3" xfId="29934" xr:uid="{19E4E8DD-4BC3-4459-B963-DBAD4ABB9107}"/>
    <cellStyle name="Akzent3 17" xfId="10499" xr:uid="{5ACA38FF-C35A-4D9A-9446-C47CE36C0CBD}"/>
    <cellStyle name="Akzent3 17 2" xfId="10500" xr:uid="{DEC469D4-95A7-4DD1-983A-73AF43093036}"/>
    <cellStyle name="Akzent3 17 2 2" xfId="29937" xr:uid="{B5B1FC3F-38E7-410A-9B99-2716243020D4}"/>
    <cellStyle name="Akzent3 17 3" xfId="29936" xr:uid="{3326ADF3-358B-426D-8C21-7DA8C2852CD8}"/>
    <cellStyle name="Akzent3 18" xfId="10501" xr:uid="{FC601EE0-57BD-4B8F-80FC-3C8018711250}"/>
    <cellStyle name="Akzent3 18 2" xfId="10502" xr:uid="{909795A7-2DC8-4385-933B-E5A9CA4244DD}"/>
    <cellStyle name="Akzent3 18 2 2" xfId="29939" xr:uid="{02729753-407E-4EF7-9665-A9DC80FD6D9C}"/>
    <cellStyle name="Akzent3 18 3" xfId="29938" xr:uid="{353F0560-2885-4FF3-B4ED-8D595F0EA3AE}"/>
    <cellStyle name="Akzent3 19" xfId="10503" xr:uid="{3029FDFF-5591-4827-A843-5A3201429556}"/>
    <cellStyle name="Akzent3 19 2" xfId="10504" xr:uid="{66638A30-A80C-43D5-9C82-F7E2AF65D60B}"/>
    <cellStyle name="Akzent3 19 2 2" xfId="29941" xr:uid="{99A2D49B-32DD-48B9-AE57-F41BF3EB6592}"/>
    <cellStyle name="Akzent3 19 3" xfId="29940" xr:uid="{0C37D380-EAE2-4C4A-8ABF-B4A25D6AA5AA}"/>
    <cellStyle name="Akzent3 2" xfId="10505" xr:uid="{25B65684-F3E0-42A5-9552-09E4D453196C}"/>
    <cellStyle name="Akzent3 2 10" xfId="10506" xr:uid="{5770EAB9-C2C1-40CB-8074-3A3A37432E0C}"/>
    <cellStyle name="Akzent3 2 10 2" xfId="29943" xr:uid="{2868DBC8-C61A-4A68-8274-DDDD8B298D4D}"/>
    <cellStyle name="Akzent3 2 11" xfId="10507" xr:uid="{6C56B93E-1BD6-4F66-BF36-78DA076DF147}"/>
    <cellStyle name="Akzent3 2 11 2" xfId="29944" xr:uid="{A09AEFCA-78D8-44C6-AE00-321F6560C2AB}"/>
    <cellStyle name="Akzent3 2 12" xfId="10508" xr:uid="{2A9F0A33-3B24-41F8-B2ED-C1C4FB976030}"/>
    <cellStyle name="Akzent3 2 12 2" xfId="29945" xr:uid="{C9FCEC65-C7BD-45A5-8310-3D0BD10C9C02}"/>
    <cellStyle name="Akzent3 2 13" xfId="10509" xr:uid="{D58A75C3-5E01-4D75-BDD0-8BE4F9FF0019}"/>
    <cellStyle name="Akzent3 2 13 2" xfId="29946" xr:uid="{77BE78B6-E982-460F-855E-48DA65C310D8}"/>
    <cellStyle name="Akzent3 2 14" xfId="10510" xr:uid="{672956D5-56FE-4845-BD92-6D31E8EEFE63}"/>
    <cellStyle name="Akzent3 2 14 2" xfId="29947" xr:uid="{1FB43BCE-9002-4FD1-9814-679BE343C897}"/>
    <cellStyle name="Akzent3 2 15" xfId="29942" xr:uid="{B56C717E-44CC-420C-A3A9-6D394AB6FA2C}"/>
    <cellStyle name="Akzent3 2 16" xfId="39384" xr:uid="{2D0471B9-4AD4-4CF2-A0BF-F168B2C53546}"/>
    <cellStyle name="Akzent3 2 2" xfId="10511" xr:uid="{880A10A6-2DDB-4986-BD90-CF745099BF22}"/>
    <cellStyle name="Akzent3 2 2 10" xfId="10512" xr:uid="{E4FF95BA-E619-4404-BDAA-504ADC7DBB4E}"/>
    <cellStyle name="Akzent3 2 2 10 2" xfId="29949" xr:uid="{BCCFD364-F4BA-451A-ADFF-17DF2CC48CDF}"/>
    <cellStyle name="Akzent3 2 2 11" xfId="10513" xr:uid="{13074200-23EB-496F-8339-E6F11EE839BD}"/>
    <cellStyle name="Akzent3 2 2 11 2" xfId="29950" xr:uid="{ABA0DA74-65F7-4AEB-A28D-FB14E615025E}"/>
    <cellStyle name="Akzent3 2 2 12" xfId="10514" xr:uid="{A1EAC55E-4A86-4328-8EF1-4E037913ACFF}"/>
    <cellStyle name="Akzent3 2 2 12 2" xfId="29951" xr:uid="{955AE28E-0C7A-4035-982E-0898C994A15D}"/>
    <cellStyle name="Akzent3 2 2 13" xfId="29948" xr:uid="{D3D75EB6-26DB-4091-8B79-E0E341BF7951}"/>
    <cellStyle name="Akzent3 2 2 14" xfId="39385" xr:uid="{60F4EF4E-CBD3-4F24-B0CC-EE84694CE2CD}"/>
    <cellStyle name="Akzent3 2 2 2" xfId="10515" xr:uid="{D4C04A79-49EF-44CF-A1DA-F6C597957AFD}"/>
    <cellStyle name="Akzent3 2 2 2 10" xfId="10516" xr:uid="{CE324CFC-F2FB-4C90-9A29-AA86A03DE3B5}"/>
    <cellStyle name="Akzent3 2 2 2 10 2" xfId="29953" xr:uid="{B5120C6D-0C94-40E6-8FFD-1E0E516B706E}"/>
    <cellStyle name="Akzent3 2 2 2 11" xfId="29952" xr:uid="{45A4289F-0CDF-4D0C-A53E-4EA9F9771D7B}"/>
    <cellStyle name="Akzent3 2 2 2 2" xfId="10517" xr:uid="{894B2492-F5A5-4615-9CA7-551CDBAA1990}"/>
    <cellStyle name="Akzent3 2 2 2 2 2" xfId="10518" xr:uid="{4945FCEE-398F-4035-9229-79EED776FF65}"/>
    <cellStyle name="Akzent3 2 2 2 2 2 2" xfId="10519" xr:uid="{D49EB218-24BC-41BC-8D87-0EC298331BAB}"/>
    <cellStyle name="Akzent3 2 2 2 2 2 2 2" xfId="10520" xr:uid="{575ACEAB-21C9-427E-AD1C-362A85429F35}"/>
    <cellStyle name="Akzent3 2 2 2 2 2 2 2 2" xfId="29957" xr:uid="{D72FA627-59B2-4C1E-ABA9-F4A7005D91F1}"/>
    <cellStyle name="Akzent3 2 2 2 2 2 2 3" xfId="29956" xr:uid="{7E2C80F5-9637-4846-8F3E-AB57B86F32F5}"/>
    <cellStyle name="Akzent3 2 2 2 2 2 3" xfId="10521" xr:uid="{4A30EF1C-1E8E-4CDB-B84E-C132DD8B02B8}"/>
    <cellStyle name="Akzent3 2 2 2 2 2 3 2" xfId="29958" xr:uid="{DD4B1FCB-F968-4772-8154-489214954974}"/>
    <cellStyle name="Akzent3 2 2 2 2 2 4" xfId="10522" xr:uid="{F2CCF0E6-46BF-4FD1-B180-DE707645ED61}"/>
    <cellStyle name="Akzent3 2 2 2 2 2 4 2" xfId="29959" xr:uid="{A8F4CDC0-BF50-4D19-BA29-842A1C63714F}"/>
    <cellStyle name="Akzent3 2 2 2 2 2 5" xfId="10523" xr:uid="{82E6FAE4-84AF-45A9-9765-E43937BFD9D3}"/>
    <cellStyle name="Akzent3 2 2 2 2 2 5 2" xfId="29960" xr:uid="{78FF46FA-C389-4064-8F72-43F6E34E0CDF}"/>
    <cellStyle name="Akzent3 2 2 2 2 2 6" xfId="10524" xr:uid="{8C8B3472-05B9-41CB-A0BD-B7EDBF4D6138}"/>
    <cellStyle name="Akzent3 2 2 2 2 2 6 2" xfId="29961" xr:uid="{CA1120D1-3D9D-405A-813B-2AB574AEAB6D}"/>
    <cellStyle name="Akzent3 2 2 2 2 2 7" xfId="10525" xr:uid="{2DA15E53-DDA6-4692-AC31-7E9E832A79BD}"/>
    <cellStyle name="Akzent3 2 2 2 2 2 7 2" xfId="29962" xr:uid="{46F736CE-C50F-472A-81B9-041A0DAF4DB4}"/>
    <cellStyle name="Akzent3 2 2 2 2 2 8" xfId="10526" xr:uid="{DCC15731-EA11-4265-9DDE-45CAEF37E191}"/>
    <cellStyle name="Akzent3 2 2 2 2 2 8 2" xfId="29963" xr:uid="{91AAD756-7D19-431F-8664-8DEBE514AE9A}"/>
    <cellStyle name="Akzent3 2 2 2 2 2 9" xfId="29955" xr:uid="{BADCD776-857A-4CD1-811A-5DE1799EF030}"/>
    <cellStyle name="Akzent3 2 2 2 2 3" xfId="10527" xr:uid="{91BDE5B1-699F-4C8C-ADAE-2D19395B4D1F}"/>
    <cellStyle name="Akzent3 2 2 2 2 3 2" xfId="10528" xr:uid="{1F9A1250-2CEE-456E-BCA9-677D6EF49AB4}"/>
    <cellStyle name="Akzent3 2 2 2 2 3 2 2" xfId="29965" xr:uid="{218EE742-92F8-43EF-A5DD-F5DA12540D0B}"/>
    <cellStyle name="Akzent3 2 2 2 2 3 3" xfId="29964" xr:uid="{8DA45527-6695-4432-AD53-7076D76607F8}"/>
    <cellStyle name="Akzent3 2 2 2 2 4" xfId="10529" xr:uid="{A4D2A1FF-774F-4251-BAF7-118DA3F27D60}"/>
    <cellStyle name="Akzent3 2 2 2 2 4 2" xfId="29966" xr:uid="{8A1CB05D-FE0E-4F4D-9EFB-80EED6CDAFF6}"/>
    <cellStyle name="Akzent3 2 2 2 2 5" xfId="10530" xr:uid="{6B28D8D0-2647-44E4-A94C-9FEE75B7FF5E}"/>
    <cellStyle name="Akzent3 2 2 2 2 5 2" xfId="29967" xr:uid="{11829192-0C28-403A-AF02-61923FFAE153}"/>
    <cellStyle name="Akzent3 2 2 2 2 6" xfId="10531" xr:uid="{C735F2D7-C588-4CCC-88F0-97726ACB0E15}"/>
    <cellStyle name="Akzent3 2 2 2 2 6 2" xfId="29968" xr:uid="{15C73458-4019-4813-809C-C10B28221D95}"/>
    <cellStyle name="Akzent3 2 2 2 2 7" xfId="10532" xr:uid="{B8CB8842-289B-4788-842C-F34010C660DC}"/>
    <cellStyle name="Akzent3 2 2 2 2 7 2" xfId="29969" xr:uid="{85286E18-3935-4744-A5C2-46823189AB3A}"/>
    <cellStyle name="Akzent3 2 2 2 2 8" xfId="10533" xr:uid="{9F7D948A-0FAF-4672-B06B-4C7D6E56C687}"/>
    <cellStyle name="Akzent3 2 2 2 2 8 2" xfId="29970" xr:uid="{041CEDBF-11F7-4B36-9ED8-3E748054A14E}"/>
    <cellStyle name="Akzent3 2 2 2 2 9" xfId="29954" xr:uid="{2F3E7451-E3D8-4D6B-84EC-CD21EF9EFD35}"/>
    <cellStyle name="Akzent3 2 2 2 3" xfId="10534" xr:uid="{8E888CB0-60AC-4C18-A385-6324160E6E2A}"/>
    <cellStyle name="Akzent3 2 2 2 3 2" xfId="29971" xr:uid="{82138D46-E052-4A08-B227-8C6E56B725A9}"/>
    <cellStyle name="Akzent3 2 2 2 4" xfId="10535" xr:uid="{9AD4A6BB-BBB3-4449-869D-F168480CE9AA}"/>
    <cellStyle name="Akzent3 2 2 2 4 2" xfId="29972" xr:uid="{E680434C-DBFA-43B6-A4FB-DC667A94240E}"/>
    <cellStyle name="Akzent3 2 2 2 5" xfId="10536" xr:uid="{D5BE72FB-C1F1-41DC-B5B4-EC6750D07154}"/>
    <cellStyle name="Akzent3 2 2 2 5 2" xfId="10537" xr:uid="{1274B052-F166-4BDE-8439-92D9851D4317}"/>
    <cellStyle name="Akzent3 2 2 2 5 2 2" xfId="29974" xr:uid="{1372301C-A507-430F-AAA9-EC1589350FC5}"/>
    <cellStyle name="Akzent3 2 2 2 5 3" xfId="29973" xr:uid="{4BD5CC00-5AF6-45F7-9C8A-B38E6ED05592}"/>
    <cellStyle name="Akzent3 2 2 2 6" xfId="10538" xr:uid="{67FF114B-EBB9-4DBC-84A0-E26E8CC25554}"/>
    <cellStyle name="Akzent3 2 2 2 6 2" xfId="29975" xr:uid="{30B90E1B-4325-49BB-B165-AEF377649E2A}"/>
    <cellStyle name="Akzent3 2 2 2 7" xfId="10539" xr:uid="{45BB30DD-1EE4-4B39-AB0D-74BA95D9B6E6}"/>
    <cellStyle name="Akzent3 2 2 2 7 2" xfId="29976" xr:uid="{079EA630-83D9-4BFF-9749-A13AAB8B8F5D}"/>
    <cellStyle name="Akzent3 2 2 2 8" xfId="10540" xr:uid="{8A6F907E-F6E1-492D-A865-0C3307604B1A}"/>
    <cellStyle name="Akzent3 2 2 2 8 2" xfId="29977" xr:uid="{98C4D384-D03A-4312-8D09-DD3440FDE7AD}"/>
    <cellStyle name="Akzent3 2 2 2 9" xfId="10541" xr:uid="{D0CE6391-20D6-4865-940B-C347CACCCB00}"/>
    <cellStyle name="Akzent3 2 2 2 9 2" xfId="29978" xr:uid="{107CD198-FB82-49D3-AD9B-A6740B684EEE}"/>
    <cellStyle name="Akzent3 2 2 3" xfId="10542" xr:uid="{3004F24A-98E5-414C-A74F-8CFF72AB7BBF}"/>
    <cellStyle name="Akzent3 2 2 3 2" xfId="29979" xr:uid="{DC75292B-B88A-46B7-8B33-72564C2A3AF3}"/>
    <cellStyle name="Akzent3 2 2 4" xfId="10543" xr:uid="{8266C18B-6CC0-4C2C-A9F1-E14209977CD8}"/>
    <cellStyle name="Akzent3 2 2 4 2" xfId="29980" xr:uid="{1A2F6279-3AFE-411A-9352-D6BE1A07CE42}"/>
    <cellStyle name="Akzent3 2 2 5" xfId="10544" xr:uid="{07100525-F232-4052-ABE8-8E3BAFDA9C10}"/>
    <cellStyle name="Akzent3 2 2 5 2" xfId="10545" xr:uid="{9731137C-A250-45B6-9696-DF4F33218859}"/>
    <cellStyle name="Akzent3 2 2 5 2 2" xfId="29982" xr:uid="{1DD6E085-2CB2-49B9-B6AA-00F048290E2E}"/>
    <cellStyle name="Akzent3 2 2 5 3" xfId="29981" xr:uid="{B66EA7E4-7952-4F00-A59B-138DE3C6B263}"/>
    <cellStyle name="Akzent3 2 2 6" xfId="10546" xr:uid="{32D6FD4E-3F14-4338-959C-7672C871D546}"/>
    <cellStyle name="Akzent3 2 2 6 2" xfId="29983" xr:uid="{881E6312-F924-43AE-870B-7A3D0BD78DFB}"/>
    <cellStyle name="Akzent3 2 2 7" xfId="10547" xr:uid="{140238E3-4B49-4284-A2BC-C0C1C22E59ED}"/>
    <cellStyle name="Akzent3 2 2 7 2" xfId="10548" xr:uid="{A1DC2B40-BA1B-489D-9A0A-327B5C814DB3}"/>
    <cellStyle name="Akzent3 2 2 7 2 2" xfId="29985" xr:uid="{4C9BA9DF-8627-4317-B189-95447C8F0BCB}"/>
    <cellStyle name="Akzent3 2 2 7 3" xfId="29984" xr:uid="{E706221D-D4BE-4630-89BA-0E0ADC9E3F13}"/>
    <cellStyle name="Akzent3 2 2 8" xfId="10549" xr:uid="{3188150D-40BE-4D9E-95A1-F628CF63512E}"/>
    <cellStyle name="Akzent3 2 2 8 2" xfId="29986" xr:uid="{ECF00B97-32CB-4C8C-A514-0FC72203F7FC}"/>
    <cellStyle name="Akzent3 2 2 9" xfId="10550" xr:uid="{63312848-9B2A-4F0A-85E9-1099C27B9D8C}"/>
    <cellStyle name="Akzent3 2 2 9 2" xfId="29987" xr:uid="{4438E520-2CAA-4C15-98DA-1A7EA5B240F4}"/>
    <cellStyle name="Akzent3 2 3" xfId="10551" xr:uid="{0AAB7EEB-F919-4DFB-BEF7-6B5483B7AEDC}"/>
    <cellStyle name="Akzent3 2 3 2" xfId="29988" xr:uid="{7C5964A9-F015-4D3E-865C-EAC491244EF3}"/>
    <cellStyle name="Akzent3 2 4" xfId="10552" xr:uid="{12AC0082-3C1D-4D0B-9E40-CE60CB87F0F6}"/>
    <cellStyle name="Akzent3 2 4 2" xfId="10553" xr:uid="{48A932AE-56A4-4BEF-83F1-9BA4A5525EA9}"/>
    <cellStyle name="Akzent3 2 4 2 2" xfId="10554" xr:uid="{CD10575D-E411-475B-8C77-EEDCC49F1384}"/>
    <cellStyle name="Akzent3 2 4 2 2 2" xfId="29991" xr:uid="{DBFC0932-9591-4A3B-AEBD-A0DAD480B9E0}"/>
    <cellStyle name="Akzent3 2 4 2 3" xfId="29990" xr:uid="{D413F9B4-7C3B-45C2-AC51-1D13EC9FF481}"/>
    <cellStyle name="Akzent3 2 4 3" xfId="10555" xr:uid="{38AE43D0-C063-425B-8A23-1496F364FC3C}"/>
    <cellStyle name="Akzent3 2 4 3 2" xfId="29992" xr:uid="{7CFD7C24-BC17-43D6-9943-4EDDC520BE69}"/>
    <cellStyle name="Akzent3 2 4 4" xfId="10556" xr:uid="{528C0BFA-3621-41A0-80AF-45B4BF3A6E88}"/>
    <cellStyle name="Akzent3 2 4 4 2" xfId="29993" xr:uid="{11702265-5791-41B6-BEDF-480A862F80A2}"/>
    <cellStyle name="Akzent3 2 4 5" xfId="29989" xr:uid="{37EBE55E-4EAD-4297-82C2-3A932BE413E8}"/>
    <cellStyle name="Akzent3 2 5" xfId="10557" xr:uid="{72497627-0B81-43C2-B93D-D060F084FA0F}"/>
    <cellStyle name="Akzent3 2 5 2" xfId="29994" xr:uid="{92097C0D-07BA-4008-9CBA-58DD6783CBA7}"/>
    <cellStyle name="Akzent3 2 6" xfId="10558" xr:uid="{42286EAA-42CA-4D82-93AE-A7066919FF38}"/>
    <cellStyle name="Akzent3 2 6 2" xfId="10559" xr:uid="{0F24AF67-D193-41B6-A605-DE7981E2C834}"/>
    <cellStyle name="Akzent3 2 6 2 2" xfId="29996" xr:uid="{C03E80DE-DD60-43CA-934A-68196AE7EB69}"/>
    <cellStyle name="Akzent3 2 6 3" xfId="29995" xr:uid="{8559DF75-9420-4151-B91F-C796CDD18947}"/>
    <cellStyle name="Akzent3 2 7" xfId="10560" xr:uid="{2858F823-CA64-4A7A-8660-40EA3ACDD830}"/>
    <cellStyle name="Akzent3 2 7 2" xfId="29997" xr:uid="{D383DF92-414C-4FAE-943F-E0BC29993320}"/>
    <cellStyle name="Akzent3 2 8" xfId="10561" xr:uid="{F858D266-677C-472D-9C45-ABAB48DAF116}"/>
    <cellStyle name="Akzent3 2 8 2" xfId="10562" xr:uid="{D3A0D4F7-B6BC-4ABA-B9C8-43986D578836}"/>
    <cellStyle name="Akzent3 2 8 2 2" xfId="29999" xr:uid="{3C13CC5A-C99B-495E-9107-8585FF0EEFE6}"/>
    <cellStyle name="Akzent3 2 8 3" xfId="29998" xr:uid="{BA0CD9E0-28F8-4D4F-84E9-04C83F409357}"/>
    <cellStyle name="Akzent3 2 9" xfId="10563" xr:uid="{C75A7470-A3C1-459A-85F5-D17B8DE4DDDA}"/>
    <cellStyle name="Akzent3 2 9 2" xfId="30000" xr:uid="{BB96CE51-FCBE-4032-8F71-C941FB640CD1}"/>
    <cellStyle name="Akzent3 20" xfId="10564" xr:uid="{60087931-1870-4728-9A8B-8405EFCFA46D}"/>
    <cellStyle name="Akzent3 20 2" xfId="10565" xr:uid="{7CC90699-A3DD-450C-ADA4-42CF8E238263}"/>
    <cellStyle name="Akzent3 20 2 2" xfId="30002" xr:uid="{852878C2-83FE-45DD-83DA-2AC05683E7B5}"/>
    <cellStyle name="Akzent3 20 3" xfId="30001" xr:uid="{CE01B2E6-AE08-422A-B539-24B23CCABDA8}"/>
    <cellStyle name="Akzent3 21" xfId="10566" xr:uid="{90A04F5D-6F1E-44AE-A68D-C2A6AF20DCDD}"/>
    <cellStyle name="Akzent3 21 2" xfId="10567" xr:uid="{68FE7F67-E268-411C-A812-BD97B563A744}"/>
    <cellStyle name="Akzent3 21 2 2" xfId="30004" xr:uid="{E991A118-BCBF-4003-9A18-4A0F3CE4C3E6}"/>
    <cellStyle name="Akzent3 21 3" xfId="30003" xr:uid="{EC2D5F36-9B1A-419D-B8C0-A712CB112AB0}"/>
    <cellStyle name="Akzent3 22" xfId="10568" xr:uid="{13A6C6BB-3200-4311-AE27-040B4D54F37F}"/>
    <cellStyle name="Akzent3 22 2" xfId="10569" xr:uid="{791A339B-1881-43B4-99E8-76F3039C0662}"/>
    <cellStyle name="Akzent3 22 2 2" xfId="30006" xr:uid="{E94813FC-9E39-4EF0-8511-D67DF7A5BB3A}"/>
    <cellStyle name="Akzent3 22 3" xfId="30005" xr:uid="{DAE5183F-BF43-4CE7-83E6-81459953F82B}"/>
    <cellStyle name="Akzent3 23" xfId="10570" xr:uid="{978913C5-FB10-4399-B25B-C2DB3CB67764}"/>
    <cellStyle name="Akzent3 23 2" xfId="10571" xr:uid="{21786746-F545-4363-BD0F-399C49F6D563}"/>
    <cellStyle name="Akzent3 23 2 2" xfId="30008" xr:uid="{7F0DC5C5-335C-4C2F-B722-270F9A7AAE78}"/>
    <cellStyle name="Akzent3 23 3" xfId="30007" xr:uid="{D87171BF-A749-4D13-B4CA-D4CBD156B1FA}"/>
    <cellStyle name="Akzent3 24" xfId="10572" xr:uid="{2C8BA8FF-31D3-46FA-BAAB-6D8D1B06A85D}"/>
    <cellStyle name="Akzent3 24 2" xfId="10573" xr:uid="{FD9CCD70-2D4C-491C-A127-2FA3B793CD84}"/>
    <cellStyle name="Akzent3 24 2 2" xfId="30010" xr:uid="{553015B1-1023-4F5C-A466-BFC1BF788CCE}"/>
    <cellStyle name="Akzent3 24 3" xfId="30009" xr:uid="{7C1DEFD5-5D7D-4A21-8FFF-D769F5DCEEF1}"/>
    <cellStyle name="Akzent3 25" xfId="10574" xr:uid="{1DB102C6-9463-41E4-9168-104C2C626939}"/>
    <cellStyle name="Akzent3 25 2" xfId="10575" xr:uid="{28522D13-1E4E-4113-BF4D-634B066146AA}"/>
    <cellStyle name="Akzent3 25 2 2" xfId="30012" xr:uid="{0AF12589-2BED-466E-8E6C-5EA8EAF057E5}"/>
    <cellStyle name="Akzent3 25 3" xfId="30011" xr:uid="{7B02C7F2-9A51-45D7-BECD-340A65B816B0}"/>
    <cellStyle name="Akzent3 26" xfId="10576" xr:uid="{16072AAA-16DE-4839-97D1-8A47452D8E5A}"/>
    <cellStyle name="Akzent3 26 2" xfId="10577" xr:uid="{F3297EEC-3FC1-4979-BEEA-1820939D8811}"/>
    <cellStyle name="Akzent3 26 2 2" xfId="30014" xr:uid="{99C4098F-367F-49BE-8077-E71F793CB795}"/>
    <cellStyle name="Akzent3 26 3" xfId="30013" xr:uid="{5A930805-66CB-4438-A396-E11D6A92BC4C}"/>
    <cellStyle name="Akzent3 27" xfId="10578" xr:uid="{C51F38E9-BA7A-4EDE-9F5D-B0BDBAF82237}"/>
    <cellStyle name="Akzent3 27 2" xfId="10579" xr:uid="{9089DF64-9272-4FE7-9509-2DC857547160}"/>
    <cellStyle name="Akzent3 27 2 2" xfId="30016" xr:uid="{F53CF3B9-40AB-493F-8758-1E880BF91C6D}"/>
    <cellStyle name="Akzent3 27 3" xfId="30015" xr:uid="{01601D4B-4C92-4939-93C0-6D595E5CA82B}"/>
    <cellStyle name="Akzent3 28" xfId="10580" xr:uid="{80B87189-DF7C-40DC-BDCD-A1BD00A1F52B}"/>
    <cellStyle name="Akzent3 28 2" xfId="10581" xr:uid="{E408693D-1C19-4AA1-8C39-D884C6FD9C95}"/>
    <cellStyle name="Akzent3 28 2 2" xfId="30018" xr:uid="{9C35E0E9-4A6D-4D88-8238-ACBF57FB77B6}"/>
    <cellStyle name="Akzent3 28 3" xfId="30017" xr:uid="{0B2E45C0-9A67-4CB7-B237-85019FCF7E40}"/>
    <cellStyle name="Akzent3 29" xfId="10582" xr:uid="{573E7284-495F-4E4D-B3F4-6DB1A6B2E3FD}"/>
    <cellStyle name="Akzent3 29 2" xfId="10583" xr:uid="{729C2553-BE6B-4A6B-A644-BF3DF2A54861}"/>
    <cellStyle name="Akzent3 29 2 2" xfId="30020" xr:uid="{CE20D213-705A-4492-A6DE-9F752C7D1754}"/>
    <cellStyle name="Akzent3 29 3" xfId="30019" xr:uid="{ED027CB9-7560-4471-A737-6AC7D85E1F15}"/>
    <cellStyle name="Akzent3 3" xfId="10584" xr:uid="{7A653813-B226-41E0-9ABE-A637D3800F8A}"/>
    <cellStyle name="Akzent3 3 10" xfId="39386" xr:uid="{EED2EDE5-436A-473B-A797-BFEFB6788F74}"/>
    <cellStyle name="Akzent3 3 2" xfId="10585" xr:uid="{1B792A90-40C0-41CA-9D5A-103CCFA483EA}"/>
    <cellStyle name="Akzent3 3 2 2" xfId="10586" xr:uid="{3E4EA5F7-2F87-4F4B-A4A3-178EAF075BD5}"/>
    <cellStyle name="Akzent3 3 2 2 2" xfId="10587" xr:uid="{B4A05CC8-7924-4045-A981-741FA4C330FD}"/>
    <cellStyle name="Akzent3 3 2 2 2 2" xfId="30024" xr:uid="{C99FBBCD-12B4-4CE1-8CD6-C1ABE9F7DB67}"/>
    <cellStyle name="Akzent3 3 2 2 3" xfId="30023" xr:uid="{F8D62205-E81A-41EE-985A-BE6E5FFA3650}"/>
    <cellStyle name="Akzent3 3 2 3" xfId="10588" xr:uid="{9BD795FE-FEAE-422C-9FB0-AFDE384B7D8F}"/>
    <cellStyle name="Akzent3 3 2 3 2" xfId="30025" xr:uid="{1A9A82F7-538B-4F19-9A03-F8125A1C12DD}"/>
    <cellStyle name="Akzent3 3 2 4" xfId="10589" xr:uid="{96CAA449-CFDE-4D70-9F28-73DC76430781}"/>
    <cellStyle name="Akzent3 3 2 4 2" xfId="30026" xr:uid="{DD7DEB44-61F0-4B03-9C71-4846EF99BC4F}"/>
    <cellStyle name="Akzent3 3 2 5" xfId="30022" xr:uid="{7E6FEFFF-23BF-40B3-A48C-08089600454E}"/>
    <cellStyle name="Akzent3 3 2 6" xfId="39988" xr:uid="{27BB0CE5-E122-48E8-A6CB-42F6BB27618D}"/>
    <cellStyle name="Akzent3 3 3" xfId="10590" xr:uid="{3D32FA51-27FD-4DB6-8597-DB347DF8FB98}"/>
    <cellStyle name="Akzent3 3 3 2" xfId="30027" xr:uid="{1BD34BB3-C0A7-4EFB-9FD4-DEB3195E34E0}"/>
    <cellStyle name="Akzent3 3 4" xfId="10591" xr:uid="{F3DE957A-4338-4382-AA9F-E06F65ACDC2B}"/>
    <cellStyle name="Akzent3 3 4 2" xfId="30028" xr:uid="{9B9B49A5-8214-4D40-88DD-5608965F486C}"/>
    <cellStyle name="Akzent3 3 5" xfId="10592" xr:uid="{47CCC678-1FA3-4D91-978E-8379C4A3061C}"/>
    <cellStyle name="Akzent3 3 5 2" xfId="10593" xr:uid="{1DDEEF12-D16B-4BE2-9C20-FD3843E58215}"/>
    <cellStyle name="Akzent3 3 5 2 2" xfId="30030" xr:uid="{079888EE-12FB-42A6-8ABB-F3C87E356D46}"/>
    <cellStyle name="Akzent3 3 5 3" xfId="30029" xr:uid="{8D984AFA-399B-45DF-854A-99E87832E58E}"/>
    <cellStyle name="Akzent3 3 6" xfId="10594" xr:uid="{65C2A70E-F6E2-4B4B-84B0-3E0E0EDE111C}"/>
    <cellStyle name="Akzent3 3 6 2" xfId="30031" xr:uid="{ED8F9CA9-85B6-4F5F-A10F-DC2EE5EE3888}"/>
    <cellStyle name="Akzent3 3 7" xfId="10595" xr:uid="{62FA9D7F-B573-4C03-BC3A-8C696ED31CFC}"/>
    <cellStyle name="Akzent3 3 7 2" xfId="30032" xr:uid="{384C4505-6858-45A2-BA7E-3084F190269F}"/>
    <cellStyle name="Akzent3 3 8" xfId="10596" xr:uid="{E56A3DDB-BEAC-4257-AE08-0C4E790E2C61}"/>
    <cellStyle name="Akzent3 3 8 2" xfId="30033" xr:uid="{62A06D6C-C688-4200-A978-98D43FCC3B40}"/>
    <cellStyle name="Akzent3 3 9" xfId="30021" xr:uid="{CF4B1C5E-BA81-4F6F-BC19-CFE023683417}"/>
    <cellStyle name="Akzent3 30" xfId="10597" xr:uid="{B2AE3174-575A-484B-8088-A709DEE1992B}"/>
    <cellStyle name="Akzent3 30 2" xfId="10598" xr:uid="{004093CC-888B-435D-9A93-5B08477E09A2}"/>
    <cellStyle name="Akzent3 30 2 2" xfId="30035" xr:uid="{8FC7045B-372B-4683-9075-A695D0EA9C29}"/>
    <cellStyle name="Akzent3 30 3" xfId="30034" xr:uid="{BF474067-C6C8-4964-B5C3-55197A7348F2}"/>
    <cellStyle name="Akzent3 31" xfId="10599" xr:uid="{F2C9C866-C3B1-4E7B-AE7A-1BB2F9398AB1}"/>
    <cellStyle name="Akzent3 31 2" xfId="10600" xr:uid="{503420F6-7B51-4930-B38A-EC520FEB2DAA}"/>
    <cellStyle name="Akzent3 31 2 2" xfId="30037" xr:uid="{357C8D0A-BE71-4CF4-969E-B36C10DD6219}"/>
    <cellStyle name="Akzent3 31 3" xfId="30036" xr:uid="{DE01D6C1-6EB1-4C04-922D-A116D694CE30}"/>
    <cellStyle name="Akzent3 32" xfId="10601" xr:uid="{6954F9FD-D679-4777-88D4-2A108E2B9D07}"/>
    <cellStyle name="Akzent3 32 2" xfId="10602" xr:uid="{78C2C8F9-F6DB-4EA7-998D-2E2CB5E32B5E}"/>
    <cellStyle name="Akzent3 32 2 2" xfId="30039" xr:uid="{3F140551-DF38-413D-A812-D06BFD3CE05A}"/>
    <cellStyle name="Akzent3 32 3" xfId="30038" xr:uid="{38F33686-6FCD-486B-8DDF-3742185D4923}"/>
    <cellStyle name="Akzent3 33" xfId="10603" xr:uid="{3FBA8C74-B250-4CC8-AEB0-086BDDDD5177}"/>
    <cellStyle name="Akzent3 33 2" xfId="10604" xr:uid="{57A8CA83-ABF3-4D50-A57A-6C46220BC8D6}"/>
    <cellStyle name="Akzent3 33 2 2" xfId="30041" xr:uid="{A4F24167-4294-4DD1-B6DB-20DBB886D18C}"/>
    <cellStyle name="Akzent3 33 3" xfId="30040" xr:uid="{4717E45B-A79D-4D2E-BE9B-049DE5057EBA}"/>
    <cellStyle name="Akzent3 34" xfId="10605" xr:uid="{59DAD285-9FDC-4BF1-B66B-6AF578289D4D}"/>
    <cellStyle name="Akzent3 34 2" xfId="10606" xr:uid="{B076AD2B-9F87-4CD3-85CA-462EE5A60A5F}"/>
    <cellStyle name="Akzent3 34 2 2" xfId="30043" xr:uid="{11158E8E-D828-46C4-8F8A-1D164D9B7F17}"/>
    <cellStyle name="Akzent3 34 3" xfId="30042" xr:uid="{C38BCC3B-E465-488F-BE4B-ACA0F84EE563}"/>
    <cellStyle name="Akzent3 35" xfId="10607" xr:uid="{7D8D03AB-20E5-419B-9520-DE7BE4A2F1A7}"/>
    <cellStyle name="Akzent3 35 2" xfId="10608" xr:uid="{47B11B93-5254-457C-88C7-38DC75CAEFD9}"/>
    <cellStyle name="Akzent3 35 2 2" xfId="30045" xr:uid="{7FD5F98E-C071-4819-ADA9-3BCB2658F311}"/>
    <cellStyle name="Akzent3 35 3" xfId="30044" xr:uid="{877D9306-2439-4B37-95B0-5D0C23F8F6B4}"/>
    <cellStyle name="Akzent3 36" xfId="10609" xr:uid="{C16057D6-942D-41A6-9CB6-BF1586A714F3}"/>
    <cellStyle name="Akzent3 36 2" xfId="10610" xr:uid="{8EB8845F-8CAB-4229-8FAC-7DDACC51683C}"/>
    <cellStyle name="Akzent3 36 2 2" xfId="30047" xr:uid="{AF03E694-E2E6-4088-9AE2-FC0C0240F409}"/>
    <cellStyle name="Akzent3 36 3" xfId="30046" xr:uid="{FB52C51C-21A9-42FC-81FA-19FF15490BE2}"/>
    <cellStyle name="Akzent3 37" xfId="29921" xr:uid="{362681BE-E20E-4AF0-9623-B70861816491}"/>
    <cellStyle name="Akzent3 38" xfId="10484" xr:uid="{12FB42F8-5EFA-4F01-A95D-09EDF70DA70B}"/>
    <cellStyle name="Akzent3 4" xfId="10611" xr:uid="{E7DABA9D-52A7-4BAC-8FC5-AD84594D63B0}"/>
    <cellStyle name="Akzent3 4 2" xfId="10612" xr:uid="{57FF7B32-F7E0-4B93-9408-536FBDF324DC}"/>
    <cellStyle name="Akzent3 4 2 2" xfId="10613" xr:uid="{0EACCD7C-4F40-424E-8173-73B7879383A9}"/>
    <cellStyle name="Akzent3 4 2 2 2" xfId="30050" xr:uid="{48BBF874-4933-41CE-A2E0-3532C25D5AD2}"/>
    <cellStyle name="Akzent3 4 2 3" xfId="30049" xr:uid="{1E6043CD-5B15-4357-B63A-C3E85A839B47}"/>
    <cellStyle name="Akzent3 4 2 4" xfId="39989" xr:uid="{6CFA85C0-F29B-4376-BE33-63FDD4B47D38}"/>
    <cellStyle name="Akzent3 4 3" xfId="10614" xr:uid="{91B9DF77-D499-4F46-A51A-A5EC4AEACDF4}"/>
    <cellStyle name="Akzent3 4 3 2" xfId="30051" xr:uid="{19BDA68F-D0F2-4F59-94AE-A11A23698740}"/>
    <cellStyle name="Akzent3 4 4" xfId="10615" xr:uid="{EB3160AB-333E-4E64-BD02-98BCF0FA2B32}"/>
    <cellStyle name="Akzent3 4 4 2" xfId="30052" xr:uid="{68A7F81C-F47A-48CF-A3F0-2E363E364E5E}"/>
    <cellStyle name="Akzent3 4 5" xfId="10616" xr:uid="{D71A985A-220F-44B7-B0EE-5BEF982FD423}"/>
    <cellStyle name="Akzent3 4 5 2" xfId="30053" xr:uid="{048B817B-AF09-4288-B790-C32906D44A2D}"/>
    <cellStyle name="Akzent3 4 6" xfId="10617" xr:uid="{88E785AC-3BAC-471B-AD5E-8EC0A2B487A1}"/>
    <cellStyle name="Akzent3 4 6 2" xfId="30054" xr:uid="{AA8F4E8E-CAE1-4079-87FD-6B89E8DCCDE5}"/>
    <cellStyle name="Akzent3 4 7" xfId="30048" xr:uid="{B34D6821-150D-49A0-AA80-53960F6711E3}"/>
    <cellStyle name="Akzent3 4 8" xfId="39387" xr:uid="{3DF0E82E-57E4-4068-BD29-1A3C42A735F5}"/>
    <cellStyle name="Akzent3 5" xfId="10618" xr:uid="{7D95CBEB-748C-4D53-823F-1FD3277817BB}"/>
    <cellStyle name="Akzent3 5 2" xfId="10619" xr:uid="{921EB4DB-CC62-4525-BA5D-4BBD28AE7455}"/>
    <cellStyle name="Akzent3 5 2 2" xfId="30056" xr:uid="{A5151811-41A9-4AE0-BACC-31E5A35CB54F}"/>
    <cellStyle name="Akzent3 5 3" xfId="10620" xr:uid="{97A003C4-43EF-44FF-ACC3-AA79F097A161}"/>
    <cellStyle name="Akzent3 5 3 2" xfId="30057" xr:uid="{FC654DA5-D548-47A3-8C12-23CB99E1C2AD}"/>
    <cellStyle name="Akzent3 5 4" xfId="10621" xr:uid="{DB99F1F5-99BD-403F-AC22-523870330448}"/>
    <cellStyle name="Akzent3 5 4 2" xfId="30058" xr:uid="{D98C8903-A12E-46AD-BA74-3BBF775AA6C5}"/>
    <cellStyle name="Akzent3 5 5" xfId="30055" xr:uid="{957A47FA-E580-425C-9C3A-3BA42C2B82DD}"/>
    <cellStyle name="Akzent3 5 6" xfId="39383" xr:uid="{12CED9D4-3CC7-4AF6-85C8-2431DF5C54DD}"/>
    <cellStyle name="Akzent3 6" xfId="10622" xr:uid="{43DBD5B3-B160-48F1-8CA0-889F6D83903B}"/>
    <cellStyle name="Akzent3 6 2" xfId="10623" xr:uid="{0A695B44-BC54-4DC4-8D7E-C06E0C733EF6}"/>
    <cellStyle name="Akzent3 6 2 2" xfId="30060" xr:uid="{6EE7E832-4DB3-4F3A-976A-87E540610BE5}"/>
    <cellStyle name="Akzent3 6 3" xfId="10624" xr:uid="{50C5912C-D5B3-4D8C-B253-F1D9FBCC9314}"/>
    <cellStyle name="Akzent3 6 3 2" xfId="30061" xr:uid="{FC106D02-9309-46E6-9023-E0B1DBAFEA6B}"/>
    <cellStyle name="Akzent3 6 4" xfId="10625" xr:uid="{CA6A6F46-F21F-4455-A57E-1A8C145329FC}"/>
    <cellStyle name="Akzent3 6 4 2" xfId="30062" xr:uid="{BFBFC580-07CC-468C-96C0-5F12FE123E61}"/>
    <cellStyle name="Akzent3 6 5" xfId="30059" xr:uid="{6925DD84-8988-4392-9F91-5073C60934DC}"/>
    <cellStyle name="Akzent3 7" xfId="10626" xr:uid="{CC36DC83-DA2D-4F0B-B148-29C726213BA7}"/>
    <cellStyle name="Akzent3 7 2" xfId="10627" xr:uid="{82A5E8C6-2218-41AF-BD11-ECCD507A8DD5}"/>
    <cellStyle name="Akzent3 7 2 2" xfId="30064" xr:uid="{6070C9B4-5407-4D92-A855-3E1FF63835C6}"/>
    <cellStyle name="Akzent3 7 3" xfId="30063" xr:uid="{E2BA8C0B-D16D-4D67-8667-F8BF25E8BBCE}"/>
    <cellStyle name="Akzent3 8" xfId="10628" xr:uid="{767A2748-E39E-4CAB-8C4E-371FD1DBD0AC}"/>
    <cellStyle name="Akzent3 8 2" xfId="10629" xr:uid="{7FECF8A8-CFC0-4B1A-B5FF-AF20A43E4973}"/>
    <cellStyle name="Akzent3 8 2 2" xfId="30066" xr:uid="{99AB2705-60BC-4A1F-96E4-A421CA058214}"/>
    <cellStyle name="Akzent3 8 3" xfId="30065" xr:uid="{77B81D27-4DE7-4BFE-8933-1EF119277B49}"/>
    <cellStyle name="Akzent3 9" xfId="10630" xr:uid="{F5B5A94F-E0C2-4874-93FF-9E0620A489AB}"/>
    <cellStyle name="Akzent3 9 2" xfId="10631" xr:uid="{FD0D9AE4-66BC-48F3-8EC5-D3D1E2FAB779}"/>
    <cellStyle name="Akzent3 9 2 2" xfId="30068" xr:uid="{82E6855A-0D4D-4CD8-9C45-02A490B471FF}"/>
    <cellStyle name="Akzent3 9 3" xfId="30067" xr:uid="{5B852859-E545-4ED0-B72F-A557F90ADF37}"/>
    <cellStyle name="Akzent4 10" xfId="10633" xr:uid="{0846F7D5-E6AC-41A6-B99E-A676EF625DAB}"/>
    <cellStyle name="Akzent4 10 2" xfId="10634" xr:uid="{59B52AA2-9DB3-404C-9B50-980013065923}"/>
    <cellStyle name="Akzent4 10 2 2" xfId="30071" xr:uid="{D504F608-F4A2-4858-96E2-BC25578538D4}"/>
    <cellStyle name="Akzent4 10 3" xfId="30070" xr:uid="{CB8BDFCF-9F15-491E-BF40-D8749A42889D}"/>
    <cellStyle name="Akzent4 11" xfId="10635" xr:uid="{0860AF18-FF6D-4E09-B131-BAEED2BFDB82}"/>
    <cellStyle name="Akzent4 11 2" xfId="10636" xr:uid="{5AB90593-EC15-4E3D-8D12-6E1BD473F385}"/>
    <cellStyle name="Akzent4 11 2 2" xfId="30073" xr:uid="{A87692DB-EC0F-4558-A3C1-FD98196F082C}"/>
    <cellStyle name="Akzent4 11 3" xfId="30072" xr:uid="{7D403A7B-004B-4912-87AA-1BBB4B592B7D}"/>
    <cellStyle name="Akzent4 12" xfId="10637" xr:uid="{F36C9C1F-C53E-4681-83D7-381009338CD7}"/>
    <cellStyle name="Akzent4 12 2" xfId="10638" xr:uid="{23FFD507-5690-48E1-B378-7581729C14D4}"/>
    <cellStyle name="Akzent4 12 2 2" xfId="30075" xr:uid="{7178CE96-19E7-4641-9981-451644578404}"/>
    <cellStyle name="Akzent4 12 3" xfId="30074" xr:uid="{A3A31454-3BB4-4D72-A8D1-F510A1077E5A}"/>
    <cellStyle name="Akzent4 13" xfId="10639" xr:uid="{2635D25E-4369-409C-9223-FB9FAFE37A81}"/>
    <cellStyle name="Akzent4 13 2" xfId="10640" xr:uid="{9A0FA537-D2AB-4283-BCFF-0317CD76E5FA}"/>
    <cellStyle name="Akzent4 13 2 2" xfId="30077" xr:uid="{9DAF23F2-C1E9-4E3C-A0EE-3FCDCAA7A671}"/>
    <cellStyle name="Akzent4 13 3" xfId="30076" xr:uid="{A0A6A5BD-1546-453E-86A9-BB9F5B8DEA6E}"/>
    <cellStyle name="Akzent4 14" xfId="10641" xr:uid="{EF8F517D-BD60-4AB2-817D-5304A222ADB7}"/>
    <cellStyle name="Akzent4 14 2" xfId="10642" xr:uid="{118B8AE3-AF49-424F-8F25-1289CFDB84DE}"/>
    <cellStyle name="Akzent4 14 2 2" xfId="30079" xr:uid="{BB3C22C3-9659-4A1E-923E-832F9BBC8334}"/>
    <cellStyle name="Akzent4 14 3" xfId="30078" xr:uid="{26F6E827-8880-4309-8485-0114E4534A41}"/>
    <cellStyle name="Akzent4 15" xfId="10643" xr:uid="{8DAF9C12-30E2-4937-9703-773C1CB41A97}"/>
    <cellStyle name="Akzent4 15 2" xfId="10644" xr:uid="{8635B3AC-4991-4756-B3F4-06DEB5309796}"/>
    <cellStyle name="Akzent4 15 2 2" xfId="30081" xr:uid="{97484B86-A097-49B8-B80E-257B6E2C1B97}"/>
    <cellStyle name="Akzent4 15 3" xfId="30080" xr:uid="{CF8AFCC5-2837-451B-84D0-7CCC8E9EBEBC}"/>
    <cellStyle name="Akzent4 16" xfId="10645" xr:uid="{E4A6B332-6ECF-451A-8A5E-BEC3B447E0FB}"/>
    <cellStyle name="Akzent4 16 2" xfId="10646" xr:uid="{14F5AA1B-F395-4703-BB2E-5B9CA8432C7D}"/>
    <cellStyle name="Akzent4 16 2 2" xfId="30083" xr:uid="{58E945EF-690F-4682-A581-0EFF212B2B13}"/>
    <cellStyle name="Akzent4 16 3" xfId="30082" xr:uid="{004BA496-44A8-4D01-A6AC-0D2E208B77D2}"/>
    <cellStyle name="Akzent4 17" xfId="10647" xr:uid="{7BEFDA5C-E82E-4C42-9EFD-B9EE40DB784F}"/>
    <cellStyle name="Akzent4 17 2" xfId="10648" xr:uid="{0F8E2135-9612-4FD4-A07D-D69353868C32}"/>
    <cellStyle name="Akzent4 17 2 2" xfId="30085" xr:uid="{380DDC8D-DEEB-4B21-8D5E-DB3B8D35BC66}"/>
    <cellStyle name="Akzent4 17 3" xfId="30084" xr:uid="{4772E6DF-5115-4545-915D-0AE13062F7E6}"/>
    <cellStyle name="Akzent4 18" xfId="10649" xr:uid="{691C539A-C586-4904-A971-CF544A429CB3}"/>
    <cellStyle name="Akzent4 18 2" xfId="10650" xr:uid="{D48DD9BA-5BC4-4603-AE5F-2BF5D37EC3F9}"/>
    <cellStyle name="Akzent4 18 2 2" xfId="30087" xr:uid="{6432BEB5-BE88-45F9-9746-CF5814A5F2BB}"/>
    <cellStyle name="Akzent4 18 3" xfId="30086" xr:uid="{D99E164F-FEA0-4524-B92E-2E129F18FA77}"/>
    <cellStyle name="Akzent4 19" xfId="10651" xr:uid="{971AC17E-9B90-4D71-8CB1-362E200F762E}"/>
    <cellStyle name="Akzent4 19 2" xfId="10652" xr:uid="{C5A23FBF-A09E-479C-8691-B62ED91F7306}"/>
    <cellStyle name="Akzent4 19 2 2" xfId="30089" xr:uid="{414CF420-525F-44B1-BDEC-79008B6DFDAA}"/>
    <cellStyle name="Akzent4 19 3" xfId="30088" xr:uid="{B194BEBA-F3CF-4ED2-B859-F6B616C18226}"/>
    <cellStyle name="Akzent4 2" xfId="10653" xr:uid="{62D7ADC4-E9F1-485A-A824-00B57F957541}"/>
    <cellStyle name="Akzent4 2 10" xfId="10654" xr:uid="{00CE15E7-9474-4B8D-AC16-ECC1208B6CFA}"/>
    <cellStyle name="Akzent4 2 10 2" xfId="30091" xr:uid="{B2C99B56-9E46-49D6-9003-C38F3E16A3FE}"/>
    <cellStyle name="Akzent4 2 11" xfId="10655" xr:uid="{48082BFA-FB92-4470-934C-70F24E1A7D5D}"/>
    <cellStyle name="Akzent4 2 11 2" xfId="30092" xr:uid="{1540A67A-1113-45F0-80DC-EF0B73768BBC}"/>
    <cellStyle name="Akzent4 2 12" xfId="10656" xr:uid="{CBDF087E-BA19-4EDD-AEDD-654947978BBA}"/>
    <cellStyle name="Akzent4 2 12 2" xfId="30093" xr:uid="{72B2E228-AC31-46D0-AAAF-5847BF3EAE0F}"/>
    <cellStyle name="Akzent4 2 13" xfId="10657" xr:uid="{FC38C7A5-A3A0-487A-B24A-C402C804C9F6}"/>
    <cellStyle name="Akzent4 2 13 2" xfId="30094" xr:uid="{29A53AA3-583E-4952-B41F-EFD0EC6725D4}"/>
    <cellStyle name="Akzent4 2 14" xfId="10658" xr:uid="{3FA217E1-E78E-4216-A59F-2917C7C90A5E}"/>
    <cellStyle name="Akzent4 2 14 2" xfId="30095" xr:uid="{6E769DC1-9421-4262-982F-28E5A5239E42}"/>
    <cellStyle name="Akzent4 2 15" xfId="30090" xr:uid="{6CDDD9AD-1959-468B-BB40-B5C60DC8FDA7}"/>
    <cellStyle name="Akzent4 2 16" xfId="39389" xr:uid="{54C48066-C02D-4993-B2C4-1B6694E1F3B8}"/>
    <cellStyle name="Akzent4 2 2" xfId="10659" xr:uid="{2A7F4BAF-E828-476D-B67B-8548F4133B37}"/>
    <cellStyle name="Akzent4 2 2 10" xfId="10660" xr:uid="{C7E666B4-E7D6-43C4-92A6-A0FD97350D0F}"/>
    <cellStyle name="Akzent4 2 2 10 2" xfId="30097" xr:uid="{14D5586A-8ECD-4F14-A1F3-C6C2DAD072BC}"/>
    <cellStyle name="Akzent4 2 2 11" xfId="10661" xr:uid="{93C28D87-5F3C-4798-BC0B-D655540BBE47}"/>
    <cellStyle name="Akzent4 2 2 11 2" xfId="30098" xr:uid="{9E763150-1A51-4967-9933-B2C380972AC2}"/>
    <cellStyle name="Akzent4 2 2 12" xfId="10662" xr:uid="{F658DDD9-361E-4DCF-BED0-DAC4458D2716}"/>
    <cellStyle name="Akzent4 2 2 12 2" xfId="30099" xr:uid="{D3C26220-EF56-4981-8524-26B512E6AE85}"/>
    <cellStyle name="Akzent4 2 2 13" xfId="30096" xr:uid="{FD1C2320-32A5-4155-8DB8-57278ED7130C}"/>
    <cellStyle name="Akzent4 2 2 14" xfId="39390" xr:uid="{50FEB2A8-8815-4EC5-969E-E1445899CD3B}"/>
    <cellStyle name="Akzent4 2 2 2" xfId="10663" xr:uid="{C1EA725D-BCE1-4933-86CB-ACAC06CCF0ED}"/>
    <cellStyle name="Akzent4 2 2 2 10" xfId="10664" xr:uid="{02AC9160-2D67-4A1B-9C04-B8635E3357C2}"/>
    <cellStyle name="Akzent4 2 2 2 10 2" xfId="30101" xr:uid="{C129B2F1-FFC0-4FB6-BD5C-3D8EF268B81B}"/>
    <cellStyle name="Akzent4 2 2 2 11" xfId="30100" xr:uid="{6F432DBF-15F4-43F5-BD9E-EE9FB04CF530}"/>
    <cellStyle name="Akzent4 2 2 2 2" xfId="10665" xr:uid="{464AD5DF-4DAE-48B6-8BA4-8589C8E84C33}"/>
    <cellStyle name="Akzent4 2 2 2 2 2" xfId="10666" xr:uid="{D18D8001-31A0-4325-B0B5-4F9270BD1D9A}"/>
    <cellStyle name="Akzent4 2 2 2 2 2 2" xfId="10667" xr:uid="{638B12C8-1B22-4A61-8E50-F3F68B67841E}"/>
    <cellStyle name="Akzent4 2 2 2 2 2 2 2" xfId="10668" xr:uid="{553FB8D9-DF5B-4EE9-B578-777B9B9FA453}"/>
    <cellStyle name="Akzent4 2 2 2 2 2 2 2 2" xfId="30105" xr:uid="{FF9B30CE-1C6C-4EC5-A9FE-C1B73A37F449}"/>
    <cellStyle name="Akzent4 2 2 2 2 2 2 3" xfId="30104" xr:uid="{BDCFBB4F-8DB5-4234-8C3A-DA6769FD97BB}"/>
    <cellStyle name="Akzent4 2 2 2 2 2 3" xfId="10669" xr:uid="{08EFC508-0E36-466E-9DC9-AC5F2EC9665C}"/>
    <cellStyle name="Akzent4 2 2 2 2 2 3 2" xfId="30106" xr:uid="{666E1A0B-9A63-4583-AF7F-9153617B3C00}"/>
    <cellStyle name="Akzent4 2 2 2 2 2 4" xfId="10670" xr:uid="{55826F8B-223D-4A83-88CF-5785753E3B98}"/>
    <cellStyle name="Akzent4 2 2 2 2 2 4 2" xfId="30107" xr:uid="{E32909C6-63E2-44DE-B3EC-345BA344EDA8}"/>
    <cellStyle name="Akzent4 2 2 2 2 2 5" xfId="10671" xr:uid="{9043DEEA-6EE0-415F-9297-D0297BB2652B}"/>
    <cellStyle name="Akzent4 2 2 2 2 2 5 2" xfId="30108" xr:uid="{E9407446-B49D-48DC-8828-A6C9A494C114}"/>
    <cellStyle name="Akzent4 2 2 2 2 2 6" xfId="10672" xr:uid="{0F20C5C9-F082-44FE-897A-BD4D0E789D1A}"/>
    <cellStyle name="Akzent4 2 2 2 2 2 6 2" xfId="30109" xr:uid="{0E984616-2893-4EE4-9B34-195E486527C8}"/>
    <cellStyle name="Akzent4 2 2 2 2 2 7" xfId="10673" xr:uid="{90CD5A60-8D0C-411E-BAD6-3AAC3CF6634B}"/>
    <cellStyle name="Akzent4 2 2 2 2 2 7 2" xfId="30110" xr:uid="{BE15CF7A-4D18-402A-8A9C-59BA18178C17}"/>
    <cellStyle name="Akzent4 2 2 2 2 2 8" xfId="10674" xr:uid="{37DD6F8C-AC8D-4815-A506-BBBD57F9C74F}"/>
    <cellStyle name="Akzent4 2 2 2 2 2 8 2" xfId="30111" xr:uid="{13A4F78A-1AAE-44BC-9CAA-2B88D86AB05F}"/>
    <cellStyle name="Akzent4 2 2 2 2 2 9" xfId="30103" xr:uid="{9324BE62-5605-4A9F-BC33-F692BC17E87A}"/>
    <cellStyle name="Akzent4 2 2 2 2 3" xfId="10675" xr:uid="{BB11C9E3-5E44-4C93-9B34-CBC545DCE422}"/>
    <cellStyle name="Akzent4 2 2 2 2 3 2" xfId="10676" xr:uid="{5552A2C1-FF76-409E-B8BA-50AA6CAC253B}"/>
    <cellStyle name="Akzent4 2 2 2 2 3 2 2" xfId="30113" xr:uid="{FDDD9ACA-3EEA-4D61-9DF3-24B08D2FC99F}"/>
    <cellStyle name="Akzent4 2 2 2 2 3 3" xfId="30112" xr:uid="{4A090F99-1E00-4D90-AA05-42D10E3BE129}"/>
    <cellStyle name="Akzent4 2 2 2 2 4" xfId="10677" xr:uid="{79F2DE2F-1FA5-4D98-A2E6-55817B55B7D9}"/>
    <cellStyle name="Akzent4 2 2 2 2 4 2" xfId="30114" xr:uid="{562DF74D-C939-4002-8AAD-5E7E631E10C9}"/>
    <cellStyle name="Akzent4 2 2 2 2 5" xfId="10678" xr:uid="{F056CD70-CA29-4B16-8319-D2838DE2BF86}"/>
    <cellStyle name="Akzent4 2 2 2 2 5 2" xfId="30115" xr:uid="{150E3655-ABC9-4D3C-9A43-24D1A74417F4}"/>
    <cellStyle name="Akzent4 2 2 2 2 6" xfId="10679" xr:uid="{DC33D18E-E10D-4292-A554-2772AFA61C68}"/>
    <cellStyle name="Akzent4 2 2 2 2 6 2" xfId="30116" xr:uid="{16DCE16A-7A14-498B-83B9-73C9A53E908D}"/>
    <cellStyle name="Akzent4 2 2 2 2 7" xfId="10680" xr:uid="{762240D8-8C09-4C62-9030-F14BADEED7D2}"/>
    <cellStyle name="Akzent4 2 2 2 2 7 2" xfId="30117" xr:uid="{8E6F3E3F-CF49-4929-8552-EEC835A89352}"/>
    <cellStyle name="Akzent4 2 2 2 2 8" xfId="10681" xr:uid="{00074AD0-46A0-48BD-8716-FC9EE9F47F99}"/>
    <cellStyle name="Akzent4 2 2 2 2 8 2" xfId="30118" xr:uid="{72934063-C7BE-46D9-9FA5-E69C4641BB95}"/>
    <cellStyle name="Akzent4 2 2 2 2 9" xfId="30102" xr:uid="{C34F9156-8B94-4647-9ACD-DD4222B99930}"/>
    <cellStyle name="Akzent4 2 2 2 3" xfId="10682" xr:uid="{007E25B4-FAB4-4201-94E6-FA258D01D57B}"/>
    <cellStyle name="Akzent4 2 2 2 3 2" xfId="30119" xr:uid="{7C4E995E-78E5-4333-9F2B-6AF6021F11FD}"/>
    <cellStyle name="Akzent4 2 2 2 4" xfId="10683" xr:uid="{A90D5BF7-C0D2-468A-9058-5E4A91F1ADD6}"/>
    <cellStyle name="Akzent4 2 2 2 4 2" xfId="30120" xr:uid="{D9ADBEE3-76E7-4F65-93A4-215F2EEEB1FD}"/>
    <cellStyle name="Akzent4 2 2 2 5" xfId="10684" xr:uid="{B417B7F8-0CA8-4339-8B78-0E14A0F6191B}"/>
    <cellStyle name="Akzent4 2 2 2 5 2" xfId="10685" xr:uid="{0E711A65-470B-4DC0-96C0-FBBC8756EFC9}"/>
    <cellStyle name="Akzent4 2 2 2 5 2 2" xfId="30122" xr:uid="{81EF319B-C5E8-4B63-BA5D-E6462C289BCF}"/>
    <cellStyle name="Akzent4 2 2 2 5 3" xfId="30121" xr:uid="{71B20864-3254-4FEA-ABF7-9EC2FAA055D5}"/>
    <cellStyle name="Akzent4 2 2 2 6" xfId="10686" xr:uid="{45249774-F652-48F6-9780-A1165BCAE9A8}"/>
    <cellStyle name="Akzent4 2 2 2 6 2" xfId="30123" xr:uid="{FB62A785-6197-43E5-BAB0-429CAE1485CE}"/>
    <cellStyle name="Akzent4 2 2 2 7" xfId="10687" xr:uid="{2C67B476-2094-406B-9295-E7322064F115}"/>
    <cellStyle name="Akzent4 2 2 2 7 2" xfId="30124" xr:uid="{DF77EE63-1505-4E3B-B0ED-FA13F5C97BB9}"/>
    <cellStyle name="Akzent4 2 2 2 8" xfId="10688" xr:uid="{40E0BF57-7AE5-4126-B211-2CC17CA036CD}"/>
    <cellStyle name="Akzent4 2 2 2 8 2" xfId="30125" xr:uid="{88D24D64-CDBA-4910-8562-191E27EC3E67}"/>
    <cellStyle name="Akzent4 2 2 2 9" xfId="10689" xr:uid="{A937EB52-C583-46EC-9997-4484312CA8BE}"/>
    <cellStyle name="Akzent4 2 2 2 9 2" xfId="30126" xr:uid="{F75CAD03-C5EF-4461-99E7-0F318AA9B620}"/>
    <cellStyle name="Akzent4 2 2 3" xfId="10690" xr:uid="{24D06AD1-9A89-412C-AE99-4A52F35AE843}"/>
    <cellStyle name="Akzent4 2 2 3 2" xfId="30127" xr:uid="{66B297DE-F5EA-442B-906D-709821CD077B}"/>
    <cellStyle name="Akzent4 2 2 4" xfId="10691" xr:uid="{01CC286C-B0B6-4B22-90F8-4A7E281AF6DC}"/>
    <cellStyle name="Akzent4 2 2 4 2" xfId="30128" xr:uid="{A170ED32-15A8-480F-A3E9-F3D29024DF60}"/>
    <cellStyle name="Akzent4 2 2 5" xfId="10692" xr:uid="{ED5E43E8-8ECA-4A77-9671-1D664ACE2EA8}"/>
    <cellStyle name="Akzent4 2 2 5 2" xfId="10693" xr:uid="{D24785D1-4A38-4E6A-812F-D2619F10B3AC}"/>
    <cellStyle name="Akzent4 2 2 5 2 2" xfId="30130" xr:uid="{5CB18C3A-74FF-47C9-B3B6-ED7B8C2C85A3}"/>
    <cellStyle name="Akzent4 2 2 5 3" xfId="30129" xr:uid="{729BEED0-C496-4A96-A230-972D014D0DF9}"/>
    <cellStyle name="Akzent4 2 2 6" xfId="10694" xr:uid="{6A87ACE2-7894-4ADE-A311-131900A5A26F}"/>
    <cellStyle name="Akzent4 2 2 6 2" xfId="30131" xr:uid="{3C743F76-F102-4F4B-AC0B-C944650576EC}"/>
    <cellStyle name="Akzent4 2 2 7" xfId="10695" xr:uid="{F6DBF217-43B8-44B2-8D16-8F16386B4967}"/>
    <cellStyle name="Akzent4 2 2 7 2" xfId="10696" xr:uid="{35106CC3-881C-463D-8962-01B4E1CD3D99}"/>
    <cellStyle name="Akzent4 2 2 7 2 2" xfId="30133" xr:uid="{53434B71-6855-4B74-8B26-1206C729AC6C}"/>
    <cellStyle name="Akzent4 2 2 7 3" xfId="30132" xr:uid="{22BD5773-AAE5-426C-BBBF-3BE946F06A15}"/>
    <cellStyle name="Akzent4 2 2 8" xfId="10697" xr:uid="{4F5E3A4C-EB13-4E68-B68F-0020CD2E0840}"/>
    <cellStyle name="Akzent4 2 2 8 2" xfId="30134" xr:uid="{140CB332-717B-45BD-A8A8-D25EA74BB2F8}"/>
    <cellStyle name="Akzent4 2 2 9" xfId="10698" xr:uid="{9D668C87-5B53-4515-A294-4CA421A4A0E6}"/>
    <cellStyle name="Akzent4 2 2 9 2" xfId="30135" xr:uid="{248D20C9-6A55-4254-98AF-E747496446BB}"/>
    <cellStyle name="Akzent4 2 3" xfId="10699" xr:uid="{C70B75DA-E342-4701-A38C-982A417A09A3}"/>
    <cellStyle name="Akzent4 2 3 2" xfId="30136" xr:uid="{83A75362-5E00-4566-A5D0-671621A26BBE}"/>
    <cellStyle name="Akzent4 2 4" xfId="10700" xr:uid="{05A68DCD-C193-49F1-80C4-A7DDFBB58786}"/>
    <cellStyle name="Akzent4 2 4 2" xfId="10701" xr:uid="{4D96A1D4-2630-4CA0-A2FE-C5536D78E839}"/>
    <cellStyle name="Akzent4 2 4 2 2" xfId="10702" xr:uid="{28B147B9-C17D-4E4E-912F-56B1AD8BA7EE}"/>
    <cellStyle name="Akzent4 2 4 2 2 2" xfId="30139" xr:uid="{BE598EBA-C98B-4712-ADB2-A1BED3497C46}"/>
    <cellStyle name="Akzent4 2 4 2 3" xfId="30138" xr:uid="{BBBA3B76-97DB-4CD6-ADB8-2C920CF5AFBA}"/>
    <cellStyle name="Akzent4 2 4 3" xfId="10703" xr:uid="{9FAFCC07-FB8E-4B2A-A388-C0531E2EC369}"/>
    <cellStyle name="Akzent4 2 4 3 2" xfId="30140" xr:uid="{9A2DA229-C578-49A1-84B6-2904C9BBAAD1}"/>
    <cellStyle name="Akzent4 2 4 4" xfId="10704" xr:uid="{7CAC522A-3BC1-4D13-88E4-84D1BF5F9587}"/>
    <cellStyle name="Akzent4 2 4 4 2" xfId="30141" xr:uid="{76038D93-9A97-4BCD-AC96-14D40F7D3691}"/>
    <cellStyle name="Akzent4 2 4 5" xfId="30137" xr:uid="{D88311D0-1ACA-4452-91F4-4AE48662A2BD}"/>
    <cellStyle name="Akzent4 2 5" xfId="10705" xr:uid="{130BA6B6-AD57-4E94-A384-333FACBACF50}"/>
    <cellStyle name="Akzent4 2 5 2" xfId="30142" xr:uid="{EE6CD1F6-BC1A-4133-A7B5-866D851C7D70}"/>
    <cellStyle name="Akzent4 2 6" xfId="10706" xr:uid="{38BBB171-8C10-4580-BA44-E889286CF07C}"/>
    <cellStyle name="Akzent4 2 6 2" xfId="10707" xr:uid="{9FA7EA60-555E-4C2A-B1F5-80493C61E187}"/>
    <cellStyle name="Akzent4 2 6 2 2" xfId="30144" xr:uid="{A6F355CE-4C8E-4E6B-A487-BCA92A6EEF5B}"/>
    <cellStyle name="Akzent4 2 6 3" xfId="30143" xr:uid="{0EF57922-E6E8-4A6F-8ADB-BF02AE417D59}"/>
    <cellStyle name="Akzent4 2 7" xfId="10708" xr:uid="{5A19F4C1-7369-4509-8AA6-00ED99E7AF8A}"/>
    <cellStyle name="Akzent4 2 7 2" xfId="30145" xr:uid="{B131A4A6-9A0C-4BD1-BAB6-BA1543624E36}"/>
    <cellStyle name="Akzent4 2 8" xfId="10709" xr:uid="{93A1DC68-69A7-45D6-8DC7-1EDDF6A0CB55}"/>
    <cellStyle name="Akzent4 2 8 2" xfId="10710" xr:uid="{AF26C02A-196F-4EEF-BBE9-26A6CFB82819}"/>
    <cellStyle name="Akzent4 2 8 2 2" xfId="30147" xr:uid="{D1A30223-D10C-48B4-8FAA-A0C04FE490C0}"/>
    <cellStyle name="Akzent4 2 8 3" xfId="30146" xr:uid="{9071BFC0-4FED-4E3E-93B4-E8577BA6BA05}"/>
    <cellStyle name="Akzent4 2 9" xfId="10711" xr:uid="{F057DA7E-4C27-40EF-8ADA-8D395CF732A0}"/>
    <cellStyle name="Akzent4 2 9 2" xfId="30148" xr:uid="{EBA67F99-F7F3-4B01-AE06-5019620802D5}"/>
    <cellStyle name="Akzent4 20" xfId="10712" xr:uid="{A5C1B9A5-8726-4B59-BC12-9309A30D70F9}"/>
    <cellStyle name="Akzent4 20 2" xfId="10713" xr:uid="{26CD252B-3AED-49B0-B030-58AC16A7D7E6}"/>
    <cellStyle name="Akzent4 20 2 2" xfId="30150" xr:uid="{54C9BF6F-E292-45B2-89DD-EF49F5F71A5B}"/>
    <cellStyle name="Akzent4 20 3" xfId="30149" xr:uid="{39F14F23-F2B7-4F61-AB4F-CFB8F45358B5}"/>
    <cellStyle name="Akzent4 21" xfId="10714" xr:uid="{8116EDB2-3DD9-4AAF-B7ED-D28B5F48729D}"/>
    <cellStyle name="Akzent4 21 2" xfId="10715" xr:uid="{1D80BF31-1599-4349-9368-B483FDD4750F}"/>
    <cellStyle name="Akzent4 21 2 2" xfId="30152" xr:uid="{322E878A-62A8-4BA6-84CF-3330E71E68E7}"/>
    <cellStyle name="Akzent4 21 3" xfId="30151" xr:uid="{E9B3664A-7955-457B-8F7C-599A06918391}"/>
    <cellStyle name="Akzent4 22" xfId="10716" xr:uid="{BC968EBB-D84A-4F33-96F8-0B858B6DD34E}"/>
    <cellStyle name="Akzent4 22 2" xfId="10717" xr:uid="{AC946521-ED85-4D3A-B97F-1BE614D7B271}"/>
    <cellStyle name="Akzent4 22 2 2" xfId="30154" xr:uid="{7A924609-FAD5-494E-8133-7E257F1CCD08}"/>
    <cellStyle name="Akzent4 22 3" xfId="30153" xr:uid="{E664C0AD-19C4-47B7-9E6F-FC645D9F6974}"/>
    <cellStyle name="Akzent4 23" xfId="10718" xr:uid="{A1560B86-1757-43F0-AB26-21EB577E43DD}"/>
    <cellStyle name="Akzent4 23 2" xfId="10719" xr:uid="{5F993618-AB20-460B-94CC-8F60569A6348}"/>
    <cellStyle name="Akzent4 23 2 2" xfId="30156" xr:uid="{A31253EB-4832-40B3-856D-127D43B3B6C3}"/>
    <cellStyle name="Akzent4 23 3" xfId="30155" xr:uid="{24DFB07B-88D2-4369-96DF-34A0B42DD8E4}"/>
    <cellStyle name="Akzent4 24" xfId="10720" xr:uid="{3628E699-69EA-4665-9388-ECEFE2D72007}"/>
    <cellStyle name="Akzent4 24 2" xfId="10721" xr:uid="{669EDA90-8FAB-476F-AE6A-E44672E5CCC5}"/>
    <cellStyle name="Akzent4 24 2 2" xfId="30158" xr:uid="{4AC89A7D-4919-4164-B5DE-D1E7275BBBA1}"/>
    <cellStyle name="Akzent4 24 3" xfId="30157" xr:uid="{A74982F4-EC69-4997-B401-E547FC68239E}"/>
    <cellStyle name="Akzent4 25" xfId="10722" xr:uid="{3476F032-F0C2-4AF8-90AC-B7321E8FCC01}"/>
    <cellStyle name="Akzent4 25 2" xfId="10723" xr:uid="{0C239C64-BE8C-48F3-B5E2-61BCF7D0C810}"/>
    <cellStyle name="Akzent4 25 2 2" xfId="30160" xr:uid="{17C0BA67-A368-43F1-BE0C-C29CD88A406A}"/>
    <cellStyle name="Akzent4 25 3" xfId="30159" xr:uid="{62BB6E3D-3F3A-4F39-AD88-BA76A0B4482E}"/>
    <cellStyle name="Akzent4 26" xfId="10724" xr:uid="{1FCC8A10-43B5-40C1-B5BB-5D764E9DEF53}"/>
    <cellStyle name="Akzent4 26 2" xfId="10725" xr:uid="{70133109-54B6-42FF-BB6B-14E8E756A49C}"/>
    <cellStyle name="Akzent4 26 2 2" xfId="30162" xr:uid="{BE1D4C69-B8FB-4A3A-9718-EBE34F59D08F}"/>
    <cellStyle name="Akzent4 26 3" xfId="30161" xr:uid="{217825AF-453D-434A-AA57-14E77870409E}"/>
    <cellStyle name="Akzent4 27" xfId="10726" xr:uid="{1CFC2CC8-245E-4AE6-8C08-13618A6FF519}"/>
    <cellStyle name="Akzent4 27 2" xfId="10727" xr:uid="{D2F5819D-4201-4EAA-B71A-D7B92024CD41}"/>
    <cellStyle name="Akzent4 27 2 2" xfId="30164" xr:uid="{C33B6D19-5935-4855-AF7D-B2DD940B7536}"/>
    <cellStyle name="Akzent4 27 3" xfId="30163" xr:uid="{063D8404-CAD3-46C5-AD82-6F19270E39BC}"/>
    <cellStyle name="Akzent4 28" xfId="10728" xr:uid="{7854E28D-3B0C-4C5D-8F6D-C7D69F42623D}"/>
    <cellStyle name="Akzent4 28 2" xfId="10729" xr:uid="{990D7A00-FE8A-43F6-90DE-F2C073A58E5A}"/>
    <cellStyle name="Akzent4 28 2 2" xfId="30166" xr:uid="{4648F09D-3F25-42B9-AA79-02A4D42A3F25}"/>
    <cellStyle name="Akzent4 28 3" xfId="30165" xr:uid="{53F1890A-5746-402F-B022-8B6ECDF4399B}"/>
    <cellStyle name="Akzent4 29" xfId="10730" xr:uid="{081519C9-FD87-4A29-BCBC-3BF001A1ACAA}"/>
    <cellStyle name="Akzent4 29 2" xfId="10731" xr:uid="{225701A2-F715-4B0F-BB04-86B9AA3A956F}"/>
    <cellStyle name="Akzent4 29 2 2" xfId="30168" xr:uid="{458911A8-2D4C-4B67-9445-4D57D5CCBCCF}"/>
    <cellStyle name="Akzent4 29 3" xfId="30167" xr:uid="{4F40AA6F-A5A6-4FBC-8ABB-0D90CC6791D4}"/>
    <cellStyle name="Akzent4 3" xfId="10732" xr:uid="{264E5999-7D1C-486A-A633-27F3A3D4290B}"/>
    <cellStyle name="Akzent4 3 10" xfId="39391" xr:uid="{14E0C64B-F58E-4117-AC54-81B02883D922}"/>
    <cellStyle name="Akzent4 3 2" xfId="10733" xr:uid="{8CDFDE22-A23A-4FCB-B229-C49F6ED416F0}"/>
    <cellStyle name="Akzent4 3 2 2" xfId="10734" xr:uid="{15901758-A545-4F7D-B2A5-313B188A5806}"/>
    <cellStyle name="Akzent4 3 2 2 2" xfId="10735" xr:uid="{C71DC71B-992E-497F-9018-070B7A36950F}"/>
    <cellStyle name="Akzent4 3 2 2 2 2" xfId="30172" xr:uid="{90242590-E274-4151-9893-E788AFB39EA6}"/>
    <cellStyle name="Akzent4 3 2 2 3" xfId="30171" xr:uid="{F781E7B3-8C8A-44DD-AA1F-0B576B69505D}"/>
    <cellStyle name="Akzent4 3 2 3" xfId="10736" xr:uid="{ECC97E1B-F799-44F3-B855-ACB6614DB353}"/>
    <cellStyle name="Akzent4 3 2 3 2" xfId="30173" xr:uid="{82A5787E-54B2-4575-85A7-D43F01C119DC}"/>
    <cellStyle name="Akzent4 3 2 4" xfId="10737" xr:uid="{3BD4B8F0-B415-4CDE-AE07-F3B494ECC13B}"/>
    <cellStyle name="Akzent4 3 2 4 2" xfId="30174" xr:uid="{DCB212B8-563A-470D-91E8-4261199A5B0F}"/>
    <cellStyle name="Akzent4 3 2 5" xfId="30170" xr:uid="{8572C4D3-2D85-431B-86BD-44E856CCEF9A}"/>
    <cellStyle name="Akzent4 3 2 6" xfId="39990" xr:uid="{326E2658-C82D-46FA-A7B1-3A0ECB3A3D9E}"/>
    <cellStyle name="Akzent4 3 3" xfId="10738" xr:uid="{96BCD2B4-CAEA-44A2-94A0-C678302D0E14}"/>
    <cellStyle name="Akzent4 3 3 2" xfId="30175" xr:uid="{C886E60E-B124-48E3-B101-E3A6FE362748}"/>
    <cellStyle name="Akzent4 3 4" xfId="10739" xr:uid="{F08A66FC-E63F-4B0F-B0CF-226E2A9C8A24}"/>
    <cellStyle name="Akzent4 3 4 2" xfId="30176" xr:uid="{3151E60D-1B95-424D-99AE-3231BC083DC2}"/>
    <cellStyle name="Akzent4 3 5" xfId="10740" xr:uid="{A42593FA-C92A-48BD-B169-3CFC02FD6CD8}"/>
    <cellStyle name="Akzent4 3 5 2" xfId="10741" xr:uid="{95454FD0-C286-422A-BCDA-2DF6F031FEC0}"/>
    <cellStyle name="Akzent4 3 5 2 2" xfId="30178" xr:uid="{A51B88D3-31A7-44BF-B441-ACE438CE484D}"/>
    <cellStyle name="Akzent4 3 5 3" xfId="30177" xr:uid="{08EE0C92-D550-4149-97B6-040A6594A21E}"/>
    <cellStyle name="Akzent4 3 6" xfId="10742" xr:uid="{0EC533EB-1D38-4E4F-8F66-4FDEE416E679}"/>
    <cellStyle name="Akzent4 3 6 2" xfId="30179" xr:uid="{50B3B87D-73E9-409B-BA1E-29170CE5A110}"/>
    <cellStyle name="Akzent4 3 7" xfId="10743" xr:uid="{DCE82BA3-C11A-4793-8FF7-17BAC3822012}"/>
    <cellStyle name="Akzent4 3 7 2" xfId="30180" xr:uid="{4D759E69-D263-45FB-9E2A-43D1530372B1}"/>
    <cellStyle name="Akzent4 3 8" xfId="10744" xr:uid="{5BAF7A98-707E-4A78-B908-025D03C79415}"/>
    <cellStyle name="Akzent4 3 8 2" xfId="30181" xr:uid="{91672224-33A8-493B-AAC7-E60BF1067EFF}"/>
    <cellStyle name="Akzent4 3 9" xfId="30169" xr:uid="{EA3838CB-0BCC-4BEC-B1FC-6D559243CE12}"/>
    <cellStyle name="Akzent4 30" xfId="10745" xr:uid="{686D4E32-0FB3-44D9-9799-87AD3F7D194E}"/>
    <cellStyle name="Akzent4 30 2" xfId="10746" xr:uid="{CAE5B6C6-9254-4328-9E63-9ACC57DD2245}"/>
    <cellStyle name="Akzent4 30 2 2" xfId="30183" xr:uid="{ADFFF832-BFD8-4902-B900-A24D9AE0FBDA}"/>
    <cellStyle name="Akzent4 30 3" xfId="30182" xr:uid="{FB7BABB9-4D72-4F3C-8359-51AEDBE2C5FE}"/>
    <cellStyle name="Akzent4 31" xfId="10747" xr:uid="{94C1839B-7262-4708-ABD9-B9F58EDD6232}"/>
    <cellStyle name="Akzent4 31 2" xfId="10748" xr:uid="{236F74A4-0013-4305-896D-E0C1CB27E6EA}"/>
    <cellStyle name="Akzent4 31 2 2" xfId="30185" xr:uid="{C7098D6F-596E-4B92-B49B-6D1F47C5B15C}"/>
    <cellStyle name="Akzent4 31 3" xfId="30184" xr:uid="{0E5EC3E0-5725-4084-9709-C11366E920D0}"/>
    <cellStyle name="Akzent4 32" xfId="10749" xr:uid="{58DCA98C-A516-413D-9A40-12385A4968A4}"/>
    <cellStyle name="Akzent4 32 2" xfId="10750" xr:uid="{A12DED1E-FD3D-4785-AD5B-EEDAF4975B00}"/>
    <cellStyle name="Akzent4 32 2 2" xfId="30187" xr:uid="{AA6B2265-728A-43C3-891D-8EA03EB6D13E}"/>
    <cellStyle name="Akzent4 32 3" xfId="30186" xr:uid="{ABA046BB-C419-491E-B56C-4AC615ECCAEA}"/>
    <cellStyle name="Akzent4 33" xfId="10751" xr:uid="{71688356-3F1F-4CBF-92FB-CF134DCADB02}"/>
    <cellStyle name="Akzent4 33 2" xfId="10752" xr:uid="{6D71F717-942A-4CB2-B6FF-80ACF63A400C}"/>
    <cellStyle name="Akzent4 33 2 2" xfId="30189" xr:uid="{524CA6C2-80ED-4DB4-99D0-C3AC2223DF0B}"/>
    <cellStyle name="Akzent4 33 3" xfId="30188" xr:uid="{84B97CC5-E03F-403E-B09A-FEA5F272B4DC}"/>
    <cellStyle name="Akzent4 34" xfId="10753" xr:uid="{D6438855-32FF-49D8-AF2F-BC6F14BA0E8F}"/>
    <cellStyle name="Akzent4 34 2" xfId="10754" xr:uid="{F2256932-285A-45EF-80F3-9032CE7238C5}"/>
    <cellStyle name="Akzent4 34 2 2" xfId="30191" xr:uid="{1F63BD47-09D6-4F99-A6C6-04858D64753A}"/>
    <cellStyle name="Akzent4 34 3" xfId="30190" xr:uid="{362B6768-99C4-4F91-9AB5-75372BDEAF27}"/>
    <cellStyle name="Akzent4 35" xfId="10755" xr:uid="{59A6D830-9632-480C-9623-EA5340D92255}"/>
    <cellStyle name="Akzent4 35 2" xfId="10756" xr:uid="{6BE151B7-3FA3-49D0-9D20-871EBA95E9BB}"/>
    <cellStyle name="Akzent4 35 2 2" xfId="30193" xr:uid="{9F1E5444-0E2F-4B1D-9AE4-F850408848F6}"/>
    <cellStyle name="Akzent4 35 3" xfId="30192" xr:uid="{7ADF20B8-7F46-4BBE-B0DF-77625B0E4E2C}"/>
    <cellStyle name="Akzent4 36" xfId="10757" xr:uid="{A5490FBE-4BB5-46E2-BF23-95ADE998B451}"/>
    <cellStyle name="Akzent4 36 2" xfId="10758" xr:uid="{1983B40C-19A3-4DA9-B41F-52317E514D07}"/>
    <cellStyle name="Akzent4 36 2 2" xfId="30195" xr:uid="{12D86F8A-174C-4323-A01E-1A96805E7150}"/>
    <cellStyle name="Akzent4 36 3" xfId="30194" xr:uid="{9283BB8E-9C20-4B1B-811D-1E11B8D5317B}"/>
    <cellStyle name="Akzent4 37" xfId="30069" xr:uid="{69EBEE21-61F0-4F06-94AE-93F5D8D9292A}"/>
    <cellStyle name="Akzent4 38" xfId="10632" xr:uid="{D74113E8-43E4-4A4D-BE95-16F07D7E6ED0}"/>
    <cellStyle name="Akzent4 4" xfId="10759" xr:uid="{6698B852-8298-445B-8FE7-E3FEED960DEE}"/>
    <cellStyle name="Akzent4 4 2" xfId="10760" xr:uid="{38DFF0D4-48F4-4224-B8C6-EF5249247926}"/>
    <cellStyle name="Akzent4 4 2 2" xfId="10761" xr:uid="{535C8C4D-C212-4557-AB01-1A7DFBD79CB4}"/>
    <cellStyle name="Akzent4 4 2 2 2" xfId="30198" xr:uid="{BA8614A1-97F9-42F0-92B8-68EF6824420B}"/>
    <cellStyle name="Akzent4 4 2 3" xfId="30197" xr:uid="{583CA804-97BB-42B8-A347-5EC76486A8F9}"/>
    <cellStyle name="Akzent4 4 2 4" xfId="39991" xr:uid="{805FFD22-6831-4200-B9DB-001F2223CE0B}"/>
    <cellStyle name="Akzent4 4 3" xfId="10762" xr:uid="{33443770-A75C-4FAD-B036-AAE8559FC7D1}"/>
    <cellStyle name="Akzent4 4 3 2" xfId="30199" xr:uid="{8789B870-BF78-4CE6-9ECC-FCF288F1F396}"/>
    <cellStyle name="Akzent4 4 4" xfId="10763" xr:uid="{CA6CA709-AFC0-4A51-9354-0167BD452020}"/>
    <cellStyle name="Akzent4 4 4 2" xfId="30200" xr:uid="{1A979578-FB89-4234-8FF2-E019AEBD46F7}"/>
    <cellStyle name="Akzent4 4 5" xfId="10764" xr:uid="{C8D65769-549D-4C3C-BCD2-2C039CCDD175}"/>
    <cellStyle name="Akzent4 4 5 2" xfId="30201" xr:uid="{8DD99FA8-9562-4ED4-B9FA-74E2C18BFFF7}"/>
    <cellStyle name="Akzent4 4 6" xfId="10765" xr:uid="{D0A8C6E2-7DA1-4446-AA99-4BE575A362E4}"/>
    <cellStyle name="Akzent4 4 6 2" xfId="30202" xr:uid="{F6B917EB-5527-46EC-A692-99C5E238F493}"/>
    <cellStyle name="Akzent4 4 7" xfId="30196" xr:uid="{B527D455-372C-4205-978E-6769854DAA99}"/>
    <cellStyle name="Akzent4 4 8" xfId="39392" xr:uid="{DB4ADB9C-3A00-4F1D-B876-8F5AA6C73FA6}"/>
    <cellStyle name="Akzent4 5" xfId="10766" xr:uid="{BC7A0D51-CDE5-429F-85B2-61407CF1C650}"/>
    <cellStyle name="Akzent4 5 2" xfId="10767" xr:uid="{0D412FC6-FEBD-47EF-92EA-3086294CA336}"/>
    <cellStyle name="Akzent4 5 2 2" xfId="30204" xr:uid="{0FCBEFD3-B1C4-47C2-8207-14C00A8FA859}"/>
    <cellStyle name="Akzent4 5 3" xfId="10768" xr:uid="{EA0CC0DB-F00B-4632-B0C5-C56B1C2888A4}"/>
    <cellStyle name="Akzent4 5 3 2" xfId="30205" xr:uid="{5C769A6F-E54E-4023-B43E-8F4BBFD819CE}"/>
    <cellStyle name="Akzent4 5 4" xfId="10769" xr:uid="{225B5550-24FD-44EB-9C5A-BC64D6CAFFAF}"/>
    <cellStyle name="Akzent4 5 4 2" xfId="30206" xr:uid="{A071B79F-2A4B-4CEE-8004-4CE687067B1F}"/>
    <cellStyle name="Akzent4 5 5" xfId="30203" xr:uid="{33D149BB-908F-44F2-9FBE-5342FB4A2E29}"/>
    <cellStyle name="Akzent4 5 6" xfId="39393" xr:uid="{D644BD1E-B1AB-49F1-9B66-F5E221573AE3}"/>
    <cellStyle name="Akzent4 6" xfId="10770" xr:uid="{1903CA27-FD64-4C96-B990-9F2837CC00B5}"/>
    <cellStyle name="Akzent4 6 2" xfId="10771" xr:uid="{0983BC06-6FAE-4609-96D2-4BCB0E4B4601}"/>
    <cellStyle name="Akzent4 6 2 2" xfId="30208" xr:uid="{C4271192-B3EC-4F4E-9D92-5A9479F7FE7E}"/>
    <cellStyle name="Akzent4 6 3" xfId="10772" xr:uid="{9E490372-030F-476D-97EA-F8165B8C3770}"/>
    <cellStyle name="Akzent4 6 3 2" xfId="30209" xr:uid="{BAE0DC3C-C3B5-42B1-9383-37AA689F5A50}"/>
    <cellStyle name="Akzent4 6 4" xfId="10773" xr:uid="{D5D301AF-C65C-4E82-BD3F-F08807C8EB4E}"/>
    <cellStyle name="Akzent4 6 4 2" xfId="30210" xr:uid="{41B3822E-59DA-48A7-8A58-4CCFE4EEE00E}"/>
    <cellStyle name="Akzent4 6 5" xfId="30207" xr:uid="{C54B4CA6-81D8-4852-868F-F94FDDACDF09}"/>
    <cellStyle name="Akzent4 6 6" xfId="39388" xr:uid="{DB7092EF-5AB7-4AFE-804F-00C6D68BC89C}"/>
    <cellStyle name="Akzent4 7" xfId="10774" xr:uid="{60C5B237-2829-4CC7-849C-9327CE3E3A1B}"/>
    <cellStyle name="Akzent4 7 2" xfId="10775" xr:uid="{7C16D979-0C4E-42CC-8FFD-9117C334E218}"/>
    <cellStyle name="Akzent4 7 2 2" xfId="30212" xr:uid="{BD962D91-679B-4240-9B1B-9EA2FA5A8655}"/>
    <cellStyle name="Akzent4 7 3" xfId="30211" xr:uid="{2CF2858D-4BC9-4CDE-924D-CBFBE431167B}"/>
    <cellStyle name="Akzent4 8" xfId="10776" xr:uid="{1F5D268C-2AB5-4534-8F04-853727D4D1F9}"/>
    <cellStyle name="Akzent4 8 2" xfId="10777" xr:uid="{201C8814-FEDE-48D9-9D9C-DCAD56270E00}"/>
    <cellStyle name="Akzent4 8 2 2" xfId="30214" xr:uid="{8E6735A4-53DD-41EE-AB9B-71A0C13EC010}"/>
    <cellStyle name="Akzent4 8 3" xfId="30213" xr:uid="{ED805B73-3ADC-4699-A223-7A538E3E6E1A}"/>
    <cellStyle name="Akzent4 9" xfId="10778" xr:uid="{909FFC73-2F6E-49D6-91A1-9A25A07C42EB}"/>
    <cellStyle name="Akzent4 9 2" xfId="10779" xr:uid="{C844FD47-271C-4479-A064-DD1F9C94775F}"/>
    <cellStyle name="Akzent4 9 2 2" xfId="30216" xr:uid="{DEBEE628-ACD0-447C-810F-E729DBC1422C}"/>
    <cellStyle name="Akzent4 9 3" xfId="30215" xr:uid="{08E9E080-6EDF-4F0E-9A2E-4AA96FCC8317}"/>
    <cellStyle name="Akzent5 10" xfId="10781" xr:uid="{6307CEA6-980A-4127-BC6A-9D105012F2F7}"/>
    <cellStyle name="Akzent5 10 2" xfId="10782" xr:uid="{7622D4B3-5D6F-442F-8189-D96CE1FCD62B}"/>
    <cellStyle name="Akzent5 10 2 2" xfId="30219" xr:uid="{3119969F-B2D2-4CC4-8218-FCCCFB8FD272}"/>
    <cellStyle name="Akzent5 10 3" xfId="30218" xr:uid="{298C1385-5096-4327-974D-628EF4E8A00A}"/>
    <cellStyle name="Akzent5 11" xfId="10783" xr:uid="{BCD322E0-9E5C-41EC-ABED-3286A9E743DF}"/>
    <cellStyle name="Akzent5 11 2" xfId="10784" xr:uid="{64D9F8EB-02E4-4FCE-B5C8-5A1F03CBC38D}"/>
    <cellStyle name="Akzent5 11 2 2" xfId="30221" xr:uid="{A2AA8DEE-FC40-42B5-AAF7-6D0603106409}"/>
    <cellStyle name="Akzent5 11 3" xfId="30220" xr:uid="{69EC7141-B2C3-45CF-A38B-4717F86F341F}"/>
    <cellStyle name="Akzent5 12" xfId="10785" xr:uid="{A63BF9E3-984B-482D-84CD-A1E427101AEE}"/>
    <cellStyle name="Akzent5 12 2" xfId="10786" xr:uid="{DE019F15-EA1E-4A7C-878B-A0284F92F76B}"/>
    <cellStyle name="Akzent5 12 2 2" xfId="30223" xr:uid="{AC81A045-A2F2-4FFB-9AA7-1F632CE843F8}"/>
    <cellStyle name="Akzent5 12 3" xfId="30222" xr:uid="{F613B78D-1F43-42D1-9EDB-4BDBCC4ADA28}"/>
    <cellStyle name="Akzent5 13" xfId="10787" xr:uid="{AF9B1961-B92F-43CF-A3E9-3B2EE7053CFE}"/>
    <cellStyle name="Akzent5 13 2" xfId="10788" xr:uid="{A9F8CE6A-5BF9-44C7-83A7-E04563344E88}"/>
    <cellStyle name="Akzent5 13 2 2" xfId="30225" xr:uid="{973D105F-7DB1-4ED1-9C76-0B6F52C91780}"/>
    <cellStyle name="Akzent5 13 3" xfId="30224" xr:uid="{B60A0D33-A77F-46BD-9A97-FC3BED3DB569}"/>
    <cellStyle name="Akzent5 14" xfId="10789" xr:uid="{0B10D6FE-5500-47BF-9017-16502D705C6F}"/>
    <cellStyle name="Akzent5 14 2" xfId="10790" xr:uid="{DCD86937-49BE-41BC-AE94-2646A5166CBA}"/>
    <cellStyle name="Akzent5 14 2 2" xfId="30227" xr:uid="{ECDBA676-B3AE-4710-8052-F06A8BEF5254}"/>
    <cellStyle name="Akzent5 14 3" xfId="30226" xr:uid="{9FBF100E-6AA0-4368-AC7B-9CF2A03FADD9}"/>
    <cellStyle name="Akzent5 15" xfId="10791" xr:uid="{3A94B287-5977-4115-B0DD-44802294CA4C}"/>
    <cellStyle name="Akzent5 15 2" xfId="10792" xr:uid="{004D7650-7641-48A0-9875-2D4692C7B43A}"/>
    <cellStyle name="Akzent5 15 2 2" xfId="30229" xr:uid="{9FF6B017-4283-48A4-A62A-2C9C2DE737D7}"/>
    <cellStyle name="Akzent5 15 3" xfId="30228" xr:uid="{8F198D68-CC69-4B70-80AB-370CB6E45EDB}"/>
    <cellStyle name="Akzent5 16" xfId="10793" xr:uid="{4694EA71-2521-423E-9BD2-891A8B8164F1}"/>
    <cellStyle name="Akzent5 16 2" xfId="10794" xr:uid="{45A174F2-4917-4209-A7FE-A0109DD5EF24}"/>
    <cellStyle name="Akzent5 16 2 2" xfId="30231" xr:uid="{827E793B-61C0-4F29-A8E3-3583719ECBE5}"/>
    <cellStyle name="Akzent5 16 3" xfId="30230" xr:uid="{BA4AF09F-99AC-4D78-8B65-96422A0D9951}"/>
    <cellStyle name="Akzent5 17" xfId="10795" xr:uid="{F3F3B70A-4A6E-4CCB-9FBC-9592B1EA695C}"/>
    <cellStyle name="Akzent5 17 2" xfId="10796" xr:uid="{C4725DEC-E629-48AF-BFEA-84447BD068C0}"/>
    <cellStyle name="Akzent5 17 2 2" xfId="30233" xr:uid="{098F35E1-910E-42FD-A996-05EE5AF3EFF0}"/>
    <cellStyle name="Akzent5 17 3" xfId="30232" xr:uid="{A1FC4535-BCA7-4470-B0CB-0D7D669B0518}"/>
    <cellStyle name="Akzent5 18" xfId="10797" xr:uid="{42BF4EFB-B92A-45D8-9A5A-B4719D139E61}"/>
    <cellStyle name="Akzent5 18 2" xfId="10798" xr:uid="{E75D4B49-005D-4D78-A2E5-54FC16C0E59A}"/>
    <cellStyle name="Akzent5 18 2 2" xfId="30235" xr:uid="{933E3F4B-671B-4E4B-8D25-7A4F196B55DF}"/>
    <cellStyle name="Akzent5 18 3" xfId="30234" xr:uid="{5FB84D1C-A59E-4739-9080-0F2E3F75A215}"/>
    <cellStyle name="Akzent5 19" xfId="10799" xr:uid="{17F9CCDE-8323-4381-829B-162824FBF835}"/>
    <cellStyle name="Akzent5 19 2" xfId="10800" xr:uid="{71A91AFE-2DE1-49D5-BE02-D966101F25AD}"/>
    <cellStyle name="Akzent5 19 2 2" xfId="30237" xr:uid="{0B5EE89F-722A-4535-A920-BB3DDB6DD8E8}"/>
    <cellStyle name="Akzent5 19 3" xfId="30236" xr:uid="{3FBD59F4-82C7-4CFD-91C1-75DD74DE65A0}"/>
    <cellStyle name="Akzent5 2" xfId="10801" xr:uid="{C1BC6FC8-2C7C-4E34-8B27-9DBD77511AFB}"/>
    <cellStyle name="Akzent5 2 10" xfId="10802" xr:uid="{655B8447-7316-48E0-B644-73540756A267}"/>
    <cellStyle name="Akzent5 2 10 2" xfId="30239" xr:uid="{9B349E84-171C-44C8-962A-1C4D1A72815C}"/>
    <cellStyle name="Akzent5 2 11" xfId="10803" xr:uid="{09296079-E68D-4F90-9B1E-D61B4C4E4D96}"/>
    <cellStyle name="Akzent5 2 11 2" xfId="30240" xr:uid="{62340C30-3E86-475F-B12C-9A5B4B56D610}"/>
    <cellStyle name="Akzent5 2 12" xfId="10804" xr:uid="{FF03B6D1-53C8-484B-9D65-69B7FE25BD6C}"/>
    <cellStyle name="Akzent5 2 12 2" xfId="30241" xr:uid="{405FBE76-C93B-463F-BD60-930E8D04185E}"/>
    <cellStyle name="Akzent5 2 13" xfId="10805" xr:uid="{09BB11DB-45F8-46F5-8D6C-972EBD98DEDD}"/>
    <cellStyle name="Akzent5 2 13 2" xfId="30242" xr:uid="{3F6E727A-30A5-4978-A23D-973A73271F01}"/>
    <cellStyle name="Akzent5 2 14" xfId="10806" xr:uid="{830E7BFA-B711-49D3-8547-B0B9AE451D0A}"/>
    <cellStyle name="Akzent5 2 14 2" xfId="30243" xr:uid="{EAA02F8E-31B1-47A3-A2EC-D4F609420AD2}"/>
    <cellStyle name="Akzent5 2 15" xfId="30238" xr:uid="{76BF4022-2CE7-4AA2-97EA-FDB601CC6555}"/>
    <cellStyle name="Akzent5 2 16" xfId="39395" xr:uid="{ACAAE262-9784-4E45-883C-16588F946C50}"/>
    <cellStyle name="Akzent5 2 2" xfId="10807" xr:uid="{8F7127C0-FBF2-4550-B506-F906B4C90D84}"/>
    <cellStyle name="Akzent5 2 2 10" xfId="10808" xr:uid="{FE13D12E-A8D6-4479-ACA6-C670E02D633B}"/>
    <cellStyle name="Akzent5 2 2 10 2" xfId="30245" xr:uid="{AF58865E-96CE-41CC-95DF-66CA81F649FF}"/>
    <cellStyle name="Akzent5 2 2 11" xfId="10809" xr:uid="{E042E7E0-EB85-4565-9AA9-EAF0AC4EDB9E}"/>
    <cellStyle name="Akzent5 2 2 11 2" xfId="30246" xr:uid="{D56143BA-8888-4862-A6D1-7FDFA51E343C}"/>
    <cellStyle name="Akzent5 2 2 12" xfId="10810" xr:uid="{D3814189-5B44-4F15-9B76-232134EB87FA}"/>
    <cellStyle name="Akzent5 2 2 12 2" xfId="30247" xr:uid="{D6093581-94B9-4473-B389-CA75483A5230}"/>
    <cellStyle name="Akzent5 2 2 13" xfId="30244" xr:uid="{4377AF75-192B-410A-B404-AF39A322FB2C}"/>
    <cellStyle name="Akzent5 2 2 14" xfId="39396" xr:uid="{224CB0D0-B16A-4CE3-B9F3-FEE387688816}"/>
    <cellStyle name="Akzent5 2 2 2" xfId="10811" xr:uid="{8BC839C3-C87A-41E0-A3D0-C2F150921EF8}"/>
    <cellStyle name="Akzent5 2 2 2 10" xfId="10812" xr:uid="{9F11AA3D-0984-43F2-BFE0-D4EDA53ACAE3}"/>
    <cellStyle name="Akzent5 2 2 2 10 2" xfId="30249" xr:uid="{9A574E98-88E3-4EA2-AA95-48091A444954}"/>
    <cellStyle name="Akzent5 2 2 2 11" xfId="30248" xr:uid="{112BAE95-EF7F-42FC-9F36-B8074D0757D6}"/>
    <cellStyle name="Akzent5 2 2 2 2" xfId="10813" xr:uid="{5BB80D8D-BCEC-417C-8358-7CCF0A2F8D05}"/>
    <cellStyle name="Akzent5 2 2 2 2 2" xfId="10814" xr:uid="{2C2F162E-6950-4D79-BEEF-0035EEA2776D}"/>
    <cellStyle name="Akzent5 2 2 2 2 2 2" xfId="10815" xr:uid="{5D0C5116-E60B-4AAA-B7D9-17A4751152CC}"/>
    <cellStyle name="Akzent5 2 2 2 2 2 2 2" xfId="10816" xr:uid="{91FD849A-7FE0-464E-8890-52AC43C8873C}"/>
    <cellStyle name="Akzent5 2 2 2 2 2 2 2 2" xfId="30253" xr:uid="{8D5B566B-0711-4AE6-820A-D5B7F169DA54}"/>
    <cellStyle name="Akzent5 2 2 2 2 2 2 3" xfId="30252" xr:uid="{C21AA876-1E8B-4EF3-8FB9-32536ED589BD}"/>
    <cellStyle name="Akzent5 2 2 2 2 2 3" xfId="10817" xr:uid="{AB670379-6EB2-49FC-A355-BFE772B6A3CB}"/>
    <cellStyle name="Akzent5 2 2 2 2 2 3 2" xfId="30254" xr:uid="{769ACFC1-CF50-4010-B436-67B90C556ED8}"/>
    <cellStyle name="Akzent5 2 2 2 2 2 4" xfId="10818" xr:uid="{D84D5036-CADF-48E2-860D-DF2D4C997143}"/>
    <cellStyle name="Akzent5 2 2 2 2 2 4 2" xfId="30255" xr:uid="{C153FD91-1201-487B-9CC7-EE7E8F00AF6F}"/>
    <cellStyle name="Akzent5 2 2 2 2 2 5" xfId="10819" xr:uid="{D8A89AEB-F0D4-44CA-A79A-2D6358954E6F}"/>
    <cellStyle name="Akzent5 2 2 2 2 2 5 2" xfId="30256" xr:uid="{160954DD-ED6A-4793-91F2-EE4A5ED87C23}"/>
    <cellStyle name="Akzent5 2 2 2 2 2 6" xfId="10820" xr:uid="{B71EB89B-73FD-4631-95BB-F9053B24F08D}"/>
    <cellStyle name="Akzent5 2 2 2 2 2 6 2" xfId="30257" xr:uid="{470F2A01-59D3-4778-981D-B974D92E6299}"/>
    <cellStyle name="Akzent5 2 2 2 2 2 7" xfId="10821" xr:uid="{AE947CF2-75C1-4FCA-910A-FFF40E3BC3B2}"/>
    <cellStyle name="Akzent5 2 2 2 2 2 7 2" xfId="30258" xr:uid="{04894DB4-8D72-4C60-AFC8-0FD09DAD4025}"/>
    <cellStyle name="Akzent5 2 2 2 2 2 8" xfId="10822" xr:uid="{07D9CB12-E7CB-4DFA-9C3B-C4C7C8793CB1}"/>
    <cellStyle name="Akzent5 2 2 2 2 2 8 2" xfId="30259" xr:uid="{C63901CD-D277-473D-97C6-31F0B861FA34}"/>
    <cellStyle name="Akzent5 2 2 2 2 2 9" xfId="30251" xr:uid="{2E039073-F6AF-44D7-9DC5-FCEF5427A3F1}"/>
    <cellStyle name="Akzent5 2 2 2 2 3" xfId="10823" xr:uid="{B4581D75-BAC6-494D-849D-F80C0E82EFB8}"/>
    <cellStyle name="Akzent5 2 2 2 2 3 2" xfId="10824" xr:uid="{B9BC0BE0-8804-4A3D-A891-015AD12568AA}"/>
    <cellStyle name="Akzent5 2 2 2 2 3 2 2" xfId="30261" xr:uid="{5535F2FE-B335-4C31-86E3-DA884752EDF6}"/>
    <cellStyle name="Akzent5 2 2 2 2 3 3" xfId="30260" xr:uid="{182AB384-E731-48E2-BCF6-54FAD377018C}"/>
    <cellStyle name="Akzent5 2 2 2 2 4" xfId="10825" xr:uid="{CC940C3B-2587-4D00-8BD1-B6B4E51CC922}"/>
    <cellStyle name="Akzent5 2 2 2 2 4 2" xfId="30262" xr:uid="{932982D5-B771-4E52-9691-C1BF4F362FE1}"/>
    <cellStyle name="Akzent5 2 2 2 2 5" xfId="10826" xr:uid="{9218DC2B-42DE-4E0E-93C3-C6A104B2A19E}"/>
    <cellStyle name="Akzent5 2 2 2 2 5 2" xfId="30263" xr:uid="{844F21C7-6B38-4F9E-B414-181622E87896}"/>
    <cellStyle name="Akzent5 2 2 2 2 6" xfId="10827" xr:uid="{80F452EF-72B0-499A-B7F9-236C45487FE6}"/>
    <cellStyle name="Akzent5 2 2 2 2 6 2" xfId="30264" xr:uid="{5DE795B8-AC9C-482E-917D-4803603B159B}"/>
    <cellStyle name="Akzent5 2 2 2 2 7" xfId="10828" xr:uid="{DF9E0050-2511-4CA4-A257-23E965457486}"/>
    <cellStyle name="Akzent5 2 2 2 2 7 2" xfId="30265" xr:uid="{2A66502F-89DE-4714-B528-CEDD4CD62913}"/>
    <cellStyle name="Akzent5 2 2 2 2 8" xfId="10829" xr:uid="{4C063663-DF4C-4FE5-9EBE-8740C9C72E2F}"/>
    <cellStyle name="Akzent5 2 2 2 2 8 2" xfId="30266" xr:uid="{0D7BA903-9D6E-4F28-9D62-0886AEC2CEB6}"/>
    <cellStyle name="Akzent5 2 2 2 2 9" xfId="30250" xr:uid="{97AC3D50-713F-4B03-B597-4773DD6CBEAB}"/>
    <cellStyle name="Akzent5 2 2 2 3" xfId="10830" xr:uid="{BC43716A-92F6-4382-AFEC-93C2831FBDD2}"/>
    <cellStyle name="Akzent5 2 2 2 3 2" xfId="30267" xr:uid="{9C5CD6B7-6CAE-4EE0-AA4D-423A161CE324}"/>
    <cellStyle name="Akzent5 2 2 2 4" xfId="10831" xr:uid="{3E3AF0BA-3C87-4A81-8D74-CA42BABE68B9}"/>
    <cellStyle name="Akzent5 2 2 2 4 2" xfId="30268" xr:uid="{2F9A2EC5-221F-4AF3-A241-5D6A168D6598}"/>
    <cellStyle name="Akzent5 2 2 2 5" xfId="10832" xr:uid="{95B77EE6-46D9-4145-BCB7-62FE197F2521}"/>
    <cellStyle name="Akzent5 2 2 2 5 2" xfId="10833" xr:uid="{6625D7C0-5187-47F1-94F8-0FDB8473EDE3}"/>
    <cellStyle name="Akzent5 2 2 2 5 2 2" xfId="30270" xr:uid="{426BC7F2-5B04-48E4-8E0A-B8B1CD480034}"/>
    <cellStyle name="Akzent5 2 2 2 5 3" xfId="30269" xr:uid="{03C22DE1-1027-4AC3-B3F0-5B27D058B839}"/>
    <cellStyle name="Akzent5 2 2 2 6" xfId="10834" xr:uid="{B8F5D60D-0128-44A8-9004-0ED45B98B0AE}"/>
    <cellStyle name="Akzent5 2 2 2 6 2" xfId="30271" xr:uid="{39B65391-E20B-4427-89E2-815B3ADBB701}"/>
    <cellStyle name="Akzent5 2 2 2 7" xfId="10835" xr:uid="{C2252480-47E7-4F73-853C-83BE2AEFEEC8}"/>
    <cellStyle name="Akzent5 2 2 2 7 2" xfId="30272" xr:uid="{5C20CBDA-7DEC-45F6-983E-BF6723244E4C}"/>
    <cellStyle name="Akzent5 2 2 2 8" xfId="10836" xr:uid="{39FF70CD-AC18-4C1D-B3AB-385E6483E58A}"/>
    <cellStyle name="Akzent5 2 2 2 8 2" xfId="30273" xr:uid="{EB324FF4-083A-4223-A69E-F4F79024492D}"/>
    <cellStyle name="Akzent5 2 2 2 9" xfId="10837" xr:uid="{DCFCAD86-DBE8-4593-8B59-4908303B96DE}"/>
    <cellStyle name="Akzent5 2 2 2 9 2" xfId="30274" xr:uid="{D3DFE9A3-C4F8-418C-B871-AA9F37D574C1}"/>
    <cellStyle name="Akzent5 2 2 3" xfId="10838" xr:uid="{0EBD4D83-3D0A-4A7B-9C4A-391A2230F62F}"/>
    <cellStyle name="Akzent5 2 2 3 2" xfId="30275" xr:uid="{2092E701-2CC4-403E-82FC-17E1FC6B5E1C}"/>
    <cellStyle name="Akzent5 2 2 4" xfId="10839" xr:uid="{0A85CF87-E829-4486-9637-32EABDE9FBB5}"/>
    <cellStyle name="Akzent5 2 2 4 2" xfId="30276" xr:uid="{7F7EEA02-FFD1-4093-9124-38A538CF0321}"/>
    <cellStyle name="Akzent5 2 2 5" xfId="10840" xr:uid="{AE1631DC-0577-4B65-8776-CC195A292ED5}"/>
    <cellStyle name="Akzent5 2 2 5 2" xfId="10841" xr:uid="{1B5E40A9-B512-49AA-869D-9399988342FB}"/>
    <cellStyle name="Akzent5 2 2 5 2 2" xfId="30278" xr:uid="{48222FD5-66A1-41F8-8320-E753C52F402C}"/>
    <cellStyle name="Akzent5 2 2 5 3" xfId="30277" xr:uid="{1F95EEA3-B408-43B5-9451-03DB3981474B}"/>
    <cellStyle name="Akzent5 2 2 6" xfId="10842" xr:uid="{54178A39-EB7F-4FC5-A5A4-2652902E0428}"/>
    <cellStyle name="Akzent5 2 2 6 2" xfId="30279" xr:uid="{F6777AD2-FE5A-4B28-9A75-61206C43059E}"/>
    <cellStyle name="Akzent5 2 2 7" xfId="10843" xr:uid="{EEE51C4B-DDD7-4EEA-9984-120267D66D30}"/>
    <cellStyle name="Akzent5 2 2 7 2" xfId="10844" xr:uid="{D33D15F9-92D4-48C1-80EF-1D4F70D8B2B5}"/>
    <cellStyle name="Akzent5 2 2 7 2 2" xfId="30281" xr:uid="{50167DFF-B9F9-44B0-8907-5088C2177FFF}"/>
    <cellStyle name="Akzent5 2 2 7 3" xfId="30280" xr:uid="{DA2AA2B6-CA6C-4422-9A52-7FF1D003678D}"/>
    <cellStyle name="Akzent5 2 2 8" xfId="10845" xr:uid="{DE314B88-4ECD-4E18-BEC7-587F2E7427F5}"/>
    <cellStyle name="Akzent5 2 2 8 2" xfId="30282" xr:uid="{97FABBDE-E9CF-46BD-B813-43F8FF276B1D}"/>
    <cellStyle name="Akzent5 2 2 9" xfId="10846" xr:uid="{DA419421-9B57-456B-99FC-15F45D43A809}"/>
    <cellStyle name="Akzent5 2 2 9 2" xfId="30283" xr:uid="{D3432B67-F365-4CCB-A7CF-592F93776075}"/>
    <cellStyle name="Akzent5 2 3" xfId="10847" xr:uid="{549E6E75-3C5C-4BCC-BF91-1E25761A573F}"/>
    <cellStyle name="Akzent5 2 3 2" xfId="30284" xr:uid="{3277A64A-3E96-4CF7-A600-E233163E5F89}"/>
    <cellStyle name="Akzent5 2 4" xfId="10848" xr:uid="{964FD685-C62F-4433-96F4-B7C8D27E2FFD}"/>
    <cellStyle name="Akzent5 2 4 2" xfId="10849" xr:uid="{DDE6CB8E-CE4C-471B-BFDB-DC6A13F0B11A}"/>
    <cellStyle name="Akzent5 2 4 2 2" xfId="10850" xr:uid="{E9647CF5-4F20-4459-9E1E-299AF2502289}"/>
    <cellStyle name="Akzent5 2 4 2 2 2" xfId="30287" xr:uid="{2A69EE59-ACFE-4C11-A6B5-83D131FCE2AC}"/>
    <cellStyle name="Akzent5 2 4 2 3" xfId="30286" xr:uid="{1A0EE552-3724-4084-B5FC-C44B9707D345}"/>
    <cellStyle name="Akzent5 2 4 3" xfId="10851" xr:uid="{CB9742AA-2E77-4ECE-A3C1-0B72A062C860}"/>
    <cellStyle name="Akzent5 2 4 3 2" xfId="30288" xr:uid="{BB38BBD8-B358-4FE6-9DAA-4AF0E5E7A431}"/>
    <cellStyle name="Akzent5 2 4 4" xfId="10852" xr:uid="{9625C27A-A90F-4A05-BE38-A221E163BAA3}"/>
    <cellStyle name="Akzent5 2 4 4 2" xfId="30289" xr:uid="{CE79F29C-8973-4C05-BD13-C11C74DD0B88}"/>
    <cellStyle name="Akzent5 2 4 5" xfId="30285" xr:uid="{5A66721D-E9D0-4960-A435-FF65D37008A7}"/>
    <cellStyle name="Akzent5 2 5" xfId="10853" xr:uid="{E5493803-4EA4-42CF-BDEE-88DB24CC49D5}"/>
    <cellStyle name="Akzent5 2 5 2" xfId="30290" xr:uid="{FB7B7C5D-1578-41AD-9C91-EB9EB6C336EF}"/>
    <cellStyle name="Akzent5 2 6" xfId="10854" xr:uid="{2E273472-646B-4D57-B6E9-180A00FBE392}"/>
    <cellStyle name="Akzent5 2 6 2" xfId="10855" xr:uid="{96C92CC3-7F18-4A5C-B26E-E320332C751C}"/>
    <cellStyle name="Akzent5 2 6 2 2" xfId="30292" xr:uid="{8AAB8DAD-54D6-414D-AD55-03C30AD0EED5}"/>
    <cellStyle name="Akzent5 2 6 3" xfId="30291" xr:uid="{D3FA854C-6455-49E4-9A9B-25AD270B9EE6}"/>
    <cellStyle name="Akzent5 2 7" xfId="10856" xr:uid="{C8DBB943-3ACE-4CE8-B1FD-6C03A147CF9E}"/>
    <cellStyle name="Akzent5 2 7 2" xfId="30293" xr:uid="{0673E0A4-BF81-402F-8DF7-C7DA8CD52CCE}"/>
    <cellStyle name="Akzent5 2 8" xfId="10857" xr:uid="{1E13F6E9-0A84-4C54-B9F8-DFEF2C01B1A1}"/>
    <cellStyle name="Akzent5 2 8 2" xfId="10858" xr:uid="{D7BF22F4-2614-416E-AAB6-E60BBABAAB9D}"/>
    <cellStyle name="Akzent5 2 8 2 2" xfId="30295" xr:uid="{EF437185-41A0-4D4C-BC2F-6405D6AFD11B}"/>
    <cellStyle name="Akzent5 2 8 3" xfId="30294" xr:uid="{79A20FFF-391F-4295-B6CE-3D71396F0E11}"/>
    <cellStyle name="Akzent5 2 9" xfId="10859" xr:uid="{A5EBF24A-9F95-4C32-8DAF-2091222E82FE}"/>
    <cellStyle name="Akzent5 2 9 2" xfId="30296" xr:uid="{C6B836B4-ED52-4426-8C73-71868A1AFD09}"/>
    <cellStyle name="Akzent5 20" xfId="10860" xr:uid="{5869B550-DC77-4579-96E4-2140AEFCB6BF}"/>
    <cellStyle name="Akzent5 20 2" xfId="10861" xr:uid="{C53B105E-3969-479B-8607-6086B36410A2}"/>
    <cellStyle name="Akzent5 20 2 2" xfId="30298" xr:uid="{B686B305-48F8-4E26-8AFC-2DB46AE9FB9A}"/>
    <cellStyle name="Akzent5 20 3" xfId="30297" xr:uid="{7AA5E2BA-8601-4406-8BFF-5AC6493FA5AE}"/>
    <cellStyle name="Akzent5 21" xfId="10862" xr:uid="{83CD9630-3818-4C2C-B80B-79CB829A1B1A}"/>
    <cellStyle name="Akzent5 21 2" xfId="10863" xr:uid="{1077963A-34ED-4BC1-8AF3-70B57E7D55B4}"/>
    <cellStyle name="Akzent5 21 2 2" xfId="30300" xr:uid="{C6808E31-9A51-4C8D-92EF-E379EF711FA9}"/>
    <cellStyle name="Akzent5 21 3" xfId="30299" xr:uid="{BD2DECFB-327E-440D-8DEC-17FCF3128F57}"/>
    <cellStyle name="Akzent5 22" xfId="10864" xr:uid="{E7532078-6584-4241-B503-B6875D54601A}"/>
    <cellStyle name="Akzent5 22 2" xfId="10865" xr:uid="{F841C1CC-B5FB-4183-8FFE-18ECBFF37434}"/>
    <cellStyle name="Akzent5 22 2 2" xfId="30302" xr:uid="{68E84713-4FD4-4006-8329-E14D477A57BB}"/>
    <cellStyle name="Akzent5 22 3" xfId="30301" xr:uid="{F19A44D9-01F9-4319-8985-94C1DFEF6BA4}"/>
    <cellStyle name="Akzent5 23" xfId="10866" xr:uid="{547D7460-270F-4E96-ABA3-23D4162D641F}"/>
    <cellStyle name="Akzent5 23 2" xfId="10867" xr:uid="{10C389BC-D2E5-4950-822F-BA4A04B1E15F}"/>
    <cellStyle name="Akzent5 23 2 2" xfId="30304" xr:uid="{C755741F-A699-447F-9165-F17E62FFF14F}"/>
    <cellStyle name="Akzent5 23 3" xfId="30303" xr:uid="{2874CC27-EE92-4F37-8E0D-7FA81DF98CE9}"/>
    <cellStyle name="Akzent5 24" xfId="10868" xr:uid="{A82F23DF-CC62-491B-8CA8-41A46EBB8AE1}"/>
    <cellStyle name="Akzent5 24 2" xfId="10869" xr:uid="{2ADDC3FA-D136-43D8-9EAE-386A9B6F679E}"/>
    <cellStyle name="Akzent5 24 2 2" xfId="30306" xr:uid="{08F9834E-3118-4D7A-9706-FADB1B0841A0}"/>
    <cellStyle name="Akzent5 24 3" xfId="30305" xr:uid="{4DDE8D94-6AF1-430D-B468-C6FE753B3EBD}"/>
    <cellStyle name="Akzent5 25" xfId="10870" xr:uid="{AA52E964-0FD0-4E4D-A3FA-C33ABCE32560}"/>
    <cellStyle name="Akzent5 25 2" xfId="10871" xr:uid="{8B9E413B-535F-41A5-B65B-E36090410CBC}"/>
    <cellStyle name="Akzent5 25 2 2" xfId="30308" xr:uid="{B0B124E9-9260-4B17-AD38-903DF135A54B}"/>
    <cellStyle name="Akzent5 25 3" xfId="30307" xr:uid="{DD1CECA1-D42C-44DE-89D4-CBF95163E98F}"/>
    <cellStyle name="Akzent5 26" xfId="10872" xr:uid="{ED142D5E-A50A-4392-9EB6-E397006FE83E}"/>
    <cellStyle name="Akzent5 26 2" xfId="10873" xr:uid="{561D9D4B-1109-4BDD-BB9A-8BE432231B38}"/>
    <cellStyle name="Akzent5 26 2 2" xfId="30310" xr:uid="{6943FC57-9247-439F-BD1B-C9E627471628}"/>
    <cellStyle name="Akzent5 26 3" xfId="30309" xr:uid="{84B81B1B-179C-421E-8F86-8F8E771859D8}"/>
    <cellStyle name="Akzent5 27" xfId="10874" xr:uid="{C143E767-54A4-4FD7-AC17-2395637BDC66}"/>
    <cellStyle name="Akzent5 27 2" xfId="10875" xr:uid="{D019C70A-FDC6-44AF-BC26-13C7541469F0}"/>
    <cellStyle name="Akzent5 27 2 2" xfId="30312" xr:uid="{0B4F1E0D-FB41-43F9-9698-08E59C36636F}"/>
    <cellStyle name="Akzent5 27 3" xfId="30311" xr:uid="{606F7FF7-CCFF-4A66-A966-8CC39A82B86F}"/>
    <cellStyle name="Akzent5 28" xfId="10876" xr:uid="{8B5CA0D1-A8C0-4416-B114-DC5E1ED6849A}"/>
    <cellStyle name="Akzent5 28 2" xfId="10877" xr:uid="{8D73338B-BCF1-4C29-8DE1-3205D4AAD2E1}"/>
    <cellStyle name="Akzent5 28 2 2" xfId="30314" xr:uid="{6AA0A2A9-7C02-49F8-BA19-D4744C70832E}"/>
    <cellStyle name="Akzent5 28 3" xfId="30313" xr:uid="{6809BFA7-9A3F-42F2-8186-EA740B1D1CE8}"/>
    <cellStyle name="Akzent5 29" xfId="10878" xr:uid="{76F07C25-3BE1-471B-9036-6CF870DED1B4}"/>
    <cellStyle name="Akzent5 29 2" xfId="10879" xr:uid="{E1DBA0DA-3078-465D-8A32-2EDA34841921}"/>
    <cellStyle name="Akzent5 29 2 2" xfId="30316" xr:uid="{908D2E37-F13C-4A7B-98FF-EB07A02D8F73}"/>
    <cellStyle name="Akzent5 29 3" xfId="30315" xr:uid="{1975C8EC-4643-4661-A1C4-8E4093726989}"/>
    <cellStyle name="Akzent5 3" xfId="10880" xr:uid="{188DC294-5F7D-4F69-814B-1B27410196E7}"/>
    <cellStyle name="Akzent5 3 10" xfId="39397" xr:uid="{1082AE59-7A53-4523-9A63-6E5AA4CAB5DC}"/>
    <cellStyle name="Akzent5 3 2" xfId="10881" xr:uid="{97128E75-6593-46D3-9C90-0842901E3199}"/>
    <cellStyle name="Akzent5 3 2 2" xfId="10882" xr:uid="{25A281AD-ECCD-4146-AC0B-6573D7A3257B}"/>
    <cellStyle name="Akzent5 3 2 2 2" xfId="10883" xr:uid="{34E33962-EB0E-4990-8D28-2C668EF7A0AC}"/>
    <cellStyle name="Akzent5 3 2 2 2 2" xfId="30320" xr:uid="{D512EB4D-6B6B-4E7F-BE30-CFF17F47238A}"/>
    <cellStyle name="Akzent5 3 2 2 3" xfId="30319" xr:uid="{5B3A163D-475D-4FD3-A597-AB81BB5845DF}"/>
    <cellStyle name="Akzent5 3 2 3" xfId="10884" xr:uid="{84379FFE-762F-48BC-AACC-7096081508F9}"/>
    <cellStyle name="Akzent5 3 2 3 2" xfId="30321" xr:uid="{F9B10AE4-329C-4988-B0F5-4CEC3915EDF7}"/>
    <cellStyle name="Akzent5 3 2 4" xfId="10885" xr:uid="{57F74C8C-4E07-45FB-B209-BDCFB5B7E01D}"/>
    <cellStyle name="Akzent5 3 2 4 2" xfId="30322" xr:uid="{3985EC66-3460-414C-86E1-F9C4441F86B4}"/>
    <cellStyle name="Akzent5 3 2 5" xfId="30318" xr:uid="{7E5566AC-08D2-4458-B339-36AA1C27AD3A}"/>
    <cellStyle name="Akzent5 3 2 6" xfId="39992" xr:uid="{296E1733-22A1-43C3-B469-191BAD4CEA68}"/>
    <cellStyle name="Akzent5 3 3" xfId="10886" xr:uid="{F38134C5-70F1-45A6-8195-6B95A8AE25CE}"/>
    <cellStyle name="Akzent5 3 3 2" xfId="30323" xr:uid="{7946FADF-B25A-407F-B3D1-1502B568B9E6}"/>
    <cellStyle name="Akzent5 3 4" xfId="10887" xr:uid="{EFFE82C4-D51B-4055-B527-00FE820BDDD4}"/>
    <cellStyle name="Akzent5 3 4 2" xfId="30324" xr:uid="{0BE07AD2-0852-4777-9201-3D9288C28719}"/>
    <cellStyle name="Akzent5 3 5" xfId="10888" xr:uid="{D6A44141-2D0A-4A39-AC4C-EB54D9A6E972}"/>
    <cellStyle name="Akzent5 3 5 2" xfId="10889" xr:uid="{6294AD7E-CC62-46C3-A7B3-A21EF11304D2}"/>
    <cellStyle name="Akzent5 3 5 2 2" xfId="30326" xr:uid="{7B64B782-2412-4797-962E-3B0B2227B402}"/>
    <cellStyle name="Akzent5 3 5 3" xfId="30325" xr:uid="{5AF5DC5E-F82B-4F51-AD8D-2B180CEDF950}"/>
    <cellStyle name="Akzent5 3 6" xfId="10890" xr:uid="{A6ACD9BA-1B8D-4DCE-B374-71C8E7297505}"/>
    <cellStyle name="Akzent5 3 6 2" xfId="30327" xr:uid="{65A558F6-A59B-4ED6-8F78-28A4019AAA0E}"/>
    <cellStyle name="Akzent5 3 7" xfId="10891" xr:uid="{930C027F-363E-4B6E-AB81-FB39E453D81A}"/>
    <cellStyle name="Akzent5 3 7 2" xfId="30328" xr:uid="{9651B951-F791-43C3-A3AC-57B86754424A}"/>
    <cellStyle name="Akzent5 3 8" xfId="10892" xr:uid="{BE08635E-03B9-4CAB-8923-CD5F545149C3}"/>
    <cellStyle name="Akzent5 3 8 2" xfId="30329" xr:uid="{59D6EF16-7DC5-400F-A25C-E41E5BE81360}"/>
    <cellStyle name="Akzent5 3 9" xfId="30317" xr:uid="{64EE41EF-8E29-4150-98A9-5BA28D2D0A80}"/>
    <cellStyle name="Akzent5 30" xfId="10893" xr:uid="{8DF0BC98-7C80-4B76-AD27-B67C48535CB0}"/>
    <cellStyle name="Akzent5 30 2" xfId="10894" xr:uid="{D0261560-A94F-43FD-9092-5F2D44D121C5}"/>
    <cellStyle name="Akzent5 30 2 2" xfId="30331" xr:uid="{78FCEBF8-6C59-4BA1-865D-55B599F92009}"/>
    <cellStyle name="Akzent5 30 3" xfId="30330" xr:uid="{10976A89-8E93-41D9-B276-D3D236D32EAE}"/>
    <cellStyle name="Akzent5 31" xfId="10895" xr:uid="{4004C1E0-EAA2-47D2-A696-F125B65C8588}"/>
    <cellStyle name="Akzent5 31 2" xfId="10896" xr:uid="{E14AC2CD-0C82-4B96-A1FF-915A0820F7F7}"/>
    <cellStyle name="Akzent5 31 2 2" xfId="30333" xr:uid="{0B568EB8-A9F5-4151-93DC-5E525A6950A8}"/>
    <cellStyle name="Akzent5 31 3" xfId="30332" xr:uid="{CC282C00-091E-4A7D-80FC-CC43A7AD7C89}"/>
    <cellStyle name="Akzent5 32" xfId="10897" xr:uid="{40D171B7-C4AE-43C2-AB99-2E2C984AE30A}"/>
    <cellStyle name="Akzent5 32 2" xfId="10898" xr:uid="{E19B40B4-6F63-4109-A7F5-B5659D88EC32}"/>
    <cellStyle name="Akzent5 32 2 2" xfId="30335" xr:uid="{405A58AC-B1E2-4EA5-8BB8-4DB714A6F596}"/>
    <cellStyle name="Akzent5 32 3" xfId="30334" xr:uid="{86B5BF1C-55D6-42C7-AD3D-67EC9F7C94EE}"/>
    <cellStyle name="Akzent5 33" xfId="10899" xr:uid="{E5C6F596-6061-4779-8ABF-80242C955CFE}"/>
    <cellStyle name="Akzent5 33 2" xfId="10900" xr:uid="{AB4346DE-3547-4E4F-83E6-2FB312BF9A03}"/>
    <cellStyle name="Akzent5 33 2 2" xfId="30337" xr:uid="{6C6C2C70-7DB5-416A-9AA7-4AE36995D923}"/>
    <cellStyle name="Akzent5 33 3" xfId="30336" xr:uid="{62226FB7-53B5-4E4F-8288-46F0E030E86A}"/>
    <cellStyle name="Akzent5 34" xfId="10901" xr:uid="{4B577E1B-8FC9-4338-9E4E-3D3EFEABBA5C}"/>
    <cellStyle name="Akzent5 34 2" xfId="10902" xr:uid="{54EFAB1E-9A77-44DA-9862-BA28CB0C5738}"/>
    <cellStyle name="Akzent5 34 2 2" xfId="30339" xr:uid="{10174CC1-963E-4CFE-9637-0E6952AEDCAC}"/>
    <cellStyle name="Akzent5 34 3" xfId="30338" xr:uid="{A3809A10-04EE-4DBE-A9B9-4D25D3B6024D}"/>
    <cellStyle name="Akzent5 35" xfId="10903" xr:uid="{2E4BF7C8-A3B5-4174-BF7F-CF68D03D10E5}"/>
    <cellStyle name="Akzent5 35 2" xfId="10904" xr:uid="{A839FD54-FB5D-4107-8E28-39F85B3B21F4}"/>
    <cellStyle name="Akzent5 35 2 2" xfId="30341" xr:uid="{5BED4AEC-D9EC-4F3C-A193-3CD81F54014E}"/>
    <cellStyle name="Akzent5 35 3" xfId="30340" xr:uid="{58439AD7-3BCC-47D2-B6F6-455379B0815F}"/>
    <cellStyle name="Akzent5 36" xfId="10905" xr:uid="{F7F50AF9-C513-4A16-AEC0-56700AEE3BAF}"/>
    <cellStyle name="Akzent5 36 2" xfId="10906" xr:uid="{61E0A115-0F9F-4F7C-8884-8D7E3889A56A}"/>
    <cellStyle name="Akzent5 36 2 2" xfId="30343" xr:uid="{A8A58E3A-E2C8-4D52-B1CD-D96D3938A419}"/>
    <cellStyle name="Akzent5 36 3" xfId="30342" xr:uid="{C1B16858-A3E3-4E0C-8718-82023EF9989F}"/>
    <cellStyle name="Akzent5 37" xfId="30217" xr:uid="{BC2F5A2F-96BE-4ED4-8A7C-F95D7D30A0E6}"/>
    <cellStyle name="Akzent5 38" xfId="10780" xr:uid="{47FFBFF6-3104-4E0E-AD13-85EB90BEED0B}"/>
    <cellStyle name="Akzent5 4" xfId="10907" xr:uid="{D7C2EC22-6C9E-472A-946A-3F430AFE8F30}"/>
    <cellStyle name="Akzent5 4 2" xfId="10908" xr:uid="{BE9CBAD4-F3BB-4B7F-9C57-AE75F43D8BCD}"/>
    <cellStyle name="Akzent5 4 2 2" xfId="10909" xr:uid="{E2A4F063-15ED-48B6-AED6-2F6A569B687D}"/>
    <cellStyle name="Akzent5 4 2 2 2" xfId="30346" xr:uid="{21626628-8B52-4DAA-BD3E-980C0195E295}"/>
    <cellStyle name="Akzent5 4 2 3" xfId="30345" xr:uid="{B3AA2805-D0A0-41BB-AABD-DD3B007C010A}"/>
    <cellStyle name="Akzent5 4 2 4" xfId="39993" xr:uid="{FBA14131-0108-4699-A885-B42E9343645E}"/>
    <cellStyle name="Akzent5 4 3" xfId="10910" xr:uid="{4E932965-4D94-47CB-B4B5-D922C031399F}"/>
    <cellStyle name="Akzent5 4 3 2" xfId="30347" xr:uid="{C6D92DEC-EB88-4771-A8B8-A4B32D37F0F7}"/>
    <cellStyle name="Akzent5 4 4" xfId="10911" xr:uid="{2A694A56-C21B-4037-85FC-487B7E2E3F3D}"/>
    <cellStyle name="Akzent5 4 4 2" xfId="30348" xr:uid="{340D2E94-EF5E-4C07-8279-241423F97A83}"/>
    <cellStyle name="Akzent5 4 5" xfId="10912" xr:uid="{3CBECF3B-0D22-45DB-8F00-A1277C003FA3}"/>
    <cellStyle name="Akzent5 4 5 2" xfId="30349" xr:uid="{B2E39E6B-DC19-4204-8614-52152D10F281}"/>
    <cellStyle name="Akzent5 4 6" xfId="10913" xr:uid="{AA178933-8B1C-4227-A961-BD6306072F5B}"/>
    <cellStyle name="Akzent5 4 6 2" xfId="30350" xr:uid="{C3827890-113C-4045-A153-4D052D302549}"/>
    <cellStyle name="Akzent5 4 7" xfId="30344" xr:uid="{DD226CA0-FDA5-47E2-99E2-CCA88497B64C}"/>
    <cellStyle name="Akzent5 4 8" xfId="39398" xr:uid="{00FF694E-E4E6-42E9-9B23-138C54873A00}"/>
    <cellStyle name="Akzent5 5" xfId="10914" xr:uid="{629B3CA3-6DEC-46A1-BF87-1A406CE4FDAC}"/>
    <cellStyle name="Akzent5 5 2" xfId="10915" xr:uid="{F19017F2-0E63-4F84-852D-6183D82A679D}"/>
    <cellStyle name="Akzent5 5 2 2" xfId="30352" xr:uid="{07A74E6D-FA69-444A-B172-50737FEABC2A}"/>
    <cellStyle name="Akzent5 5 3" xfId="10916" xr:uid="{A6B5B779-9AA8-4DFD-B43F-C1092B77B943}"/>
    <cellStyle name="Akzent5 5 3 2" xfId="30353" xr:uid="{065274D0-8852-420F-8A37-9753F1CB840C}"/>
    <cellStyle name="Akzent5 5 4" xfId="10917" xr:uid="{ACCC677E-B3C4-4FB0-BAFC-6C9F3DC04417}"/>
    <cellStyle name="Akzent5 5 4 2" xfId="30354" xr:uid="{D01582AE-5058-4C17-97C0-B04299FCF720}"/>
    <cellStyle name="Akzent5 5 5" xfId="30351" xr:uid="{35F99422-7507-4714-97D5-843991F53CF8}"/>
    <cellStyle name="Akzent5 5 6" xfId="39394" xr:uid="{541EED67-42EB-4B50-811C-BC35B098215D}"/>
    <cellStyle name="Akzent5 6" xfId="10918" xr:uid="{6048892E-85D8-4868-9E53-961B9CA0659A}"/>
    <cellStyle name="Akzent5 6 2" xfId="10919" xr:uid="{94074AA8-897F-443A-8115-156B68CD97EA}"/>
    <cellStyle name="Akzent5 6 2 2" xfId="30356" xr:uid="{BBA064C6-8B50-4DDE-9A2D-3FF1CD0C1E6B}"/>
    <cellStyle name="Akzent5 6 3" xfId="10920" xr:uid="{E9AF9A9F-284B-4AC0-BD5E-43CA5AF77BEB}"/>
    <cellStyle name="Akzent5 6 3 2" xfId="30357" xr:uid="{28F6577A-58AE-4047-B5AD-26CD890B0056}"/>
    <cellStyle name="Akzent5 6 4" xfId="10921" xr:uid="{BB26B9FF-D8F8-47E6-9BAB-AF8D284629ED}"/>
    <cellStyle name="Akzent5 6 4 2" xfId="30358" xr:uid="{BD5A5D86-EEEB-48F2-8154-D3EE1C70BBCD}"/>
    <cellStyle name="Akzent5 6 5" xfId="30355" xr:uid="{812C4B9C-D85A-4C3D-9320-6BE454CE1D08}"/>
    <cellStyle name="Akzent5 7" xfId="10922" xr:uid="{D6DF2A6A-75F8-4D3E-943F-DC5C623A8C6C}"/>
    <cellStyle name="Akzent5 7 2" xfId="10923" xr:uid="{A2DFD0D1-11C9-480B-9E75-D0FABC069CFF}"/>
    <cellStyle name="Akzent5 7 2 2" xfId="30360" xr:uid="{FEFE9C38-8E1B-450C-B179-F1B7C5C82EC3}"/>
    <cellStyle name="Akzent5 7 3" xfId="30359" xr:uid="{75EF8BB9-07C5-4BAC-AB46-94602EFC4C58}"/>
    <cellStyle name="Akzent5 8" xfId="10924" xr:uid="{6EBC0379-D6B5-4CBC-BA88-A06F86B421F3}"/>
    <cellStyle name="Akzent5 8 2" xfId="10925" xr:uid="{33A6FB18-3ADD-46E5-A96F-8B1C5745509C}"/>
    <cellStyle name="Akzent5 8 2 2" xfId="30362" xr:uid="{61BDD092-B453-4D6B-8A2A-E3C9A9AB33CC}"/>
    <cellStyle name="Akzent5 8 3" xfId="30361" xr:uid="{671D2B04-342C-4E13-8DFE-7DC758419A9C}"/>
    <cellStyle name="Akzent5 9" xfId="10926" xr:uid="{9AB0F6AA-84BC-459E-9B15-DEAFEF890128}"/>
    <cellStyle name="Akzent5 9 2" xfId="10927" xr:uid="{C1E1D4EF-D59A-400E-89DF-13D5936F14C6}"/>
    <cellStyle name="Akzent5 9 2 2" xfId="30364" xr:uid="{309A4D14-7B9F-45DB-B521-734F4B7931A1}"/>
    <cellStyle name="Akzent5 9 3" xfId="30363" xr:uid="{8BFE104B-49A5-414E-8224-5619533D883C}"/>
    <cellStyle name="Akzent6 10" xfId="10929" xr:uid="{38A3AE23-E516-4DD3-82F0-8E75E4C77E79}"/>
    <cellStyle name="Akzent6 10 2" xfId="10930" xr:uid="{AC648CD7-956A-460F-999F-A195B2A93EB5}"/>
    <cellStyle name="Akzent6 10 2 2" xfId="30367" xr:uid="{16FB94E0-7902-48C7-BA1B-09ADDA29F4E5}"/>
    <cellStyle name="Akzent6 10 3" xfId="30366" xr:uid="{171E99C1-E548-4474-8D21-BB9CDEB072EF}"/>
    <cellStyle name="Akzent6 11" xfId="10931" xr:uid="{33A72B0D-665D-496D-910B-AC49E759B050}"/>
    <cellStyle name="Akzent6 11 2" xfId="10932" xr:uid="{2464B3C4-285C-467A-B5FB-1002E6FD52E7}"/>
    <cellStyle name="Akzent6 11 2 2" xfId="30369" xr:uid="{2A0DC4E8-AC27-4A6F-9705-C9895531B63E}"/>
    <cellStyle name="Akzent6 11 3" xfId="30368" xr:uid="{A3F38746-A86E-435D-A3C4-3BDE618852B9}"/>
    <cellStyle name="Akzent6 12" xfId="10933" xr:uid="{963B06B7-1F1B-4959-9EF1-7AF8679CCCCF}"/>
    <cellStyle name="Akzent6 12 2" xfId="10934" xr:uid="{A7697E15-3781-400F-B3D3-2472B7F8E1FF}"/>
    <cellStyle name="Akzent6 12 2 2" xfId="30371" xr:uid="{B2AEB397-62E6-4BBD-92C8-E3B2C1215F2B}"/>
    <cellStyle name="Akzent6 12 3" xfId="30370" xr:uid="{0CE5C95B-73AF-46C6-AB5C-F90BF1A766D5}"/>
    <cellStyle name="Akzent6 13" xfId="10935" xr:uid="{4824DD02-5CC0-4E16-9C94-69430D105D0C}"/>
    <cellStyle name="Akzent6 13 2" xfId="10936" xr:uid="{AB99B2EA-32D3-4EC8-A671-D5AA31E8C18D}"/>
    <cellStyle name="Akzent6 13 2 2" xfId="30373" xr:uid="{C56FB6E4-7274-4C09-A189-684AED11D1EA}"/>
    <cellStyle name="Akzent6 13 3" xfId="30372" xr:uid="{84F3B079-B996-4A4E-82D2-8B178AB75347}"/>
    <cellStyle name="Akzent6 14" xfId="10937" xr:uid="{E8D9CEA4-2C19-4966-8B45-4C91D0EB3189}"/>
    <cellStyle name="Akzent6 14 2" xfId="10938" xr:uid="{BA883E4A-E7D8-4A12-A372-D71C6197DF1D}"/>
    <cellStyle name="Akzent6 14 2 2" xfId="30375" xr:uid="{82AE4293-694E-41B5-A80F-16BDF163D663}"/>
    <cellStyle name="Akzent6 14 3" xfId="30374" xr:uid="{94BB9964-FCB3-4F29-8C92-3F93B36F719C}"/>
    <cellStyle name="Akzent6 15" xfId="10939" xr:uid="{D742D336-7CF1-467E-BD09-B2D983007C98}"/>
    <cellStyle name="Akzent6 15 2" xfId="10940" xr:uid="{FC0709D0-6060-4F9C-8C48-9BC4755EF284}"/>
    <cellStyle name="Akzent6 15 2 2" xfId="30377" xr:uid="{FF92CC59-E308-4563-9C5F-7C082A700300}"/>
    <cellStyle name="Akzent6 15 3" xfId="30376" xr:uid="{D706495B-D4B1-4D9A-94E9-B61E6B36108E}"/>
    <cellStyle name="Akzent6 16" xfId="10941" xr:uid="{44820BFF-C499-4BB2-9327-37A436F35194}"/>
    <cellStyle name="Akzent6 16 2" xfId="10942" xr:uid="{1D12BA73-6247-4BA1-AEB4-C59AFBBD4100}"/>
    <cellStyle name="Akzent6 16 2 2" xfId="30379" xr:uid="{888C21F6-65CB-442A-9A4A-831C942EAF46}"/>
    <cellStyle name="Akzent6 16 3" xfId="30378" xr:uid="{CAB89D03-99C7-4F8A-BB86-FFD92D53F467}"/>
    <cellStyle name="Akzent6 17" xfId="10943" xr:uid="{BCEDDAF2-3C2B-49AF-B196-D30F54CB5566}"/>
    <cellStyle name="Akzent6 17 2" xfId="10944" xr:uid="{C7D20738-F351-4F78-8837-36DAC4996011}"/>
    <cellStyle name="Akzent6 17 2 2" xfId="30381" xr:uid="{19B76234-E20D-478C-9A47-75C71E964F44}"/>
    <cellStyle name="Akzent6 17 3" xfId="30380" xr:uid="{679FB626-9B86-4D4C-A964-D40460556076}"/>
    <cellStyle name="Akzent6 18" xfId="10945" xr:uid="{FC5266B0-5F52-4B07-AFDF-BB46C36AF779}"/>
    <cellStyle name="Akzent6 18 2" xfId="10946" xr:uid="{CA120C6C-2989-49C0-87EF-FDBB02559C3F}"/>
    <cellStyle name="Akzent6 18 2 2" xfId="30383" xr:uid="{3C119230-BF03-4F98-A3E8-F6867C4A1034}"/>
    <cellStyle name="Akzent6 18 3" xfId="30382" xr:uid="{8FC1F42E-255D-4965-BE4F-C2800970375E}"/>
    <cellStyle name="Akzent6 19" xfId="10947" xr:uid="{070BF766-3CFD-4620-9517-8523D363AF90}"/>
    <cellStyle name="Akzent6 19 2" xfId="10948" xr:uid="{54C0F526-4438-44C3-992D-EBE8A0F7893C}"/>
    <cellStyle name="Akzent6 19 2 2" xfId="30385" xr:uid="{29F778F5-179E-4EC7-AD14-9FBED5A80B0A}"/>
    <cellStyle name="Akzent6 19 3" xfId="30384" xr:uid="{6BB65D7E-D1F1-4DF7-AE73-264E4261BFB7}"/>
    <cellStyle name="Akzent6 2" xfId="10949" xr:uid="{8843DA1F-B7F4-454E-88BC-120B1C9143E5}"/>
    <cellStyle name="Akzent6 2 10" xfId="10950" xr:uid="{637E3D42-135C-48CD-A27E-3387A1CEC293}"/>
    <cellStyle name="Akzent6 2 10 2" xfId="30387" xr:uid="{3B5015CD-0499-4003-B5E7-C0B50D4DC4A8}"/>
    <cellStyle name="Akzent6 2 11" xfId="10951" xr:uid="{5F27B12D-237D-4FE2-909A-36FAEF208FDD}"/>
    <cellStyle name="Akzent6 2 11 2" xfId="30388" xr:uid="{4447D8B0-2BAE-4C10-87AC-BA2DC637C816}"/>
    <cellStyle name="Akzent6 2 12" xfId="10952" xr:uid="{6DF12070-53C7-43A6-8845-9766BBE9455D}"/>
    <cellStyle name="Akzent6 2 12 2" xfId="30389" xr:uid="{3265F9A8-FE67-49DA-9F2B-5FF3C3D0AE1A}"/>
    <cellStyle name="Akzent6 2 13" xfId="10953" xr:uid="{53E2D51D-FE34-4C11-B8F1-A91B87A2D2A5}"/>
    <cellStyle name="Akzent6 2 13 2" xfId="30390" xr:uid="{2A47DE69-BDB9-4041-9CF8-BCA9C0474265}"/>
    <cellStyle name="Akzent6 2 14" xfId="10954" xr:uid="{213F37AD-A65E-4D00-A302-88B0C93A9550}"/>
    <cellStyle name="Akzent6 2 14 2" xfId="30391" xr:uid="{E4461AA3-0501-4A20-95EF-F4FFAF8DB420}"/>
    <cellStyle name="Akzent6 2 15" xfId="30386" xr:uid="{D8D6D210-B518-4A0E-B870-6957D9D21ABA}"/>
    <cellStyle name="Akzent6 2 16" xfId="39400" xr:uid="{1FAEC5D5-0C92-4E4A-B388-433EA6C3E0B6}"/>
    <cellStyle name="Akzent6 2 2" xfId="10955" xr:uid="{D09178A3-5D33-4605-8DF3-7E041A8A2A02}"/>
    <cellStyle name="Akzent6 2 2 10" xfId="10956" xr:uid="{0A282453-C938-4497-A03A-A2F48C507F75}"/>
    <cellStyle name="Akzent6 2 2 10 2" xfId="30393" xr:uid="{352F6A52-60A8-4A28-B1CF-E868E473B82A}"/>
    <cellStyle name="Akzent6 2 2 11" xfId="10957" xr:uid="{3E71BD03-C997-40AC-ABC8-DFD9EB37D74F}"/>
    <cellStyle name="Akzent6 2 2 11 2" xfId="30394" xr:uid="{6418DB0C-EA8C-4BF5-B4EE-FFA14B9202F5}"/>
    <cellStyle name="Akzent6 2 2 12" xfId="10958" xr:uid="{38E53F6F-1001-44FE-8E13-1A2F12C43FEA}"/>
    <cellStyle name="Akzent6 2 2 12 2" xfId="30395" xr:uid="{10248B7F-3777-4A55-9C78-05ACABC46DFC}"/>
    <cellStyle name="Akzent6 2 2 13" xfId="30392" xr:uid="{0A2B695D-E9B4-425B-8AAC-C78A4B858684}"/>
    <cellStyle name="Akzent6 2 2 14" xfId="39401" xr:uid="{33DD1938-4A09-4355-99DA-AE870A229EDA}"/>
    <cellStyle name="Akzent6 2 2 2" xfId="10959" xr:uid="{B7D18CD5-21E8-488D-B6E5-C12FCB2864D5}"/>
    <cellStyle name="Akzent6 2 2 2 10" xfId="10960" xr:uid="{840C2CC6-4E96-44C3-A7A2-BC94EDD3A982}"/>
    <cellStyle name="Akzent6 2 2 2 10 2" xfId="30397" xr:uid="{B426173A-2B62-45BC-B449-F74E13ECC32C}"/>
    <cellStyle name="Akzent6 2 2 2 11" xfId="30396" xr:uid="{3A24F8F3-D099-40B5-81A0-7C4FB5296209}"/>
    <cellStyle name="Akzent6 2 2 2 2" xfId="10961" xr:uid="{4972E453-1BC1-4776-B7F4-90157A06A547}"/>
    <cellStyle name="Akzent6 2 2 2 2 2" xfId="10962" xr:uid="{893A2DFF-3C26-46E9-8666-0625E0903822}"/>
    <cellStyle name="Akzent6 2 2 2 2 2 2" xfId="10963" xr:uid="{C6EBBA39-9FC7-462F-9BA9-5D23C11627B0}"/>
    <cellStyle name="Akzent6 2 2 2 2 2 2 2" xfId="10964" xr:uid="{DFF0D877-7ABF-423D-91B2-9DBFDA8C583E}"/>
    <cellStyle name="Akzent6 2 2 2 2 2 2 2 2" xfId="30401" xr:uid="{9535B897-CB7F-4647-96FC-C416E5996209}"/>
    <cellStyle name="Akzent6 2 2 2 2 2 2 3" xfId="30400" xr:uid="{7129B762-7A06-4C5D-82D9-B61063334857}"/>
    <cellStyle name="Akzent6 2 2 2 2 2 3" xfId="10965" xr:uid="{DF146DFF-8F4D-4BBC-8ECC-01DC3CF2DCD2}"/>
    <cellStyle name="Akzent6 2 2 2 2 2 3 2" xfId="30402" xr:uid="{9BE623DD-5BDC-4189-A09C-204F40BA7EB0}"/>
    <cellStyle name="Akzent6 2 2 2 2 2 4" xfId="10966" xr:uid="{5A5B28FB-3989-4DE0-B92E-CD44B0DE304B}"/>
    <cellStyle name="Akzent6 2 2 2 2 2 4 2" xfId="30403" xr:uid="{89A23F00-5B0A-4878-8E5A-5DBB11F92FA5}"/>
    <cellStyle name="Akzent6 2 2 2 2 2 5" xfId="10967" xr:uid="{7E29B0E3-7B46-4793-9597-D266E7A7B279}"/>
    <cellStyle name="Akzent6 2 2 2 2 2 5 2" xfId="30404" xr:uid="{8503E12C-B59F-4155-868B-A7B6C62FE038}"/>
    <cellStyle name="Akzent6 2 2 2 2 2 6" xfId="10968" xr:uid="{B77B4E4F-F18D-413B-93E0-884D11D61323}"/>
    <cellStyle name="Akzent6 2 2 2 2 2 6 2" xfId="30405" xr:uid="{6FC4DC3F-6FEA-48E8-B35A-24353538E10C}"/>
    <cellStyle name="Akzent6 2 2 2 2 2 7" xfId="10969" xr:uid="{19171A64-A1CC-4657-A5D6-61905D4299AA}"/>
    <cellStyle name="Akzent6 2 2 2 2 2 7 2" xfId="30406" xr:uid="{3C031731-E466-4632-9A5A-87B791EA3860}"/>
    <cellStyle name="Akzent6 2 2 2 2 2 8" xfId="10970" xr:uid="{47486B47-C2A6-4EB3-B4AF-B937EA98C9FE}"/>
    <cellStyle name="Akzent6 2 2 2 2 2 8 2" xfId="30407" xr:uid="{EF9E82C8-8F38-4A41-A8CD-F2BC180B2B2E}"/>
    <cellStyle name="Akzent6 2 2 2 2 2 9" xfId="30399" xr:uid="{CB87CFB3-8902-491C-B7BA-ED71A5B8FED9}"/>
    <cellStyle name="Akzent6 2 2 2 2 3" xfId="10971" xr:uid="{5229AA3B-C3D6-4740-B719-34C93287BAF2}"/>
    <cellStyle name="Akzent6 2 2 2 2 3 2" xfId="10972" xr:uid="{9A5A8AC4-CA5D-45CB-98EF-4718C6659235}"/>
    <cellStyle name="Akzent6 2 2 2 2 3 2 2" xfId="30409" xr:uid="{D695B0CC-0A37-4E9F-846F-3337736B0770}"/>
    <cellStyle name="Akzent6 2 2 2 2 3 3" xfId="30408" xr:uid="{50FB0C41-74E8-4A64-A9A3-5093BD857BCE}"/>
    <cellStyle name="Akzent6 2 2 2 2 4" xfId="10973" xr:uid="{926B0581-FA59-4E27-8406-0F0BEC82A6F9}"/>
    <cellStyle name="Akzent6 2 2 2 2 4 2" xfId="30410" xr:uid="{CE5DBD36-0611-456B-902A-CBB767AFA108}"/>
    <cellStyle name="Akzent6 2 2 2 2 5" xfId="10974" xr:uid="{0DCE6C2B-7FA4-42BC-8D5A-FCEE71D77A36}"/>
    <cellStyle name="Akzent6 2 2 2 2 5 2" xfId="30411" xr:uid="{77665101-2331-48F2-A689-4EB5E3D3814D}"/>
    <cellStyle name="Akzent6 2 2 2 2 6" xfId="10975" xr:uid="{C24B6E72-B425-4FEC-A263-D21AD6551851}"/>
    <cellStyle name="Akzent6 2 2 2 2 6 2" xfId="30412" xr:uid="{A60C1F86-CBBA-41E0-8261-3F2DE3CA8C32}"/>
    <cellStyle name="Akzent6 2 2 2 2 7" xfId="10976" xr:uid="{3DF1B00F-5C5B-489E-A61B-FD3310F7E878}"/>
    <cellStyle name="Akzent6 2 2 2 2 7 2" xfId="30413" xr:uid="{E4398C26-43FC-4CEE-A3C0-FDFED79E55C4}"/>
    <cellStyle name="Akzent6 2 2 2 2 8" xfId="10977" xr:uid="{69F80B5F-6279-4CE8-8C6E-BBFEF31FAAF8}"/>
    <cellStyle name="Akzent6 2 2 2 2 8 2" xfId="30414" xr:uid="{D26C200C-AD6A-452D-AFB2-29035E7B718F}"/>
    <cellStyle name="Akzent6 2 2 2 2 9" xfId="30398" xr:uid="{6FD0171B-5D9A-4963-9E7E-D03BA389FF4A}"/>
    <cellStyle name="Akzent6 2 2 2 3" xfId="10978" xr:uid="{6F48D2BA-9B03-4A0E-A390-71BD2EB1C79E}"/>
    <cellStyle name="Akzent6 2 2 2 3 2" xfId="30415" xr:uid="{855546C4-1712-4F6D-88FF-C9EA16B12DC4}"/>
    <cellStyle name="Akzent6 2 2 2 4" xfId="10979" xr:uid="{0B7CED2E-E0A2-4ACA-A796-4CF4F9CA16D7}"/>
    <cellStyle name="Akzent6 2 2 2 4 2" xfId="30416" xr:uid="{59C23266-ECBE-4825-B5C0-92EC4C645525}"/>
    <cellStyle name="Akzent6 2 2 2 5" xfId="10980" xr:uid="{279F4121-D8DF-4C35-9C46-B03C2706E2CA}"/>
    <cellStyle name="Akzent6 2 2 2 5 2" xfId="10981" xr:uid="{D6BD0DE7-5029-4F73-920A-04185F8D0B5F}"/>
    <cellStyle name="Akzent6 2 2 2 5 2 2" xfId="30418" xr:uid="{60FBAD20-0D48-4659-9839-2D97E2DBCA06}"/>
    <cellStyle name="Akzent6 2 2 2 5 3" xfId="30417" xr:uid="{2575512C-9748-4E0C-B6E5-5F70F30CCBC8}"/>
    <cellStyle name="Akzent6 2 2 2 6" xfId="10982" xr:uid="{FCB65645-250F-4BF4-80EF-1BF75EDC547A}"/>
    <cellStyle name="Akzent6 2 2 2 6 2" xfId="30419" xr:uid="{7C5570B5-9800-452B-9EFF-C775D08EF04E}"/>
    <cellStyle name="Akzent6 2 2 2 7" xfId="10983" xr:uid="{4DA0562E-1717-4944-BF7D-070E214F7B5E}"/>
    <cellStyle name="Akzent6 2 2 2 7 2" xfId="30420" xr:uid="{464B9E3E-8EFB-41CD-9D67-922B352E390B}"/>
    <cellStyle name="Akzent6 2 2 2 8" xfId="10984" xr:uid="{7C2D0058-1A0B-4577-9C50-8CBECE80795E}"/>
    <cellStyle name="Akzent6 2 2 2 8 2" xfId="30421" xr:uid="{763340D6-5CF8-411A-A94D-836BFAFB6A8A}"/>
    <cellStyle name="Akzent6 2 2 2 9" xfId="10985" xr:uid="{E5E3D32E-B751-4085-874A-58E468208A99}"/>
    <cellStyle name="Akzent6 2 2 2 9 2" xfId="30422" xr:uid="{07685D9B-2284-4E3D-92B5-EBD9D0487FCA}"/>
    <cellStyle name="Akzent6 2 2 3" xfId="10986" xr:uid="{EA69477E-9909-4051-A9A3-27885D1B16B5}"/>
    <cellStyle name="Akzent6 2 2 3 2" xfId="30423" xr:uid="{AF2E2747-09C1-455E-AC36-BB933B73F37E}"/>
    <cellStyle name="Akzent6 2 2 4" xfId="10987" xr:uid="{90ACD207-BB01-4D6E-8DE8-F2E2EEB54315}"/>
    <cellStyle name="Akzent6 2 2 4 2" xfId="30424" xr:uid="{4CB6544B-7235-42D0-B2DD-C7BEECB48930}"/>
    <cellStyle name="Akzent6 2 2 5" xfId="10988" xr:uid="{445451AB-C40D-442B-8320-A434E8373A80}"/>
    <cellStyle name="Akzent6 2 2 5 2" xfId="10989" xr:uid="{3F9443FD-D351-4C21-BE27-375989417ED0}"/>
    <cellStyle name="Akzent6 2 2 5 2 2" xfId="30426" xr:uid="{4D54E4EA-879D-44D2-A70E-F6FEA4C014CB}"/>
    <cellStyle name="Akzent6 2 2 5 3" xfId="30425" xr:uid="{909ABF52-E1F9-43BA-9013-B594D16C856B}"/>
    <cellStyle name="Akzent6 2 2 6" xfId="10990" xr:uid="{7A5D5046-DF69-4BFA-AA0E-3620DC0FFC12}"/>
    <cellStyle name="Akzent6 2 2 6 2" xfId="30427" xr:uid="{99E71E7E-25A5-4390-8757-4DEC2755CBFE}"/>
    <cellStyle name="Akzent6 2 2 7" xfId="10991" xr:uid="{A7C55B55-2FE3-4E5A-9133-27BD6C4E166D}"/>
    <cellStyle name="Akzent6 2 2 7 2" xfId="10992" xr:uid="{A2E35E42-D50E-4155-930D-FE12813E048B}"/>
    <cellStyle name="Akzent6 2 2 7 2 2" xfId="30429" xr:uid="{0368F2A9-BBA8-4292-912A-21E3F7E49FAA}"/>
    <cellStyle name="Akzent6 2 2 7 3" xfId="30428" xr:uid="{9608979C-C672-4E11-A1B9-B124A61873C4}"/>
    <cellStyle name="Akzent6 2 2 8" xfId="10993" xr:uid="{9B1DC882-7746-4AAD-AF6D-29DAE9640A85}"/>
    <cellStyle name="Akzent6 2 2 8 2" xfId="30430" xr:uid="{C89153ED-7A25-4CBD-8BD5-14BD3DD3073C}"/>
    <cellStyle name="Akzent6 2 2 9" xfId="10994" xr:uid="{FF32ED47-1621-4C0E-99AA-2A9C30B12AA2}"/>
    <cellStyle name="Akzent6 2 2 9 2" xfId="30431" xr:uid="{991103BB-1DEE-48AE-B23F-07164478366F}"/>
    <cellStyle name="Akzent6 2 3" xfId="10995" xr:uid="{0773F03B-97C2-4C70-B5C1-2FA880AEFB15}"/>
    <cellStyle name="Akzent6 2 3 2" xfId="30432" xr:uid="{2A57FAB4-D4A1-458D-A95A-9902534953F5}"/>
    <cellStyle name="Akzent6 2 4" xfId="10996" xr:uid="{69AFF2DC-140E-46EA-A846-8FF6A2F0BEAE}"/>
    <cellStyle name="Akzent6 2 4 2" xfId="10997" xr:uid="{7B18B0AC-915C-49F2-9902-73231A3A1B46}"/>
    <cellStyle name="Akzent6 2 4 2 2" xfId="10998" xr:uid="{FFC5B219-552A-4B49-A063-57E005A58BEE}"/>
    <cellStyle name="Akzent6 2 4 2 2 2" xfId="30435" xr:uid="{F332F4CF-C225-4841-963A-480DA54FCE7B}"/>
    <cellStyle name="Akzent6 2 4 2 3" xfId="30434" xr:uid="{9121EF41-AA2C-4663-A6FF-5E7FD02EC958}"/>
    <cellStyle name="Akzent6 2 4 3" xfId="10999" xr:uid="{ABEE10EA-7779-4188-A27F-9E2C39E398AC}"/>
    <cellStyle name="Akzent6 2 4 3 2" xfId="30436" xr:uid="{4FA75CBC-CA03-491B-93AC-8A7EF90BE59D}"/>
    <cellStyle name="Akzent6 2 4 4" xfId="11000" xr:uid="{0A4D84DC-CD41-4DE1-88AE-AE68A7C242DE}"/>
    <cellStyle name="Akzent6 2 4 4 2" xfId="30437" xr:uid="{8198DAFF-9910-4393-B3AD-740B86822B20}"/>
    <cellStyle name="Akzent6 2 4 5" xfId="30433" xr:uid="{BBE9E6C9-C15E-4784-B4B9-FBB53EB42E00}"/>
    <cellStyle name="Akzent6 2 5" xfId="11001" xr:uid="{1E829D72-58ED-4ACA-829F-C4EB7BB632BE}"/>
    <cellStyle name="Akzent6 2 5 2" xfId="30438" xr:uid="{7E5E943C-1316-4353-A7EC-4BF9C040348C}"/>
    <cellStyle name="Akzent6 2 6" xfId="11002" xr:uid="{E66365C4-CF8F-4121-A857-065DC096878C}"/>
    <cellStyle name="Akzent6 2 6 2" xfId="11003" xr:uid="{19A57A4D-D989-480A-B2FB-B21418A816CA}"/>
    <cellStyle name="Akzent6 2 6 2 2" xfId="30440" xr:uid="{6AB5CE6E-8B4B-4DDC-B472-58788D3E8F25}"/>
    <cellStyle name="Akzent6 2 6 3" xfId="30439" xr:uid="{2E761413-A6D2-42FC-B182-A40C03E9304B}"/>
    <cellStyle name="Akzent6 2 7" xfId="11004" xr:uid="{11EFF967-30E5-472C-8410-C207C9FA4CF3}"/>
    <cellStyle name="Akzent6 2 7 2" xfId="30441" xr:uid="{6CCF30E5-BF8D-4435-9096-70F8A36C34D0}"/>
    <cellStyle name="Akzent6 2 8" xfId="11005" xr:uid="{3C35B556-78E3-4D1D-A117-3B9A9DA856B8}"/>
    <cellStyle name="Akzent6 2 8 2" xfId="11006" xr:uid="{5301A017-1224-43A5-98EC-4F63F6D16ECB}"/>
    <cellStyle name="Akzent6 2 8 2 2" xfId="30443" xr:uid="{B74FA0C4-81AF-4090-A862-C4AAA8929BF2}"/>
    <cellStyle name="Akzent6 2 8 3" xfId="30442" xr:uid="{8D1E44FD-448E-48E3-BC14-FC56A43A78C7}"/>
    <cellStyle name="Akzent6 2 9" xfId="11007" xr:uid="{46B808FE-E83F-4A78-A0DC-9C8D651D84B6}"/>
    <cellStyle name="Akzent6 2 9 2" xfId="30444" xr:uid="{B9212145-36EC-466B-B689-2D117593B7B3}"/>
    <cellStyle name="Akzent6 20" xfId="11008" xr:uid="{F02BCF56-F8E3-4F1E-B8DA-7FC3B82B4E2E}"/>
    <cellStyle name="Akzent6 20 2" xfId="11009" xr:uid="{FEF771FA-752B-4A14-AB8C-37B59D784B94}"/>
    <cellStyle name="Akzent6 20 2 2" xfId="30446" xr:uid="{1A4596B3-6D32-4842-956B-760EC28E5C57}"/>
    <cellStyle name="Akzent6 20 3" xfId="30445" xr:uid="{54D70BC7-6BBB-4ECE-B279-556FDE7EB55E}"/>
    <cellStyle name="Akzent6 21" xfId="11010" xr:uid="{ABD30B87-9544-4FE1-948A-E623150F7647}"/>
    <cellStyle name="Akzent6 21 2" xfId="11011" xr:uid="{47D1EC3F-4A17-4809-B136-25E348F49427}"/>
    <cellStyle name="Akzent6 21 2 2" xfId="30448" xr:uid="{2B45CD82-31DB-4335-9E05-D53EC97127DE}"/>
    <cellStyle name="Akzent6 21 3" xfId="30447" xr:uid="{E1F181E9-7BB2-44EA-9D2E-C1FD8A738454}"/>
    <cellStyle name="Akzent6 22" xfId="11012" xr:uid="{3B9BF5B1-A512-4988-8E9C-5A26ADD987F4}"/>
    <cellStyle name="Akzent6 22 2" xfId="11013" xr:uid="{CD131FA6-1C61-4C95-9E20-25A3924508B8}"/>
    <cellStyle name="Akzent6 22 2 2" xfId="30450" xr:uid="{3E39A4CD-6A1C-446D-946B-DC1C4DC29148}"/>
    <cellStyle name="Akzent6 22 3" xfId="30449" xr:uid="{F0C7204E-4B6C-42CA-A3E1-66BC44C05AFC}"/>
    <cellStyle name="Akzent6 23" xfId="11014" xr:uid="{1142AFC5-2A4F-457B-A6FF-B58D7E8EEBCB}"/>
    <cellStyle name="Akzent6 23 2" xfId="11015" xr:uid="{D3812AAA-A809-41A7-A502-2DFF57D05C06}"/>
    <cellStyle name="Akzent6 23 2 2" xfId="30452" xr:uid="{41141085-C138-4409-8DB4-80AF88FC1717}"/>
    <cellStyle name="Akzent6 23 3" xfId="30451" xr:uid="{E7B12FCE-BC2A-4F57-8B2A-578194CEAE6A}"/>
    <cellStyle name="Akzent6 24" xfId="11016" xr:uid="{1CCDE488-78BF-4D1C-A7D6-930CF57B03DC}"/>
    <cellStyle name="Akzent6 24 2" xfId="11017" xr:uid="{C64C3AAE-CECA-4781-B03A-9BA7AC190F42}"/>
    <cellStyle name="Akzent6 24 2 2" xfId="30454" xr:uid="{A6EBEEAC-61E5-4E19-B7A0-6A76D7BB0734}"/>
    <cellStyle name="Akzent6 24 3" xfId="30453" xr:uid="{7C5B25AF-E2AD-4555-A9CD-5CB9DEF6BC4B}"/>
    <cellStyle name="Akzent6 25" xfId="11018" xr:uid="{99B4CA47-D75A-462D-8637-053EC640E357}"/>
    <cellStyle name="Akzent6 25 2" xfId="11019" xr:uid="{C20A6DDB-F8D3-4585-9EB1-9A208765B4EE}"/>
    <cellStyle name="Akzent6 25 2 2" xfId="30456" xr:uid="{3EADB3BD-F9AA-428D-9869-48EF46C7084C}"/>
    <cellStyle name="Akzent6 25 3" xfId="30455" xr:uid="{90C0AAAC-8E12-4E97-8C80-C7D23ACCEAD0}"/>
    <cellStyle name="Akzent6 26" xfId="11020" xr:uid="{3D797EA0-7CCB-4669-87A8-0DC958527E99}"/>
    <cellStyle name="Akzent6 26 2" xfId="11021" xr:uid="{4334485F-C84B-400F-B504-252071C6A95C}"/>
    <cellStyle name="Akzent6 26 2 2" xfId="30458" xr:uid="{4AFD0DB5-0FBC-4DA4-8BEC-728BF06632F1}"/>
    <cellStyle name="Akzent6 26 3" xfId="30457" xr:uid="{A552E39D-6208-431D-ADEF-F54B42B7B059}"/>
    <cellStyle name="Akzent6 27" xfId="11022" xr:uid="{C97E79FE-D912-4BB1-B3C4-82B7B2029688}"/>
    <cellStyle name="Akzent6 27 2" xfId="11023" xr:uid="{6DCABA83-1787-440C-B28D-0FA95C1C6CAA}"/>
    <cellStyle name="Akzent6 27 2 2" xfId="30460" xr:uid="{EFEDEFEA-8958-4F71-9495-3585802B2B78}"/>
    <cellStyle name="Akzent6 27 3" xfId="30459" xr:uid="{3C6998DC-CE44-4D9D-8212-5F6CB736DD8E}"/>
    <cellStyle name="Akzent6 28" xfId="11024" xr:uid="{CE177545-F44C-4103-9D84-5A9172970C82}"/>
    <cellStyle name="Akzent6 28 2" xfId="11025" xr:uid="{CC9D05CD-6D69-4397-9832-E43AFE885BD5}"/>
    <cellStyle name="Akzent6 28 2 2" xfId="30462" xr:uid="{C053EBD1-FDAB-455D-8F74-CF833C7B1B38}"/>
    <cellStyle name="Akzent6 28 3" xfId="30461" xr:uid="{FD4A12DB-E2DF-4D3A-845E-1F4A8BBC88FB}"/>
    <cellStyle name="Akzent6 29" xfId="11026" xr:uid="{0692AF7E-6BD3-4234-872F-5268BAB17FBC}"/>
    <cellStyle name="Akzent6 29 2" xfId="11027" xr:uid="{A9B52F74-5CB0-4517-BD07-28A5DCAE7DB8}"/>
    <cellStyle name="Akzent6 29 2 2" xfId="30464" xr:uid="{7D0DF446-A707-487A-BFCC-F5204E3E8C72}"/>
    <cellStyle name="Akzent6 29 3" xfId="30463" xr:uid="{05C59F50-F8A8-4DC7-B4AB-1BCBBD462608}"/>
    <cellStyle name="Akzent6 3" xfId="11028" xr:uid="{D6BAC5A4-582A-49D9-BFD6-64C76506B644}"/>
    <cellStyle name="Akzent6 3 10" xfId="39402" xr:uid="{DE6CAC51-B616-4874-9F14-B492C242CC65}"/>
    <cellStyle name="Akzent6 3 2" xfId="11029" xr:uid="{28C33698-E138-4432-9537-DC49E8793F1B}"/>
    <cellStyle name="Akzent6 3 2 2" xfId="11030" xr:uid="{D9C8A0BD-BA79-4EF0-A008-FB7A68A0BD1C}"/>
    <cellStyle name="Akzent6 3 2 2 2" xfId="11031" xr:uid="{5A308618-FED2-4AAB-BB43-B5C2EBDA1ED9}"/>
    <cellStyle name="Akzent6 3 2 2 2 2" xfId="30468" xr:uid="{DD1B17BF-0569-455F-874D-321AAFC26785}"/>
    <cellStyle name="Akzent6 3 2 2 3" xfId="30467" xr:uid="{45EA4551-2B11-4329-AC8D-1FFCA9C6516D}"/>
    <cellStyle name="Akzent6 3 2 3" xfId="11032" xr:uid="{2AFD7BA5-8927-4AE1-B718-40BD6F2F66D3}"/>
    <cellStyle name="Akzent6 3 2 3 2" xfId="30469" xr:uid="{1A935466-0F68-4712-822D-E5D528B1E3A2}"/>
    <cellStyle name="Akzent6 3 2 4" xfId="11033" xr:uid="{02727E77-6B1D-49D4-8803-E3F8E4A7CE32}"/>
    <cellStyle name="Akzent6 3 2 4 2" xfId="30470" xr:uid="{6E54CBBF-8C30-44D7-A280-2B8F06ED43D5}"/>
    <cellStyle name="Akzent6 3 2 5" xfId="30466" xr:uid="{0E6C336C-15B1-466D-BF93-572A2B3D78CC}"/>
    <cellStyle name="Akzent6 3 2 6" xfId="39994" xr:uid="{CF1BCCC8-4710-41CD-BA3C-7D47F23C218D}"/>
    <cellStyle name="Akzent6 3 3" xfId="11034" xr:uid="{3FFFC325-16D2-46F0-B53E-D305EC9D0E39}"/>
    <cellStyle name="Akzent6 3 3 2" xfId="30471" xr:uid="{504C7B7B-2983-4169-953D-4DDA2783D3DA}"/>
    <cellStyle name="Akzent6 3 4" xfId="11035" xr:uid="{E996D309-122D-4DBE-9199-BEA032C45BDC}"/>
    <cellStyle name="Akzent6 3 4 2" xfId="30472" xr:uid="{A30FC320-29F0-462F-9056-CA7EB7382F24}"/>
    <cellStyle name="Akzent6 3 5" xfId="11036" xr:uid="{935C6659-A927-404F-8857-CB08F2B8FCDF}"/>
    <cellStyle name="Akzent6 3 5 2" xfId="11037" xr:uid="{6348329F-D87A-4086-99F1-C2D9DF92A7E5}"/>
    <cellStyle name="Akzent6 3 5 2 2" xfId="30474" xr:uid="{4220031A-5E65-415E-A1FA-2D7AFAA46298}"/>
    <cellStyle name="Akzent6 3 5 3" xfId="30473" xr:uid="{C1FE59C1-30E2-47F4-8263-FD4FB256CD25}"/>
    <cellStyle name="Akzent6 3 6" xfId="11038" xr:uid="{90FCF293-7135-46EF-A9AF-DC86CED228FC}"/>
    <cellStyle name="Akzent6 3 6 2" xfId="30475" xr:uid="{8F59BC31-1AD0-48F6-87F2-AEEDA28A9F56}"/>
    <cellStyle name="Akzent6 3 7" xfId="11039" xr:uid="{EF89A153-26AB-40C2-99B6-4E341B7CEB53}"/>
    <cellStyle name="Akzent6 3 7 2" xfId="30476" xr:uid="{B1309997-3F3E-48E7-9550-EFE67408813A}"/>
    <cellStyle name="Akzent6 3 8" xfId="11040" xr:uid="{EE07DD35-12E9-4C45-92FA-A57D5F669090}"/>
    <cellStyle name="Akzent6 3 8 2" xfId="30477" xr:uid="{315F2ABD-95AB-435E-9810-6C7F0C693F02}"/>
    <cellStyle name="Akzent6 3 9" xfId="30465" xr:uid="{5B061FFF-05EF-4F3E-888B-3C054B85341D}"/>
    <cellStyle name="Akzent6 30" xfId="11041" xr:uid="{F04D56AE-6079-42F6-91E9-451769709588}"/>
    <cellStyle name="Akzent6 30 2" xfId="11042" xr:uid="{5D98E555-F21D-4C9A-820A-A31F07680DB5}"/>
    <cellStyle name="Akzent6 30 2 2" xfId="30479" xr:uid="{B5034770-1586-4A9A-A663-E751AE1E81E7}"/>
    <cellStyle name="Akzent6 30 3" xfId="30478" xr:uid="{46489677-EC7E-4930-8A5A-F92F1C73FABE}"/>
    <cellStyle name="Akzent6 31" xfId="11043" xr:uid="{04673E99-33EB-485D-8257-8EC33BD56B43}"/>
    <cellStyle name="Akzent6 31 2" xfId="11044" xr:uid="{6511A93D-0770-4EBF-8A9E-3ABF5D42358A}"/>
    <cellStyle name="Akzent6 31 2 2" xfId="30481" xr:uid="{6AC619CB-104B-4C8A-8335-FA022404E96C}"/>
    <cellStyle name="Akzent6 31 3" xfId="30480" xr:uid="{CCC48365-8D4F-4352-B281-1587702BE7A7}"/>
    <cellStyle name="Akzent6 32" xfId="11045" xr:uid="{DD204A25-A3E3-47AF-9AA9-7480DC9C7B8E}"/>
    <cellStyle name="Akzent6 32 2" xfId="11046" xr:uid="{61DFE5BA-18AF-46B4-8E4E-677E3F8171CB}"/>
    <cellStyle name="Akzent6 32 2 2" xfId="30483" xr:uid="{D909AE7E-ACC6-4DD8-A63A-B0BE8D9653E9}"/>
    <cellStyle name="Akzent6 32 3" xfId="30482" xr:uid="{3977944A-05E1-4EA6-8947-F182CCF2A055}"/>
    <cellStyle name="Akzent6 33" xfId="11047" xr:uid="{F5842C44-8A4D-45DB-8B79-0160CD6B6C08}"/>
    <cellStyle name="Akzent6 33 2" xfId="11048" xr:uid="{E743D03E-3C51-40CB-9FCB-3D9E4A60B442}"/>
    <cellStyle name="Akzent6 33 2 2" xfId="30485" xr:uid="{DCB7290E-7789-488C-B786-2B239469853E}"/>
    <cellStyle name="Akzent6 33 3" xfId="30484" xr:uid="{AED0D21C-BEEB-4923-A99C-7081AD010521}"/>
    <cellStyle name="Akzent6 34" xfId="11049" xr:uid="{B758C837-BA20-4086-8962-3E012A15E8E9}"/>
    <cellStyle name="Akzent6 34 2" xfId="11050" xr:uid="{A58064C5-2D20-44CF-9D4F-F1AFC4DC898A}"/>
    <cellStyle name="Akzent6 34 2 2" xfId="30487" xr:uid="{CEF619F4-6301-48CD-8122-249D2F2621C4}"/>
    <cellStyle name="Akzent6 34 3" xfId="30486" xr:uid="{E8CF3454-576C-4760-991B-97965B486095}"/>
    <cellStyle name="Akzent6 35" xfId="11051" xr:uid="{8933EF3B-6D19-49D1-BE19-031A374C72E8}"/>
    <cellStyle name="Akzent6 35 2" xfId="11052" xr:uid="{4DFB5846-F5BE-4160-95BE-5BDA1E329536}"/>
    <cellStyle name="Akzent6 35 2 2" xfId="30489" xr:uid="{235A5234-F5A7-4C6F-BB7F-6E8EA0BCEAB6}"/>
    <cellStyle name="Akzent6 35 3" xfId="30488" xr:uid="{39EAB99F-2C3C-47D0-9841-78B7B2D5CC84}"/>
    <cellStyle name="Akzent6 36" xfId="11053" xr:uid="{0EF93BF0-C375-4B8B-ADBE-41BE07E29B5E}"/>
    <cellStyle name="Akzent6 36 2" xfId="11054" xr:uid="{C6FF3D98-7AEC-46F9-892E-000C7DA92E42}"/>
    <cellStyle name="Akzent6 36 2 2" xfId="30491" xr:uid="{634064EC-536E-4F3E-ADEB-2E1347136F62}"/>
    <cellStyle name="Akzent6 36 3" xfId="30490" xr:uid="{FD4713A0-4C43-47DA-9681-98141264064B}"/>
    <cellStyle name="Akzent6 37" xfId="30365" xr:uid="{DA65FB11-1EE3-4222-8E67-56D2E12B7B75}"/>
    <cellStyle name="Akzent6 38" xfId="10928" xr:uid="{B46DFBBA-2247-467E-9539-9DF692334633}"/>
    <cellStyle name="Akzent6 4" xfId="11055" xr:uid="{A8A40D49-0EEA-497D-9B34-07FA85ECE191}"/>
    <cellStyle name="Akzent6 4 2" xfId="11056" xr:uid="{85DF6E8F-A459-4471-ADEB-EBF60D24FE6F}"/>
    <cellStyle name="Akzent6 4 2 2" xfId="11057" xr:uid="{FFDDFF80-9EF1-4CFF-B905-3D76353F070A}"/>
    <cellStyle name="Akzent6 4 2 2 2" xfId="30494" xr:uid="{A8D77FA9-79DC-42CB-BDFA-753BE9397478}"/>
    <cellStyle name="Akzent6 4 2 3" xfId="30493" xr:uid="{A52F1E95-88E2-4FA6-87BF-A3598992ABF9}"/>
    <cellStyle name="Akzent6 4 2 4" xfId="39995" xr:uid="{E5A63607-D86C-46A7-94A2-07A091EAA526}"/>
    <cellStyle name="Akzent6 4 3" xfId="11058" xr:uid="{374C222E-395B-4819-A264-91F1C88465D8}"/>
    <cellStyle name="Akzent6 4 3 2" xfId="30495" xr:uid="{F56BBC6E-26C4-4856-AB26-19FE7613B467}"/>
    <cellStyle name="Akzent6 4 4" xfId="11059" xr:uid="{F2350984-4B59-41D2-A9F9-ECF8595248C1}"/>
    <cellStyle name="Akzent6 4 4 2" xfId="30496" xr:uid="{B4A93E9A-BEF0-4B61-9662-DDA88A8A05AE}"/>
    <cellStyle name="Akzent6 4 5" xfId="11060" xr:uid="{5439E27A-3875-4B24-92C7-22F31BEEBA46}"/>
    <cellStyle name="Akzent6 4 5 2" xfId="30497" xr:uid="{390FF0F4-D33A-41A8-BA9D-86BA2BA1B036}"/>
    <cellStyle name="Akzent6 4 6" xfId="11061" xr:uid="{91508AA2-30E1-4450-B1EB-C37C8B9793BD}"/>
    <cellStyle name="Akzent6 4 6 2" xfId="30498" xr:uid="{6AB7752C-A789-429D-9556-F731C9E98B47}"/>
    <cellStyle name="Akzent6 4 7" xfId="30492" xr:uid="{70F0B17F-9FF6-4FC6-8CFA-0CFAE5849F18}"/>
    <cellStyle name="Akzent6 4 8" xfId="39403" xr:uid="{5AEED87F-2318-4A4F-BCB9-D679EA465A2D}"/>
    <cellStyle name="Akzent6 5" xfId="11062" xr:uid="{B1B3DED3-AC28-40D7-8E2E-4BEBDBD10626}"/>
    <cellStyle name="Akzent6 5 2" xfId="11063" xr:uid="{9F3F20BB-11A8-4824-8FC8-A65AB6E1A214}"/>
    <cellStyle name="Akzent6 5 2 2" xfId="30500" xr:uid="{20981042-BE28-4F9A-9C1F-93ACFE6B6B56}"/>
    <cellStyle name="Akzent6 5 3" xfId="11064" xr:uid="{B5BEC286-C609-4D70-9BF6-A270E4C1827C}"/>
    <cellStyle name="Akzent6 5 3 2" xfId="30501" xr:uid="{35061043-B6AD-40F7-9F5D-0F96BC614F50}"/>
    <cellStyle name="Akzent6 5 4" xfId="11065" xr:uid="{3D548321-CB78-476C-B77C-B425A804E915}"/>
    <cellStyle name="Akzent6 5 4 2" xfId="30502" xr:uid="{72645351-293B-4A3B-A1F3-8FAB530E1272}"/>
    <cellStyle name="Akzent6 5 5" xfId="30499" xr:uid="{BC9A0C29-9AAA-4E8E-A82D-7E345509CF5B}"/>
    <cellStyle name="Akzent6 5 6" xfId="39404" xr:uid="{F9BF913B-EA10-455C-B189-D8DAC594EE96}"/>
    <cellStyle name="Akzent6 6" xfId="11066" xr:uid="{155F607F-96DD-4C01-ADF3-68199E726012}"/>
    <cellStyle name="Akzent6 6 2" xfId="11067" xr:uid="{8286BA51-46D7-4863-AD57-649B25FFD75C}"/>
    <cellStyle name="Akzent6 6 2 2" xfId="30504" xr:uid="{3D1F09DF-30A4-4778-B27C-947806E23D06}"/>
    <cellStyle name="Akzent6 6 3" xfId="11068" xr:uid="{14090AC9-2340-4320-9EF7-5B00ACABF468}"/>
    <cellStyle name="Akzent6 6 3 2" xfId="30505" xr:uid="{2D8FEC2E-EF0D-4357-A903-0E26319FB4F4}"/>
    <cellStyle name="Akzent6 6 4" xfId="11069" xr:uid="{20199A95-7C7D-4435-A842-0848A62E8C9F}"/>
    <cellStyle name="Akzent6 6 4 2" xfId="30506" xr:uid="{9194F20A-8BDD-4F7B-957E-724AEB3B33F4}"/>
    <cellStyle name="Akzent6 6 5" xfId="30503" xr:uid="{BC7193E5-1362-4D71-B338-4F0CCC57F0F8}"/>
    <cellStyle name="Akzent6 6 6" xfId="39399" xr:uid="{992D530B-8976-4DFE-B477-BE7B80748679}"/>
    <cellStyle name="Akzent6 7" xfId="11070" xr:uid="{78BC5BCA-002F-4351-868B-195ECE863065}"/>
    <cellStyle name="Akzent6 7 2" xfId="11071" xr:uid="{3A71A75E-EAAC-4902-86C3-FCFED6A4B818}"/>
    <cellStyle name="Akzent6 7 2 2" xfId="30508" xr:uid="{9B3ECA7A-3614-47B2-9136-48C07066E843}"/>
    <cellStyle name="Akzent6 7 3" xfId="30507" xr:uid="{FB2B43BD-9EBF-425D-B9B9-DF510B96360F}"/>
    <cellStyle name="Akzent6 8" xfId="11072" xr:uid="{C60D8118-5586-4F1B-8738-BA8D256EE92D}"/>
    <cellStyle name="Akzent6 8 2" xfId="11073" xr:uid="{5E1779FA-002C-4B2B-9F70-9A03E02B6769}"/>
    <cellStyle name="Akzent6 8 2 2" xfId="30510" xr:uid="{6908E650-FE0A-4A1C-8621-184A7842C277}"/>
    <cellStyle name="Akzent6 8 3" xfId="30509" xr:uid="{30F89190-EC7D-4096-A550-980CF4282184}"/>
    <cellStyle name="Akzent6 9" xfId="11074" xr:uid="{546B67CB-DE74-40DD-8472-547E8FFA579B}"/>
    <cellStyle name="Akzent6 9 2" xfId="11075" xr:uid="{E5048E59-5738-4967-9D71-0AED3ACF47DF}"/>
    <cellStyle name="Akzent6 9 2 2" xfId="30512" xr:uid="{B21D2956-A06A-434D-A1EB-144DFEEE940E}"/>
    <cellStyle name="Akzent6 9 3" xfId="30511" xr:uid="{F27404F7-9BEC-46DB-AEA8-9EEB57F32B22}"/>
    <cellStyle name="Ausgabe 10" xfId="11077" xr:uid="{C8C37E75-DA54-4F54-B4BF-A5CAEBA00F89}"/>
    <cellStyle name="Ausgabe 10 2" xfId="11078" xr:uid="{EE2C409F-1605-4477-A5C6-DEA467C35AC3}"/>
    <cellStyle name="Ausgabe 10 2 2" xfId="30515" xr:uid="{8EA36527-1A63-4935-A0FA-9C014C922A08}"/>
    <cellStyle name="Ausgabe 10 3" xfId="30514" xr:uid="{3B394815-3F8E-47CF-B035-2CA7FECADB99}"/>
    <cellStyle name="Ausgabe 11" xfId="11079" xr:uid="{FB3CB3B1-F467-4DDF-AD34-3E126669B843}"/>
    <cellStyle name="Ausgabe 11 2" xfId="11080" xr:uid="{770D7028-9A9E-4012-8406-C0059145BD56}"/>
    <cellStyle name="Ausgabe 11 2 2" xfId="30517" xr:uid="{F935A64E-49E8-41FE-A282-161964B1E334}"/>
    <cellStyle name="Ausgabe 11 3" xfId="30516" xr:uid="{27D8BFC2-806D-41F6-90BD-014B7CCBE418}"/>
    <cellStyle name="Ausgabe 12" xfId="11081" xr:uid="{52087FF9-00E9-4F0C-8CBC-7DCA30917208}"/>
    <cellStyle name="Ausgabe 12 2" xfId="11082" xr:uid="{B9D659B0-F501-4885-953D-74976491CBF6}"/>
    <cellStyle name="Ausgabe 12 2 2" xfId="30519" xr:uid="{1E7D2010-D86C-42BF-A709-81CEF3AA3DD4}"/>
    <cellStyle name="Ausgabe 12 3" xfId="30518" xr:uid="{48C3A9D5-85EC-4DC7-9494-40317CBBE650}"/>
    <cellStyle name="Ausgabe 13" xfId="11083" xr:uid="{99056691-8165-4951-BFA2-D869B977BD65}"/>
    <cellStyle name="Ausgabe 13 2" xfId="11084" xr:uid="{8D03F3B0-97B1-4DAD-A9ED-EF176C963E57}"/>
    <cellStyle name="Ausgabe 13 2 2" xfId="30521" xr:uid="{DDB52478-1E9C-4BD5-AB68-8ECBA2445E46}"/>
    <cellStyle name="Ausgabe 13 3" xfId="30520" xr:uid="{D4733387-ED3A-46D9-B0D7-61F3C7C13F22}"/>
    <cellStyle name="Ausgabe 14" xfId="11085" xr:uid="{EC8244C6-8ECE-4A0D-A80D-46D966DB63B6}"/>
    <cellStyle name="Ausgabe 14 2" xfId="11086" xr:uid="{5BB7EFB4-BF4C-4F7F-BC16-EBB29041F867}"/>
    <cellStyle name="Ausgabe 14 2 2" xfId="30523" xr:uid="{32CB355D-2FBB-4193-BA80-8D3D246763FC}"/>
    <cellStyle name="Ausgabe 14 3" xfId="30522" xr:uid="{6B10F9AB-F1DC-4E10-B73C-62ADB51F09EE}"/>
    <cellStyle name="Ausgabe 15" xfId="11087" xr:uid="{76C850E0-F8D0-4DE0-B643-7F3E713FCCF1}"/>
    <cellStyle name="Ausgabe 15 2" xfId="11088" xr:uid="{9560AFB2-7B67-47FD-9556-7E288548FDA4}"/>
    <cellStyle name="Ausgabe 15 2 2" xfId="30525" xr:uid="{FC406DC7-1FB9-45C6-A225-097C2E226BA9}"/>
    <cellStyle name="Ausgabe 15 3" xfId="30524" xr:uid="{9DC904A9-96C9-4231-8CD3-6B2B0BD2C390}"/>
    <cellStyle name="Ausgabe 16" xfId="11089" xr:uid="{45252C6D-C0DB-40CB-B066-6791B293861D}"/>
    <cellStyle name="Ausgabe 16 2" xfId="11090" xr:uid="{EC182E7F-19A4-4FE6-B205-91E296411B65}"/>
    <cellStyle name="Ausgabe 16 2 2" xfId="30527" xr:uid="{B787525B-0E75-4C53-A94A-EB88BEE12E2A}"/>
    <cellStyle name="Ausgabe 16 3" xfId="30526" xr:uid="{26D61782-E7E0-4C05-B7C6-12B5BF558932}"/>
    <cellStyle name="Ausgabe 17" xfId="11091" xr:uid="{F2F32E03-489C-4A9E-A6C2-218850B9FB5F}"/>
    <cellStyle name="Ausgabe 17 2" xfId="11092" xr:uid="{8F617B1F-AE9C-4516-A944-64D731815637}"/>
    <cellStyle name="Ausgabe 17 2 2" xfId="30529" xr:uid="{3A37EE18-1D40-459D-9CCE-7216D739D594}"/>
    <cellStyle name="Ausgabe 17 3" xfId="30528" xr:uid="{5E227BB8-A8BE-4A88-9110-3BA2BBC29BDF}"/>
    <cellStyle name="Ausgabe 18" xfId="11093" xr:uid="{89AB26EA-2D50-4296-94A2-8ECA62301DDD}"/>
    <cellStyle name="Ausgabe 18 2" xfId="11094" xr:uid="{11A32A2B-5B08-4157-8D06-63CB74CEDB0E}"/>
    <cellStyle name="Ausgabe 18 2 2" xfId="30531" xr:uid="{E44F6403-E22C-4C63-9F78-17A591FE2702}"/>
    <cellStyle name="Ausgabe 18 3" xfId="30530" xr:uid="{7772DA54-CCA1-4DDA-A0F9-4D26F1FFBC13}"/>
    <cellStyle name="Ausgabe 19" xfId="11095" xr:uid="{AC2BF8FE-7B06-42F3-9F4E-A66386C83A5E}"/>
    <cellStyle name="Ausgabe 19 2" xfId="11096" xr:uid="{0ABF2649-6AE4-4B53-B5BA-87388E029D70}"/>
    <cellStyle name="Ausgabe 19 2 2" xfId="30533" xr:uid="{C6D41269-3C5A-46E7-B865-C05CA371DA66}"/>
    <cellStyle name="Ausgabe 19 3" xfId="30532" xr:uid="{0B3FD325-DCCC-4605-B011-75690895E2B0}"/>
    <cellStyle name="Ausgabe 2" xfId="11097" xr:uid="{52A6ADE6-B215-4259-A5F9-394D584E8BC7}"/>
    <cellStyle name="Ausgabe 2 10" xfId="11098" xr:uid="{FFC3493A-9217-4D35-ADDE-50ED812D65F2}"/>
    <cellStyle name="Ausgabe 2 10 2" xfId="30535" xr:uid="{83F93CB9-958A-4B53-A1A1-0402BF92E314}"/>
    <cellStyle name="Ausgabe 2 11" xfId="11099" xr:uid="{121D53CE-5B40-403A-A2FF-B99769A9FA6F}"/>
    <cellStyle name="Ausgabe 2 11 2" xfId="30536" xr:uid="{0623DB20-E4E9-48EE-96F2-455F45CACB3D}"/>
    <cellStyle name="Ausgabe 2 12" xfId="11100" xr:uid="{6F9357AF-C6ED-4118-ADF7-AB72BEB0641D}"/>
    <cellStyle name="Ausgabe 2 12 2" xfId="30537" xr:uid="{433FADCE-09F7-4972-A75B-187C372C84B7}"/>
    <cellStyle name="Ausgabe 2 13" xfId="11101" xr:uid="{1E24B1FB-FAD7-49E7-9B77-521E1359930B}"/>
    <cellStyle name="Ausgabe 2 13 2" xfId="30538" xr:uid="{954E5E22-B099-4E1D-9592-0E40D0BDCC7D}"/>
    <cellStyle name="Ausgabe 2 14" xfId="11102" xr:uid="{21E8E0C5-B908-4E81-A179-2F1757D71745}"/>
    <cellStyle name="Ausgabe 2 14 2" xfId="30539" xr:uid="{7C32C63A-3BC4-4EDC-BFFA-C2DF2E544A25}"/>
    <cellStyle name="Ausgabe 2 15" xfId="30534" xr:uid="{DB18C753-C6DE-42C9-A495-880783972A7F}"/>
    <cellStyle name="Ausgabe 2 16" xfId="39406" xr:uid="{CDE5B5ED-55FE-4FFE-9C98-2DFCD9BC456D}"/>
    <cellStyle name="Ausgabe 2 2" xfId="11103" xr:uid="{66BB7286-FB2F-4983-A42F-4CC2DC7BF0A0}"/>
    <cellStyle name="Ausgabe 2 2 10" xfId="11104" xr:uid="{6F9B730E-3C9D-48C7-8FDA-D855DFF97E8E}"/>
    <cellStyle name="Ausgabe 2 2 10 2" xfId="30541" xr:uid="{236DE9AB-AD6B-42F1-A4BD-B9ABC13693DA}"/>
    <cellStyle name="Ausgabe 2 2 11" xfId="11105" xr:uid="{79F0AE87-6FEE-4230-87A5-AE9C9B0E0559}"/>
    <cellStyle name="Ausgabe 2 2 11 2" xfId="30542" xr:uid="{481B928F-019E-4F41-B857-E43473039827}"/>
    <cellStyle name="Ausgabe 2 2 12" xfId="11106" xr:uid="{31225CA1-2425-4C83-AAC9-7DBD59B144CA}"/>
    <cellStyle name="Ausgabe 2 2 12 2" xfId="30543" xr:uid="{011C38E8-F99E-4EF9-9FE8-021FD2CF791A}"/>
    <cellStyle name="Ausgabe 2 2 13" xfId="30540" xr:uid="{FDBA8D4D-D9AF-425C-B334-1A6C944BBCCE}"/>
    <cellStyle name="Ausgabe 2 2 14" xfId="39407" xr:uid="{7A1AA7F3-DFC7-4652-8AFD-1B8DF45D7D2D}"/>
    <cellStyle name="Ausgabe 2 2 2" xfId="11107" xr:uid="{0F4E4918-8C0F-4708-AC28-7C6A1F281BFF}"/>
    <cellStyle name="Ausgabe 2 2 2 10" xfId="11108" xr:uid="{993C58BB-EBBC-4E08-A023-1BD7D1203A70}"/>
    <cellStyle name="Ausgabe 2 2 2 10 2" xfId="30545" xr:uid="{052808D4-5885-48B0-9B84-8211104DB38B}"/>
    <cellStyle name="Ausgabe 2 2 2 11" xfId="30544" xr:uid="{3291D2AA-E5C5-494D-B706-75E2467B3F80}"/>
    <cellStyle name="Ausgabe 2 2 2 2" xfId="11109" xr:uid="{3EFD19A2-74EB-4614-A10F-8CFD8EFA5A92}"/>
    <cellStyle name="Ausgabe 2 2 2 2 2" xfId="11110" xr:uid="{FB94E718-EBA2-4499-8899-62D8D7DA6DD1}"/>
    <cellStyle name="Ausgabe 2 2 2 2 2 2" xfId="11111" xr:uid="{5586F89B-3A77-4784-803D-C1371C3196BC}"/>
    <cellStyle name="Ausgabe 2 2 2 2 2 2 2" xfId="11112" xr:uid="{21281305-9E4C-4DC6-A662-4EE9A2656921}"/>
    <cellStyle name="Ausgabe 2 2 2 2 2 2 2 2" xfId="30549" xr:uid="{730AB228-BA6A-45B8-B901-8E806C932BE6}"/>
    <cellStyle name="Ausgabe 2 2 2 2 2 2 3" xfId="30548" xr:uid="{085C056A-8AA0-491D-8103-9D711B458025}"/>
    <cellStyle name="Ausgabe 2 2 2 2 2 3" xfId="11113" xr:uid="{884248AE-D4A4-49D0-B28C-1BC4F6FA1C8D}"/>
    <cellStyle name="Ausgabe 2 2 2 2 2 3 2" xfId="30550" xr:uid="{E62DC583-00E4-4CAD-8AE0-F83968143172}"/>
    <cellStyle name="Ausgabe 2 2 2 2 2 4" xfId="11114" xr:uid="{98CF0A26-1BF5-4BFB-BFF9-F7207439975F}"/>
    <cellStyle name="Ausgabe 2 2 2 2 2 4 2" xfId="30551" xr:uid="{643638E6-01F9-4A38-B07F-DF3E3EC9E5A3}"/>
    <cellStyle name="Ausgabe 2 2 2 2 2 5" xfId="11115" xr:uid="{1AC5E754-DF7C-4905-875C-7ACB5FDBA82D}"/>
    <cellStyle name="Ausgabe 2 2 2 2 2 5 2" xfId="30552" xr:uid="{25D5E407-D904-4D58-9298-F09DA2BB631B}"/>
    <cellStyle name="Ausgabe 2 2 2 2 2 6" xfId="11116" xr:uid="{3F54BFDA-346A-41AD-8663-A4CFFB931BF1}"/>
    <cellStyle name="Ausgabe 2 2 2 2 2 6 2" xfId="30553" xr:uid="{54DA1219-D721-47C6-8A7F-A37C63D6A81D}"/>
    <cellStyle name="Ausgabe 2 2 2 2 2 7" xfId="11117" xr:uid="{AFE92080-771D-4B7C-B3DC-1FA7598DFB00}"/>
    <cellStyle name="Ausgabe 2 2 2 2 2 7 2" xfId="30554" xr:uid="{09F9C24C-332B-42CA-8880-E681C14409D6}"/>
    <cellStyle name="Ausgabe 2 2 2 2 2 8" xfId="11118" xr:uid="{E5BEA4A9-C95A-46AC-9045-264CA9919C61}"/>
    <cellStyle name="Ausgabe 2 2 2 2 2 8 2" xfId="30555" xr:uid="{DEC41D33-B677-4945-B690-B39E705EFC84}"/>
    <cellStyle name="Ausgabe 2 2 2 2 2 9" xfId="30547" xr:uid="{FA6DB8DF-E66E-4111-8F31-B704BF7FC6CD}"/>
    <cellStyle name="Ausgabe 2 2 2 2 3" xfId="11119" xr:uid="{BCAC14C5-7E80-44E3-8571-6C9E663455F1}"/>
    <cellStyle name="Ausgabe 2 2 2 2 3 2" xfId="11120" xr:uid="{D8FC7114-F827-4B66-A412-F58DA98FFBCF}"/>
    <cellStyle name="Ausgabe 2 2 2 2 3 2 2" xfId="30557" xr:uid="{5171829B-4B55-401A-B129-DEA080D37E4A}"/>
    <cellStyle name="Ausgabe 2 2 2 2 3 3" xfId="30556" xr:uid="{9994F0E7-9593-4979-BD40-2CE91FA552C1}"/>
    <cellStyle name="Ausgabe 2 2 2 2 4" xfId="11121" xr:uid="{FC6A7B69-0BE1-4E0D-A5C0-CCF9874429F2}"/>
    <cellStyle name="Ausgabe 2 2 2 2 4 2" xfId="30558" xr:uid="{D7D0D3A6-F35D-417E-B23D-DFEA05DB44A8}"/>
    <cellStyle name="Ausgabe 2 2 2 2 5" xfId="11122" xr:uid="{183A773D-A3CC-4CEC-9E70-601BC863A265}"/>
    <cellStyle name="Ausgabe 2 2 2 2 5 2" xfId="30559" xr:uid="{3206384C-1CE6-4C36-8C39-E4E070C0FFDD}"/>
    <cellStyle name="Ausgabe 2 2 2 2 6" xfId="11123" xr:uid="{99B22B7E-5D43-4D9A-A6F3-BC76F4CFCB08}"/>
    <cellStyle name="Ausgabe 2 2 2 2 6 2" xfId="30560" xr:uid="{92199175-AA86-42CE-8161-535F51A2D613}"/>
    <cellStyle name="Ausgabe 2 2 2 2 7" xfId="11124" xr:uid="{C91959BB-AD49-4795-B038-29976BFFE867}"/>
    <cellStyle name="Ausgabe 2 2 2 2 7 2" xfId="30561" xr:uid="{21290CCE-9828-45D8-AD46-88F8F511487E}"/>
    <cellStyle name="Ausgabe 2 2 2 2 8" xfId="11125" xr:uid="{3A183825-E51A-4826-8140-4E800BD8B09A}"/>
    <cellStyle name="Ausgabe 2 2 2 2 8 2" xfId="30562" xr:uid="{9DC02F28-483F-4205-80A3-A545CB4B4A17}"/>
    <cellStyle name="Ausgabe 2 2 2 2 9" xfId="30546" xr:uid="{8FC95047-7C14-4207-BA04-C573A8F54C67}"/>
    <cellStyle name="Ausgabe 2 2 2 3" xfId="11126" xr:uid="{404C9DF9-4BDC-4E35-941A-A7EC8F404D4C}"/>
    <cellStyle name="Ausgabe 2 2 2 3 2" xfId="30563" xr:uid="{23CD1B58-BF54-46B4-93C5-B0B645DD6286}"/>
    <cellStyle name="Ausgabe 2 2 2 4" xfId="11127" xr:uid="{7DF61DE0-28BB-49A1-9826-EFFB4ED84CF9}"/>
    <cellStyle name="Ausgabe 2 2 2 4 2" xfId="30564" xr:uid="{7E423A8A-4509-4CCF-9D43-3B033D835F89}"/>
    <cellStyle name="Ausgabe 2 2 2 5" xfId="11128" xr:uid="{666C86BC-850F-4A1D-977A-312690CC17AE}"/>
    <cellStyle name="Ausgabe 2 2 2 5 2" xfId="11129" xr:uid="{C8063420-F1D5-4B78-9799-EA7ABA6F7CC9}"/>
    <cellStyle name="Ausgabe 2 2 2 5 2 2" xfId="30566" xr:uid="{68B57F47-02EB-4837-AAE3-3FB3926450D6}"/>
    <cellStyle name="Ausgabe 2 2 2 5 3" xfId="30565" xr:uid="{6D80186F-B895-45BB-AFB0-445AB5E75CC8}"/>
    <cellStyle name="Ausgabe 2 2 2 6" xfId="11130" xr:uid="{1D5B7330-CDA8-4D96-887D-26D0D4F86E7C}"/>
    <cellStyle name="Ausgabe 2 2 2 6 2" xfId="30567" xr:uid="{A72CC141-0F59-4166-86CD-5E209F6F6ACF}"/>
    <cellStyle name="Ausgabe 2 2 2 7" xfId="11131" xr:uid="{5D1381F3-BB1B-4CC6-AFB0-CFF3A2F9AE01}"/>
    <cellStyle name="Ausgabe 2 2 2 7 2" xfId="30568" xr:uid="{0152D5C3-57EF-4B03-8390-543D2FA2B344}"/>
    <cellStyle name="Ausgabe 2 2 2 8" xfId="11132" xr:uid="{12AB3BE7-70F7-46CF-9A5A-E313AEFC324D}"/>
    <cellStyle name="Ausgabe 2 2 2 8 2" xfId="30569" xr:uid="{421EFC3F-CD5B-48B5-965F-DE9D894B8CE9}"/>
    <cellStyle name="Ausgabe 2 2 2 9" xfId="11133" xr:uid="{962C90BC-A85D-4DCE-8567-E2CA60D1227B}"/>
    <cellStyle name="Ausgabe 2 2 2 9 2" xfId="30570" xr:uid="{EA4240E1-F9DB-43AE-B715-F96073F3DC50}"/>
    <cellStyle name="Ausgabe 2 2 3" xfId="11134" xr:uid="{214E803A-1EBF-4480-9BA7-0894D122C7B3}"/>
    <cellStyle name="Ausgabe 2 2 3 2" xfId="30571" xr:uid="{7EE00F18-5C60-4AB1-B9DE-961F054AAE47}"/>
    <cellStyle name="Ausgabe 2 2 4" xfId="11135" xr:uid="{3061DDF9-A8C5-4C48-A98A-3EF4CCAB3621}"/>
    <cellStyle name="Ausgabe 2 2 4 2" xfId="30572" xr:uid="{1B9A7A2E-5AEF-4687-BC81-B6E357708E41}"/>
    <cellStyle name="Ausgabe 2 2 5" xfId="11136" xr:uid="{DF093774-DFC9-4EC0-9E2A-AC4E9A96A277}"/>
    <cellStyle name="Ausgabe 2 2 5 2" xfId="11137" xr:uid="{6C878910-D8ED-4AD6-8640-3906E59E0C98}"/>
    <cellStyle name="Ausgabe 2 2 5 2 2" xfId="30574" xr:uid="{796D3CC8-502A-45D6-8E74-D545FAE758BB}"/>
    <cellStyle name="Ausgabe 2 2 5 3" xfId="30573" xr:uid="{AF6EC45D-BF66-49E6-A9CC-D1267E8AC0C6}"/>
    <cellStyle name="Ausgabe 2 2 6" xfId="11138" xr:uid="{7869053A-8E38-427F-B067-0744B9A6972B}"/>
    <cellStyle name="Ausgabe 2 2 6 2" xfId="30575" xr:uid="{AAF3B4D0-4EA3-4446-98FA-20666DFF714B}"/>
    <cellStyle name="Ausgabe 2 2 7" xfId="11139" xr:uid="{500C467F-3E08-448B-BC7C-D2DFB5273B55}"/>
    <cellStyle name="Ausgabe 2 2 7 2" xfId="11140" xr:uid="{4E93497B-6D29-4864-BC22-940241D2DE45}"/>
    <cellStyle name="Ausgabe 2 2 7 2 2" xfId="30577" xr:uid="{AEC8BF35-70F7-4630-A153-F9129D97A611}"/>
    <cellStyle name="Ausgabe 2 2 7 3" xfId="30576" xr:uid="{29003D49-9A4B-4868-A529-294D72B2C5BB}"/>
    <cellStyle name="Ausgabe 2 2 8" xfId="11141" xr:uid="{CAB75C31-E574-4C70-829F-3E9202D0605E}"/>
    <cellStyle name="Ausgabe 2 2 8 2" xfId="30578" xr:uid="{39DB6C4A-42C8-4AB6-A0ED-EEC72A96A2D4}"/>
    <cellStyle name="Ausgabe 2 2 9" xfId="11142" xr:uid="{602397A2-93FB-44EB-842B-0A44BE674DB6}"/>
    <cellStyle name="Ausgabe 2 2 9 2" xfId="30579" xr:uid="{4073E71A-4EA1-4914-8FB5-581AA9B11796}"/>
    <cellStyle name="Ausgabe 2 3" xfId="11143" xr:uid="{571A38B5-798C-42B2-9B18-58908E27C41F}"/>
    <cellStyle name="Ausgabe 2 3 2" xfId="30580" xr:uid="{9256330B-9BAC-45BB-8261-CD29229F115D}"/>
    <cellStyle name="Ausgabe 2 4" xfId="11144" xr:uid="{D92332A7-262E-4B94-9C7D-4F7E10E2E755}"/>
    <cellStyle name="Ausgabe 2 4 2" xfId="11145" xr:uid="{79D5E33E-B144-4EC1-AEE1-2AC5260752B5}"/>
    <cellStyle name="Ausgabe 2 4 2 2" xfId="11146" xr:uid="{ADBD6894-43EB-4966-9B76-457F87B15E70}"/>
    <cellStyle name="Ausgabe 2 4 2 2 2" xfId="30583" xr:uid="{735A2A15-AF8F-4141-BA6E-75C9CAE21149}"/>
    <cellStyle name="Ausgabe 2 4 2 3" xfId="30582" xr:uid="{410403F0-05FA-49E3-A682-A0EE2F2A27A1}"/>
    <cellStyle name="Ausgabe 2 4 3" xfId="11147" xr:uid="{2C769CAD-00E2-4802-83F4-19DFCC203A5D}"/>
    <cellStyle name="Ausgabe 2 4 3 2" xfId="30584" xr:uid="{BCD92578-6D9C-4AF0-8A86-BAEAD0A2ABD1}"/>
    <cellStyle name="Ausgabe 2 4 4" xfId="11148" xr:uid="{143CA641-793E-415A-83D4-F13CED9E81D1}"/>
    <cellStyle name="Ausgabe 2 4 4 2" xfId="30585" xr:uid="{7D3F29E6-806A-4BC6-B37E-D879477432C3}"/>
    <cellStyle name="Ausgabe 2 4 5" xfId="30581" xr:uid="{84467EA9-F312-4897-9507-13DB8E3FF0FC}"/>
    <cellStyle name="Ausgabe 2 5" xfId="11149" xr:uid="{E78BF254-2DA7-4335-8464-83DBF2F953EB}"/>
    <cellStyle name="Ausgabe 2 5 2" xfId="30586" xr:uid="{A6297F38-AA14-492E-97AA-85CDDFA6ACB5}"/>
    <cellStyle name="Ausgabe 2 6" xfId="11150" xr:uid="{5A470F6E-BDA3-4C83-875B-4D6E0314A33D}"/>
    <cellStyle name="Ausgabe 2 6 2" xfId="11151" xr:uid="{E0A6A323-74B9-4C43-8557-F72652A99899}"/>
    <cellStyle name="Ausgabe 2 6 2 2" xfId="30588" xr:uid="{48A470C6-EEA4-4CF5-B288-D126ED6544E0}"/>
    <cellStyle name="Ausgabe 2 6 3" xfId="30587" xr:uid="{70B243CE-92BC-4005-88BC-A84EBDEB5237}"/>
    <cellStyle name="Ausgabe 2 7" xfId="11152" xr:uid="{90BC85CC-9A64-4345-A6E2-996A67739E53}"/>
    <cellStyle name="Ausgabe 2 7 2" xfId="30589" xr:uid="{1D5B26EF-FC1C-4857-A423-67516CA29441}"/>
    <cellStyle name="Ausgabe 2 8" xfId="11153" xr:uid="{4EB9BF17-8BF2-4C61-9330-77A4B9BDA80B}"/>
    <cellStyle name="Ausgabe 2 8 2" xfId="11154" xr:uid="{FB29A479-1A68-450C-BE76-E4EFCA664993}"/>
    <cellStyle name="Ausgabe 2 8 2 2" xfId="30591" xr:uid="{CAD709E6-A524-428B-94C3-BC31527CAAFC}"/>
    <cellStyle name="Ausgabe 2 8 3" xfId="30590" xr:uid="{E2E47CB6-4DFA-4342-8DA4-7209CBFE7D14}"/>
    <cellStyle name="Ausgabe 2 9" xfId="11155" xr:uid="{A64CB94B-9C26-4B5B-8D5B-8FB6ECA20142}"/>
    <cellStyle name="Ausgabe 2 9 2" xfId="30592" xr:uid="{2C077336-114C-4205-B9BD-69E424C8B505}"/>
    <cellStyle name="Ausgabe 20" xfId="11156" xr:uid="{02315A51-A727-4490-99DD-1D300255D7E5}"/>
    <cellStyle name="Ausgabe 20 2" xfId="11157" xr:uid="{2533E5BD-649B-49A3-9AFD-7AEE8D61C90C}"/>
    <cellStyle name="Ausgabe 20 2 2" xfId="30594" xr:uid="{1E12F786-0A2D-4D72-B008-D99D813C20B4}"/>
    <cellStyle name="Ausgabe 20 3" xfId="30593" xr:uid="{3B83E3E0-E1C7-4F5A-9548-337E58293B5F}"/>
    <cellStyle name="Ausgabe 21" xfId="11158" xr:uid="{0733A9B6-6426-4DD3-B024-C54E465263E4}"/>
    <cellStyle name="Ausgabe 21 2" xfId="11159" xr:uid="{DE4F3FA1-484D-4C57-95EF-FBA0DD88164C}"/>
    <cellStyle name="Ausgabe 21 2 2" xfId="30596" xr:uid="{3D63629C-D206-43BE-847F-AE06B586A9EF}"/>
    <cellStyle name="Ausgabe 21 3" xfId="30595" xr:uid="{1EC480AA-407B-46A3-8F14-28D3FBF60B28}"/>
    <cellStyle name="Ausgabe 22" xfId="11160" xr:uid="{F0A10D6F-D80A-49FA-885C-277BB642BE3D}"/>
    <cellStyle name="Ausgabe 22 2" xfId="11161" xr:uid="{DDACCE96-7CCC-415F-9E55-D966AA8B8BF4}"/>
    <cellStyle name="Ausgabe 22 2 2" xfId="30598" xr:uid="{7FCD7A05-7192-4CDD-8CBC-C2645212B821}"/>
    <cellStyle name="Ausgabe 22 3" xfId="30597" xr:uid="{94F98782-1126-4D6C-8513-A56DCC06F41F}"/>
    <cellStyle name="Ausgabe 23" xfId="11162" xr:uid="{49E165BD-3ABB-4F28-96F4-4EFCDA079D8D}"/>
    <cellStyle name="Ausgabe 23 2" xfId="11163" xr:uid="{F0A8234D-88B0-4A13-9226-EA1C6F842FD4}"/>
    <cellStyle name="Ausgabe 23 2 2" xfId="30600" xr:uid="{976FA6E3-1EA4-4D0D-B517-CEC24BC2C3E9}"/>
    <cellStyle name="Ausgabe 23 3" xfId="30599" xr:uid="{A0BB6ADD-1C31-4750-B219-C206883CA9E6}"/>
    <cellStyle name="Ausgabe 24" xfId="11164" xr:uid="{7EB8B53C-6828-4DDD-B1CE-345E3AB99C59}"/>
    <cellStyle name="Ausgabe 24 2" xfId="11165" xr:uid="{1D0E7632-700E-4EEB-8CA1-F137BBD52E7F}"/>
    <cellStyle name="Ausgabe 24 2 2" xfId="30602" xr:uid="{27E7F044-C200-4FFA-8014-F27703B4E838}"/>
    <cellStyle name="Ausgabe 24 3" xfId="30601" xr:uid="{5E7B594B-41FE-4455-A4D2-CA9F3A400BF7}"/>
    <cellStyle name="Ausgabe 25" xfId="11166" xr:uid="{A4C33866-8A80-494B-9CFF-417B07DDE4FA}"/>
    <cellStyle name="Ausgabe 25 2" xfId="11167" xr:uid="{0CCEF88B-8CF0-4DD4-8B2B-B01C934D3AFD}"/>
    <cellStyle name="Ausgabe 25 2 2" xfId="30604" xr:uid="{44BCC56B-5214-4A2B-82E1-7791F59BFEBB}"/>
    <cellStyle name="Ausgabe 25 3" xfId="30603" xr:uid="{547E843E-9C45-4B58-996A-522C8C4032BF}"/>
    <cellStyle name="Ausgabe 26" xfId="11168" xr:uid="{346D253C-FEF9-4220-8355-398865673D21}"/>
    <cellStyle name="Ausgabe 26 2" xfId="11169" xr:uid="{F4C8441C-4F6D-41FD-B603-CEFCED7D24E0}"/>
    <cellStyle name="Ausgabe 26 2 2" xfId="30606" xr:uid="{33BD8FAB-8056-4D87-BFE6-08984E34AFE3}"/>
    <cellStyle name="Ausgabe 26 3" xfId="30605" xr:uid="{8D7EF63B-6435-4374-A6EF-0248172D9D54}"/>
    <cellStyle name="Ausgabe 27" xfId="11170" xr:uid="{4254203E-B8F0-4B0A-85C9-3002A2C1CD9F}"/>
    <cellStyle name="Ausgabe 27 2" xfId="11171" xr:uid="{13DC956D-7309-4303-AD7A-772F3BFE1064}"/>
    <cellStyle name="Ausgabe 27 2 2" xfId="30608" xr:uid="{3299EC2C-6486-4CC6-A147-64769D122C3F}"/>
    <cellStyle name="Ausgabe 27 3" xfId="30607" xr:uid="{325211B7-1871-4550-BED0-02306844E97F}"/>
    <cellStyle name="Ausgabe 28" xfId="11172" xr:uid="{579969A1-21F9-4D50-8D48-778A82C65547}"/>
    <cellStyle name="Ausgabe 28 2" xfId="11173" xr:uid="{67354E48-33A1-4375-98EB-DFFB50E466AC}"/>
    <cellStyle name="Ausgabe 28 2 2" xfId="30610" xr:uid="{574E0058-867A-49EC-9947-61C579C0A675}"/>
    <cellStyle name="Ausgabe 28 3" xfId="30609" xr:uid="{7A506195-33BC-41A5-BECC-B1C4F4856425}"/>
    <cellStyle name="Ausgabe 29" xfId="11174" xr:uid="{F18B2B9F-F346-46CD-87DF-B036EF4B5E40}"/>
    <cellStyle name="Ausgabe 29 2" xfId="11175" xr:uid="{A081D211-6E87-4776-8EF2-1B6B6543831D}"/>
    <cellStyle name="Ausgabe 29 2 2" xfId="30612" xr:uid="{2D96A414-ED56-469A-B0AA-6CEE35D00B29}"/>
    <cellStyle name="Ausgabe 29 3" xfId="30611" xr:uid="{78CE0C51-DA72-44AE-9688-FD77FA180DEA}"/>
    <cellStyle name="Ausgabe 3" xfId="11176" xr:uid="{DC9D2CB1-2BF6-4B95-B686-814B841FD556}"/>
    <cellStyle name="Ausgabe 3 10" xfId="39408" xr:uid="{90041374-B36D-4C79-B181-179649436818}"/>
    <cellStyle name="Ausgabe 3 2" xfId="11177" xr:uid="{FD4CC5C5-98D6-4B82-92FD-846686447B2F}"/>
    <cellStyle name="Ausgabe 3 2 2" xfId="11178" xr:uid="{85E757D9-0427-4FCD-9005-DE0C5067D428}"/>
    <cellStyle name="Ausgabe 3 2 2 2" xfId="11179" xr:uid="{E07A9F6D-0B06-4F54-87E0-046CD4CA7829}"/>
    <cellStyle name="Ausgabe 3 2 2 2 2" xfId="30616" xr:uid="{BB1D32C1-F742-4C2D-AE09-2ED6ECCCFEAF}"/>
    <cellStyle name="Ausgabe 3 2 2 3" xfId="30615" xr:uid="{9D385B30-C98E-424D-99A6-F3C3B81E94BC}"/>
    <cellStyle name="Ausgabe 3 2 3" xfId="11180" xr:uid="{5BCD90B2-5F17-4F4B-91DC-B5010C98A3ED}"/>
    <cellStyle name="Ausgabe 3 2 3 2" xfId="30617" xr:uid="{05792A63-CEEB-4C9B-8068-E0609E086C73}"/>
    <cellStyle name="Ausgabe 3 2 4" xfId="11181" xr:uid="{F7EA222D-1784-4365-9314-7685D2B4580D}"/>
    <cellStyle name="Ausgabe 3 2 4 2" xfId="30618" xr:uid="{020C439F-0BAD-4C3B-AE37-8575AB908B93}"/>
    <cellStyle name="Ausgabe 3 2 5" xfId="30614" xr:uid="{DE59B53C-1129-4314-99F8-23CEE9E9AC16}"/>
    <cellStyle name="Ausgabe 3 2 6" xfId="39996" xr:uid="{BDB19A7B-AC5B-4064-850C-626BEF526B5A}"/>
    <cellStyle name="Ausgabe 3 3" xfId="11182" xr:uid="{DE73C21B-04F9-42C8-8D8D-F0A78EBA2241}"/>
    <cellStyle name="Ausgabe 3 3 2" xfId="30619" xr:uid="{81AE573A-CD94-4220-A3CB-FBD538071192}"/>
    <cellStyle name="Ausgabe 3 4" xfId="11183" xr:uid="{73FB7FB0-3F5F-44A3-BEFA-9D8F89C8B5A6}"/>
    <cellStyle name="Ausgabe 3 4 2" xfId="30620" xr:uid="{44E9E637-9C90-4033-857D-137D7B2B66A0}"/>
    <cellStyle name="Ausgabe 3 5" xfId="11184" xr:uid="{AB087EAD-0371-44B2-9DFD-4EB7222D892D}"/>
    <cellStyle name="Ausgabe 3 5 2" xfId="11185" xr:uid="{C3C63A47-8EE8-4054-B974-179A3823FBBD}"/>
    <cellStyle name="Ausgabe 3 5 2 2" xfId="30622" xr:uid="{A201D809-44C5-4CFE-B188-8D807F8D7AE1}"/>
    <cellStyle name="Ausgabe 3 5 3" xfId="30621" xr:uid="{1322D6F1-29C2-4BE5-9DA6-029A0596B350}"/>
    <cellStyle name="Ausgabe 3 6" xfId="11186" xr:uid="{A92E3DEF-286A-4955-95FB-5008B3682CDD}"/>
    <cellStyle name="Ausgabe 3 6 2" xfId="30623" xr:uid="{49F24349-DF7A-4498-9348-8196F6F25DDB}"/>
    <cellStyle name="Ausgabe 3 7" xfId="11187" xr:uid="{829E4123-80F7-47CD-8550-CB1535CCC74E}"/>
    <cellStyle name="Ausgabe 3 7 2" xfId="30624" xr:uid="{B680FA95-545C-4523-B7F1-BB03E840EBBB}"/>
    <cellStyle name="Ausgabe 3 8" xfId="11188" xr:uid="{9D435AE7-998F-4CA8-8C4F-B2F532ADA7A4}"/>
    <cellStyle name="Ausgabe 3 8 2" xfId="30625" xr:uid="{175F9BF9-A2BE-4EDF-8F80-43CFC8C41AE4}"/>
    <cellStyle name="Ausgabe 3 9" xfId="30613" xr:uid="{115C4710-BFC2-46C5-8F4C-427E2CF0134E}"/>
    <cellStyle name="Ausgabe 30" xfId="11189" xr:uid="{F6550D8E-481A-4FB1-95BE-FC2C3F140F03}"/>
    <cellStyle name="Ausgabe 30 2" xfId="11190" xr:uid="{3A07D0AA-9768-4B6E-B1D5-296637EBE71B}"/>
    <cellStyle name="Ausgabe 30 2 2" xfId="30627" xr:uid="{5913A101-C368-44C2-832E-3C44378DFBCE}"/>
    <cellStyle name="Ausgabe 30 3" xfId="30626" xr:uid="{4031FBE5-E5B8-4607-99CB-3325ECF9C55A}"/>
    <cellStyle name="Ausgabe 31" xfId="11191" xr:uid="{369A102E-A5A9-4291-B368-A50781142717}"/>
    <cellStyle name="Ausgabe 31 2" xfId="11192" xr:uid="{8006B724-087E-4116-8033-F73C073530FE}"/>
    <cellStyle name="Ausgabe 31 2 2" xfId="30629" xr:uid="{730CB058-7EA4-44DC-98AA-A8BE20877893}"/>
    <cellStyle name="Ausgabe 31 3" xfId="30628" xr:uid="{38E78103-A008-4596-926A-634B8213759C}"/>
    <cellStyle name="Ausgabe 32" xfId="11193" xr:uid="{87BB2C95-41DB-41EF-929D-C4676262166B}"/>
    <cellStyle name="Ausgabe 32 2" xfId="11194" xr:uid="{E7FBFA64-5BA1-4FB5-930D-741D1232DAC1}"/>
    <cellStyle name="Ausgabe 32 2 2" xfId="30631" xr:uid="{C2C73CCF-E611-4032-B0A6-5A6FBA933040}"/>
    <cellStyle name="Ausgabe 32 3" xfId="30630" xr:uid="{907E1D4A-FDE9-4CDB-88A0-6BCC339F5512}"/>
    <cellStyle name="Ausgabe 33" xfId="11195" xr:uid="{7CA7AF0B-B6AD-44BB-B9E0-B5C98B7D3542}"/>
    <cellStyle name="Ausgabe 33 2" xfId="11196" xr:uid="{6D7194A5-F782-4324-889D-378F88534EDF}"/>
    <cellStyle name="Ausgabe 33 2 2" xfId="30633" xr:uid="{77006B22-6F3B-4349-AC96-5968990B3CAA}"/>
    <cellStyle name="Ausgabe 33 3" xfId="30632" xr:uid="{CB22B4C5-2224-4C2E-83A8-23E9B7C682CE}"/>
    <cellStyle name="Ausgabe 34" xfId="11197" xr:uid="{DDB62F07-44C3-4A66-83FD-FDE917744617}"/>
    <cellStyle name="Ausgabe 34 2" xfId="11198" xr:uid="{CD211D4C-0EBF-4508-BF2A-88DDAA010B42}"/>
    <cellStyle name="Ausgabe 34 2 2" xfId="30635" xr:uid="{B0B38963-2F39-4B1E-906F-FC00243014AE}"/>
    <cellStyle name="Ausgabe 34 3" xfId="30634" xr:uid="{701CAF8A-59A0-4371-9978-25065C74E480}"/>
    <cellStyle name="Ausgabe 35" xfId="11199" xr:uid="{0E37BE4F-6899-4CD6-9F49-ED499B849F17}"/>
    <cellStyle name="Ausgabe 35 2" xfId="11200" xr:uid="{3DB327F7-3086-47FC-9E58-80B8162FFC0E}"/>
    <cellStyle name="Ausgabe 35 2 2" xfId="30637" xr:uid="{0E7EF78B-6A3B-4EA2-982E-EB69D2346571}"/>
    <cellStyle name="Ausgabe 35 3" xfId="30636" xr:uid="{DC1E137F-4050-496D-A2CE-AF72A2F1213E}"/>
    <cellStyle name="Ausgabe 36" xfId="11201" xr:uid="{9B3A0E45-368E-48E3-9D3D-BA1ACE2B8CA8}"/>
    <cellStyle name="Ausgabe 36 2" xfId="11202" xr:uid="{2B386709-C68A-43FE-A1D0-00B42E206993}"/>
    <cellStyle name="Ausgabe 36 2 2" xfId="30639" xr:uid="{3ECBC873-3205-48B9-BCA4-0FDB0EBA1639}"/>
    <cellStyle name="Ausgabe 36 3" xfId="30638" xr:uid="{A9CF628A-A12C-4A3E-A84F-7CA6D68E1248}"/>
    <cellStyle name="Ausgabe 37" xfId="30513" xr:uid="{49BA7D28-D46B-407A-B50B-1D197C3DDA31}"/>
    <cellStyle name="Ausgabe 38" xfId="40411" xr:uid="{B4A69EF7-F4E9-4DFE-A571-3990AF76E141}"/>
    <cellStyle name="Ausgabe 39" xfId="11076" xr:uid="{05D2E59B-7C97-4D75-AD00-C27749FAFFB7}"/>
    <cellStyle name="Ausgabe 4" xfId="11203" xr:uid="{FA281750-5E6E-47C5-9289-593C2ECBD7C3}"/>
    <cellStyle name="Ausgabe 4 2" xfId="11204" xr:uid="{4B7E939D-0CD5-4B7E-8EFC-40A025939955}"/>
    <cellStyle name="Ausgabe 4 2 2" xfId="11205" xr:uid="{8865C0CE-8557-4362-9589-A86D2A321A0C}"/>
    <cellStyle name="Ausgabe 4 2 2 2" xfId="30642" xr:uid="{7D9BA143-E550-4736-9E3C-36B66B1F0D25}"/>
    <cellStyle name="Ausgabe 4 2 3" xfId="30641" xr:uid="{77340048-D79C-4F6A-AAB0-1A441F07C991}"/>
    <cellStyle name="Ausgabe 4 2 4" xfId="39997" xr:uid="{04C95FE3-4A75-4A2F-B57A-1556FC400DF3}"/>
    <cellStyle name="Ausgabe 4 3" xfId="11206" xr:uid="{9FD57A41-92B5-4939-AC2A-526830778830}"/>
    <cellStyle name="Ausgabe 4 3 2" xfId="30643" xr:uid="{12C416A5-C03B-4932-87EB-6BFF9AEA6B82}"/>
    <cellStyle name="Ausgabe 4 4" xfId="11207" xr:uid="{E57CA18E-CCBA-4187-A268-453FE54AE819}"/>
    <cellStyle name="Ausgabe 4 4 2" xfId="30644" xr:uid="{5652F1D8-2F51-4ADF-94D6-058BA7505941}"/>
    <cellStyle name="Ausgabe 4 5" xfId="11208" xr:uid="{69F9DEBB-DCF6-414A-97F5-383A60F069F4}"/>
    <cellStyle name="Ausgabe 4 5 2" xfId="30645" xr:uid="{142F1853-D684-4F52-97C3-E7C7AC261536}"/>
    <cellStyle name="Ausgabe 4 6" xfId="11209" xr:uid="{A488952B-B44A-4FC5-A5A2-E35EEF7A7C38}"/>
    <cellStyle name="Ausgabe 4 6 2" xfId="30646" xr:uid="{26419B44-FDDD-4F3B-A5D0-A4029B15DC8E}"/>
    <cellStyle name="Ausgabe 4 7" xfId="30640" xr:uid="{7499C530-18FE-4FEB-8758-4DE66CF9B66C}"/>
    <cellStyle name="Ausgabe 4 8" xfId="39409" xr:uid="{5A33FDC4-94EB-4F1E-BF8A-ADEA9059D844}"/>
    <cellStyle name="Ausgabe 40" xfId="49" xr:uid="{FCBE899B-48A0-4915-B074-C3CF1A225FE6}"/>
    <cellStyle name="Ausgabe 5" xfId="11210" xr:uid="{8F4DA57D-E295-41E9-8645-F6486D029393}"/>
    <cellStyle name="Ausgabe 5 2" xfId="11211" xr:uid="{4FE439BE-4316-456B-8BD4-E03BD0470AF8}"/>
    <cellStyle name="Ausgabe 5 2 2" xfId="30648" xr:uid="{C5DF3585-6C41-452E-8533-E05E2DA68127}"/>
    <cellStyle name="Ausgabe 5 3" xfId="11212" xr:uid="{96844E83-C2E1-4886-A31A-C37EC233402F}"/>
    <cellStyle name="Ausgabe 5 3 2" xfId="30649" xr:uid="{5C914AB6-6CA8-47BF-8FF4-C2AFD68029F5}"/>
    <cellStyle name="Ausgabe 5 4" xfId="11213" xr:uid="{6C4774D3-B5BA-41ED-9E1C-91211B9CB827}"/>
    <cellStyle name="Ausgabe 5 4 2" xfId="30650" xr:uid="{B2E7BB3B-5161-4CC0-B250-858E50803B70}"/>
    <cellStyle name="Ausgabe 5 5" xfId="30647" xr:uid="{8009CC09-080A-41BB-B201-3E7F60B534AF}"/>
    <cellStyle name="Ausgabe 5 6" xfId="39410" xr:uid="{AB4CC7E8-D791-4670-9E4F-AC135B539EC5}"/>
    <cellStyle name="Ausgabe 6" xfId="11214" xr:uid="{A1D5889F-EDF2-413B-9587-47F0112A010F}"/>
    <cellStyle name="Ausgabe 6 2" xfId="11215" xr:uid="{7B697DC8-27E1-4722-8F34-01C2A8181650}"/>
    <cellStyle name="Ausgabe 6 2 2" xfId="30652" xr:uid="{333F6378-BD8E-420D-B21F-9883B3385FC1}"/>
    <cellStyle name="Ausgabe 6 3" xfId="11216" xr:uid="{C63840CB-21F9-4FD5-99D2-539D18155E93}"/>
    <cellStyle name="Ausgabe 6 3 2" xfId="30653" xr:uid="{CCD1B306-5EE6-4D22-827E-2922C60FB20D}"/>
    <cellStyle name="Ausgabe 6 4" xfId="11217" xr:uid="{DFAB61F4-BE2C-4AD9-8D59-86B1A2A48837}"/>
    <cellStyle name="Ausgabe 6 4 2" xfId="30654" xr:uid="{95361CEA-7966-4C5E-95EB-B50DABADFA6C}"/>
    <cellStyle name="Ausgabe 6 5" xfId="30651" xr:uid="{A7DB1AD1-BEEB-49C2-9034-7750DFD041C3}"/>
    <cellStyle name="Ausgabe 6 6" xfId="39405" xr:uid="{5572DFA6-CE69-4FD6-B431-CB78C0700856}"/>
    <cellStyle name="Ausgabe 7" xfId="11218" xr:uid="{118DA8C3-04FB-4CA9-ACDD-BFE0517F002A}"/>
    <cellStyle name="Ausgabe 7 2" xfId="11219" xr:uid="{FB12835C-5D53-46E3-BACA-B6628D9AB7E3}"/>
    <cellStyle name="Ausgabe 7 2 2" xfId="30656" xr:uid="{7829BE8E-9F54-469A-88A5-FE1E2783CE4F}"/>
    <cellStyle name="Ausgabe 7 3" xfId="30655" xr:uid="{3DEF6F04-89BE-4749-B407-645DFE14533D}"/>
    <cellStyle name="Ausgabe 8" xfId="11220" xr:uid="{CDC6DE00-F6E8-477E-9073-C29299313A40}"/>
    <cellStyle name="Ausgabe 8 2" xfId="11221" xr:uid="{209630DB-791C-4F84-96E5-55B7C9D68AE1}"/>
    <cellStyle name="Ausgabe 8 2 2" xfId="30658" xr:uid="{480BFC72-BBE5-4ED8-A27D-E3F785E7A94A}"/>
    <cellStyle name="Ausgabe 8 3" xfId="30657" xr:uid="{F9B1CA2B-BCC0-4832-9DE7-9AF0BD02CABA}"/>
    <cellStyle name="Ausgabe 9" xfId="11222" xr:uid="{D9D8EF38-45F9-4EA9-9B15-FE4C0DBC734E}"/>
    <cellStyle name="Ausgabe 9 2" xfId="11223" xr:uid="{7802D4EE-E991-4ADC-98CC-9FA282266E80}"/>
    <cellStyle name="Ausgabe 9 2 2" xfId="30660" xr:uid="{661C1AC5-DEA5-4E92-8C5D-3E8C809B7878}"/>
    <cellStyle name="Ausgabe 9 3" xfId="30659" xr:uid="{6227238B-7802-45A5-804E-C4C102BF71D3}"/>
    <cellStyle name="Berechnung 10" xfId="11225" xr:uid="{8011A00F-D533-4EF8-B175-A249998C5CD0}"/>
    <cellStyle name="Berechnung 10 2" xfId="11226" xr:uid="{487906E0-AF19-40F2-95D8-63F329145B3B}"/>
    <cellStyle name="Berechnung 10 2 2" xfId="30663" xr:uid="{581E0D5C-265B-4A5F-AD92-DC08086E1E59}"/>
    <cellStyle name="Berechnung 10 3" xfId="30662" xr:uid="{AD562CF0-D502-4D84-BDCF-E48CBD88D1CB}"/>
    <cellStyle name="Berechnung 11" xfId="11227" xr:uid="{86A88BB6-E03F-4ACB-AB9A-8330EC494E5A}"/>
    <cellStyle name="Berechnung 11 2" xfId="11228" xr:uid="{5F773A54-DECB-419E-A0AA-9E5ECEDC81A6}"/>
    <cellStyle name="Berechnung 11 2 2" xfId="30665" xr:uid="{CCE3F6B9-A175-43B6-963C-162A4DB4F67D}"/>
    <cellStyle name="Berechnung 11 3" xfId="30664" xr:uid="{5BCEED92-EB05-4FEA-A820-16AAB168A274}"/>
    <cellStyle name="Berechnung 12" xfId="11229" xr:uid="{DB849A15-8EEB-496D-9612-8F9A9638C2BC}"/>
    <cellStyle name="Berechnung 12 2" xfId="11230" xr:uid="{05D42B19-347E-426B-8C7B-E7AF21C76C9D}"/>
    <cellStyle name="Berechnung 12 2 2" xfId="30667" xr:uid="{C7EFBFBD-E425-4B10-991B-0FC1DE8478CC}"/>
    <cellStyle name="Berechnung 12 3" xfId="30666" xr:uid="{3C614AF8-6982-4DBA-89CB-04946C1B6784}"/>
    <cellStyle name="Berechnung 13" xfId="11231" xr:uid="{ECF6142B-02A1-41C3-9F0B-E98D15724556}"/>
    <cellStyle name="Berechnung 13 2" xfId="11232" xr:uid="{2FC307C7-30A7-4C9E-9BC4-255DF0E4AEC3}"/>
    <cellStyle name="Berechnung 13 2 2" xfId="30669" xr:uid="{BB47A4A6-E506-47C6-A19B-A41B1928107D}"/>
    <cellStyle name="Berechnung 13 3" xfId="30668" xr:uid="{623DFE9A-AD27-4BE7-A63D-39C64EA9110B}"/>
    <cellStyle name="Berechnung 14" xfId="11233" xr:uid="{6242CD06-8D83-4AFA-935F-0B72397903C1}"/>
    <cellStyle name="Berechnung 14 2" xfId="11234" xr:uid="{459DAD1A-67AC-4A42-A33E-43070E2C68F7}"/>
    <cellStyle name="Berechnung 14 2 2" xfId="30671" xr:uid="{7EAE87CB-5AC8-4A82-9E3D-8DE3F2C7CFCE}"/>
    <cellStyle name="Berechnung 14 3" xfId="30670" xr:uid="{A3095C26-5605-43CA-B6D4-5D9A8D6CEDC2}"/>
    <cellStyle name="Berechnung 15" xfId="11235" xr:uid="{6C627621-DAF3-4810-A211-89DFFBB05534}"/>
    <cellStyle name="Berechnung 15 2" xfId="11236" xr:uid="{C259301E-7F2E-4C0D-924E-CA8640BE892C}"/>
    <cellStyle name="Berechnung 15 2 2" xfId="30673" xr:uid="{3FA739FE-B58E-4805-AB31-00148729138A}"/>
    <cellStyle name="Berechnung 15 3" xfId="30672" xr:uid="{E6E64993-6DFF-4D41-8BCE-6FDE499A1B03}"/>
    <cellStyle name="Berechnung 16" xfId="11237" xr:uid="{8A11A5BD-7723-4141-8156-475846D1AF57}"/>
    <cellStyle name="Berechnung 16 2" xfId="11238" xr:uid="{DBDD330A-3346-408D-9353-FD5AD36B438A}"/>
    <cellStyle name="Berechnung 16 2 2" xfId="30675" xr:uid="{6252AF9C-C304-4EEA-AB12-1CEA83AD1081}"/>
    <cellStyle name="Berechnung 16 3" xfId="30674" xr:uid="{C6D4B782-3643-4497-A079-500A8D06757F}"/>
    <cellStyle name="Berechnung 17" xfId="11239" xr:uid="{7639C37A-C2A3-48A1-9A6A-517D173CC36B}"/>
    <cellStyle name="Berechnung 17 2" xfId="11240" xr:uid="{11F67348-B3CC-46D5-8405-E3D8B33D0471}"/>
    <cellStyle name="Berechnung 17 2 2" xfId="30677" xr:uid="{44FCB0D5-5A88-41F7-A399-C56325E2761F}"/>
    <cellStyle name="Berechnung 17 3" xfId="30676" xr:uid="{A0F026E3-AC14-437F-B4B2-6F696E150984}"/>
    <cellStyle name="Berechnung 18" xfId="11241" xr:uid="{D0610B45-112B-42E3-B85F-9B3572ADA21C}"/>
    <cellStyle name="Berechnung 18 2" xfId="11242" xr:uid="{E36F0A24-5811-4840-BFF4-29B9FAFFCC07}"/>
    <cellStyle name="Berechnung 18 2 2" xfId="30679" xr:uid="{53057663-3879-44A0-B1EE-04430097B83E}"/>
    <cellStyle name="Berechnung 18 3" xfId="30678" xr:uid="{B32FC288-99BC-476F-A9DF-D55CE35EBC6A}"/>
    <cellStyle name="Berechnung 19" xfId="11243" xr:uid="{31F9A280-140D-48D5-A728-B0FBC638F9AD}"/>
    <cellStyle name="Berechnung 19 2" xfId="11244" xr:uid="{2F961EC0-4AB5-46CF-AC7F-87B17CF4307C}"/>
    <cellStyle name="Berechnung 19 2 2" xfId="30681" xr:uid="{F336F07B-9311-476A-AEB4-1899C2C647FB}"/>
    <cellStyle name="Berechnung 19 3" xfId="30680" xr:uid="{639BAC87-6D65-47FE-BB2F-2427CCDB2010}"/>
    <cellStyle name="Berechnung 2" xfId="11245" xr:uid="{FCF49195-48F1-40C4-BFC1-56221B953A97}"/>
    <cellStyle name="Berechnung 2 10" xfId="11246" xr:uid="{4F3CB6CC-85BA-4C1C-A188-754596BED7F5}"/>
    <cellStyle name="Berechnung 2 10 2" xfId="30683" xr:uid="{461E8156-D4EE-485C-8A1B-0C1089BB66B3}"/>
    <cellStyle name="Berechnung 2 11" xfId="11247" xr:uid="{DA7028F5-0E84-413B-95BC-97996F8E6A66}"/>
    <cellStyle name="Berechnung 2 11 2" xfId="30684" xr:uid="{C4EC26D8-D92E-4051-BCB7-195CC361D181}"/>
    <cellStyle name="Berechnung 2 12" xfId="11248" xr:uid="{C8777C8E-8A9E-4BE5-933A-F346DD98A88A}"/>
    <cellStyle name="Berechnung 2 12 2" xfId="30685" xr:uid="{27EBC13B-B0B3-4CC1-9ED0-36D6BD2BACCD}"/>
    <cellStyle name="Berechnung 2 13" xfId="11249" xr:uid="{E9F82A82-8FAA-43F9-9E9D-2F8FA8F1C9CE}"/>
    <cellStyle name="Berechnung 2 13 2" xfId="30686" xr:uid="{97A0E27C-AF11-4842-ADCE-BBD9FCF91D93}"/>
    <cellStyle name="Berechnung 2 14" xfId="11250" xr:uid="{7D525BE7-816F-4132-B256-31EFE44F1850}"/>
    <cellStyle name="Berechnung 2 14 2" xfId="30687" xr:uid="{75A0F15B-60B6-48BA-ABDC-7B03AC119CC7}"/>
    <cellStyle name="Berechnung 2 15" xfId="30682" xr:uid="{6F3FF900-9E95-4860-89E5-7751AF5856FC}"/>
    <cellStyle name="Berechnung 2 16" xfId="39412" xr:uid="{FD9B2557-08CB-4957-A326-902A6FCFA70E}"/>
    <cellStyle name="Berechnung 2 2" xfId="11251" xr:uid="{FD254EA4-AB3A-404B-B009-AF0B800902EA}"/>
    <cellStyle name="Berechnung 2 2 10" xfId="11252" xr:uid="{513FCF1E-C822-4D1D-A418-E91F63E06D06}"/>
    <cellStyle name="Berechnung 2 2 10 2" xfId="30689" xr:uid="{6FAD6A21-77BD-47F4-9F8E-A16E06161840}"/>
    <cellStyle name="Berechnung 2 2 11" xfId="11253" xr:uid="{333FCAFB-6CF4-4BD5-AC6B-88079D211233}"/>
    <cellStyle name="Berechnung 2 2 11 2" xfId="30690" xr:uid="{256CA696-2AE9-4857-9F74-DE0E51969484}"/>
    <cellStyle name="Berechnung 2 2 12" xfId="11254" xr:uid="{8C4AB436-9F7C-458E-9CFD-10653E16F631}"/>
    <cellStyle name="Berechnung 2 2 12 2" xfId="30691" xr:uid="{AA619ACF-FEE2-4799-9BFA-863FFF5FF4D9}"/>
    <cellStyle name="Berechnung 2 2 13" xfId="30688" xr:uid="{DAFDC682-58C1-493F-8A1E-8FDBC97A2E93}"/>
    <cellStyle name="Berechnung 2 2 14" xfId="39413" xr:uid="{CC86E7D3-2B90-4F90-8CB7-CCAC5BDFAFBB}"/>
    <cellStyle name="Berechnung 2 2 2" xfId="11255" xr:uid="{1AAD5D0F-A1ED-40D6-9E75-F1510CB8E8E2}"/>
    <cellStyle name="Berechnung 2 2 2 10" xfId="11256" xr:uid="{8CAE65D5-29FD-4793-8876-EB083518C2F3}"/>
    <cellStyle name="Berechnung 2 2 2 10 2" xfId="30693" xr:uid="{2D6A56D0-AAC7-490F-B105-3E028F49C0DA}"/>
    <cellStyle name="Berechnung 2 2 2 11" xfId="30692" xr:uid="{8545622E-6518-4B4B-A0E2-C04E1A0CAD8B}"/>
    <cellStyle name="Berechnung 2 2 2 2" xfId="11257" xr:uid="{08FDF3BC-16FF-4237-86E8-E6A3A8449D28}"/>
    <cellStyle name="Berechnung 2 2 2 2 2" xfId="11258" xr:uid="{02F9C44A-7586-49DC-A32E-30F6D6789000}"/>
    <cellStyle name="Berechnung 2 2 2 2 2 2" xfId="11259" xr:uid="{1CA39BBF-0300-4DEB-B1B6-8412C650D73A}"/>
    <cellStyle name="Berechnung 2 2 2 2 2 2 2" xfId="11260" xr:uid="{E81873CF-E2A3-4AFC-916F-CC5026618323}"/>
    <cellStyle name="Berechnung 2 2 2 2 2 2 2 2" xfId="30697" xr:uid="{FDB9DA69-89F5-4525-AFE9-85CF8D9456AD}"/>
    <cellStyle name="Berechnung 2 2 2 2 2 2 3" xfId="30696" xr:uid="{A1D4E17B-30EA-461A-A5CA-D4EEBAAEB99F}"/>
    <cellStyle name="Berechnung 2 2 2 2 2 3" xfId="11261" xr:uid="{86D8B924-7E6B-4B6E-9246-3D739ABF540D}"/>
    <cellStyle name="Berechnung 2 2 2 2 2 3 2" xfId="30698" xr:uid="{528BDDE3-4668-48FB-9434-69C2FADCD448}"/>
    <cellStyle name="Berechnung 2 2 2 2 2 4" xfId="11262" xr:uid="{AE8A7B6E-8218-4585-ACC2-60D2137C20DD}"/>
    <cellStyle name="Berechnung 2 2 2 2 2 4 2" xfId="30699" xr:uid="{99B5F0A4-C153-426E-8116-DDF62296F095}"/>
    <cellStyle name="Berechnung 2 2 2 2 2 5" xfId="11263" xr:uid="{F76DAF09-EE96-498C-80A8-7549CC9979DF}"/>
    <cellStyle name="Berechnung 2 2 2 2 2 5 2" xfId="30700" xr:uid="{46264E81-D130-4185-9877-01A8947238D5}"/>
    <cellStyle name="Berechnung 2 2 2 2 2 6" xfId="11264" xr:uid="{AF4767A2-1843-4A57-840D-A8FBEB18C05E}"/>
    <cellStyle name="Berechnung 2 2 2 2 2 6 2" xfId="30701" xr:uid="{A6BF7EF4-0FE9-4D91-90C9-BD99728DE049}"/>
    <cellStyle name="Berechnung 2 2 2 2 2 7" xfId="11265" xr:uid="{2F2690DE-D1DF-4135-A7E3-27235C22BA55}"/>
    <cellStyle name="Berechnung 2 2 2 2 2 7 2" xfId="30702" xr:uid="{48121B6C-BC4E-498C-9169-916FA5284D55}"/>
    <cellStyle name="Berechnung 2 2 2 2 2 8" xfId="11266" xr:uid="{3A395892-F764-42D9-8230-FADE2B243392}"/>
    <cellStyle name="Berechnung 2 2 2 2 2 8 2" xfId="30703" xr:uid="{4A2215A1-4F4F-49E5-9CB3-A2C10A108770}"/>
    <cellStyle name="Berechnung 2 2 2 2 2 9" xfId="30695" xr:uid="{CCB01E6E-D202-4A4B-84A3-A4C98973E24B}"/>
    <cellStyle name="Berechnung 2 2 2 2 3" xfId="11267" xr:uid="{1D783499-B84A-45A8-80A4-0B6447999A00}"/>
    <cellStyle name="Berechnung 2 2 2 2 3 2" xfId="11268" xr:uid="{082428E0-A356-4E40-B0A7-4F6AB8151312}"/>
    <cellStyle name="Berechnung 2 2 2 2 3 2 2" xfId="30705" xr:uid="{72831DBA-F2CA-4B0C-B2F7-1DEAA434E410}"/>
    <cellStyle name="Berechnung 2 2 2 2 3 3" xfId="30704" xr:uid="{C70F9A62-DD14-4C76-9AC2-91B99B903301}"/>
    <cellStyle name="Berechnung 2 2 2 2 4" xfId="11269" xr:uid="{001BCF13-AE76-4F69-AB57-43D26DEA5D24}"/>
    <cellStyle name="Berechnung 2 2 2 2 4 2" xfId="30706" xr:uid="{BF39EBD3-B7B0-4C05-867E-3654A3559141}"/>
    <cellStyle name="Berechnung 2 2 2 2 5" xfId="11270" xr:uid="{842B7467-FA60-4B02-8FD5-95A25E67E1E4}"/>
    <cellStyle name="Berechnung 2 2 2 2 5 2" xfId="30707" xr:uid="{001AB929-4BAB-43AC-9EE0-BBB2932AC37B}"/>
    <cellStyle name="Berechnung 2 2 2 2 6" xfId="11271" xr:uid="{F93B26DD-0E38-4766-8DE9-771F81D6D690}"/>
    <cellStyle name="Berechnung 2 2 2 2 6 2" xfId="30708" xr:uid="{39EA8813-5D9A-409F-A074-D2CBCFC9787E}"/>
    <cellStyle name="Berechnung 2 2 2 2 7" xfId="11272" xr:uid="{76DD48B2-C64D-49B6-89D4-1D60BA2AD078}"/>
    <cellStyle name="Berechnung 2 2 2 2 7 2" xfId="30709" xr:uid="{4B11707B-B034-4E88-A6F8-55DE47DC8705}"/>
    <cellStyle name="Berechnung 2 2 2 2 8" xfId="11273" xr:uid="{A73B3E23-9B78-4B25-AD01-1DEA9DD9A8FA}"/>
    <cellStyle name="Berechnung 2 2 2 2 8 2" xfId="30710" xr:uid="{E4178A30-20ED-4C8B-B4D2-AE463438B365}"/>
    <cellStyle name="Berechnung 2 2 2 2 9" xfId="30694" xr:uid="{2760DFB9-2345-489E-AD69-D846B0B5FF97}"/>
    <cellStyle name="Berechnung 2 2 2 3" xfId="11274" xr:uid="{25F5F9A5-5DD7-46CF-BED4-45CF96B90F21}"/>
    <cellStyle name="Berechnung 2 2 2 3 2" xfId="30711" xr:uid="{F2E2E27F-C393-499B-96FF-01F81DC16275}"/>
    <cellStyle name="Berechnung 2 2 2 4" xfId="11275" xr:uid="{CA6939EE-DB44-44BD-85C4-F42814D71C7A}"/>
    <cellStyle name="Berechnung 2 2 2 4 2" xfId="30712" xr:uid="{9A67AF5B-62B6-4215-B91D-76DA1CC6B99A}"/>
    <cellStyle name="Berechnung 2 2 2 5" xfId="11276" xr:uid="{06B39C1D-AC09-4B83-860A-055406EE0AAC}"/>
    <cellStyle name="Berechnung 2 2 2 5 2" xfId="11277" xr:uid="{D1214667-008A-408C-A325-6BFD1E8726F7}"/>
    <cellStyle name="Berechnung 2 2 2 5 2 2" xfId="30714" xr:uid="{235193BE-134E-4D37-B60F-81254B0B6AFA}"/>
    <cellStyle name="Berechnung 2 2 2 5 3" xfId="30713" xr:uid="{3E1F480C-462B-42FF-94D5-E92EF77A1EBA}"/>
    <cellStyle name="Berechnung 2 2 2 6" xfId="11278" xr:uid="{6736F023-B0B8-495E-B359-538766C30BB2}"/>
    <cellStyle name="Berechnung 2 2 2 6 2" xfId="30715" xr:uid="{EBCC1073-64E6-4078-BE79-ECE197927A42}"/>
    <cellStyle name="Berechnung 2 2 2 7" xfId="11279" xr:uid="{4BE3DE19-DA27-429F-8AB1-882A2F0804BF}"/>
    <cellStyle name="Berechnung 2 2 2 7 2" xfId="30716" xr:uid="{53DC6ECE-258C-4DE4-80CA-1A24012B2AB1}"/>
    <cellStyle name="Berechnung 2 2 2 8" xfId="11280" xr:uid="{6CC695B7-9E9C-4203-95F7-0006CDCEFC80}"/>
    <cellStyle name="Berechnung 2 2 2 8 2" xfId="30717" xr:uid="{856695FB-F932-4C67-83F9-08AD61950078}"/>
    <cellStyle name="Berechnung 2 2 2 9" xfId="11281" xr:uid="{42C2BA97-56A8-4417-9181-1F1C1958CB29}"/>
    <cellStyle name="Berechnung 2 2 2 9 2" xfId="30718" xr:uid="{EF0A410E-712E-4322-BDB0-4D84780C65A6}"/>
    <cellStyle name="Berechnung 2 2 3" xfId="11282" xr:uid="{61054CF4-E6EF-4BC9-8AA6-D6D94E9A619A}"/>
    <cellStyle name="Berechnung 2 2 3 2" xfId="30719" xr:uid="{67DFDBA4-AC0B-44B4-A1E6-DFB8A7C75E27}"/>
    <cellStyle name="Berechnung 2 2 4" xfId="11283" xr:uid="{72B0235F-4EC2-4E9A-BCC4-69F7F6D31B33}"/>
    <cellStyle name="Berechnung 2 2 4 2" xfId="30720" xr:uid="{3E9BCD41-77D7-4821-A5BB-48A2A0AE06DD}"/>
    <cellStyle name="Berechnung 2 2 5" xfId="11284" xr:uid="{8CFB5373-B9AF-4C6D-B469-123BC4BF5991}"/>
    <cellStyle name="Berechnung 2 2 5 2" xfId="11285" xr:uid="{26936CFF-6BF4-4AAE-B5C3-569A258CB648}"/>
    <cellStyle name="Berechnung 2 2 5 2 2" xfId="30722" xr:uid="{32ED4BC9-A8AF-4C48-B616-A5F1E2FB47AF}"/>
    <cellStyle name="Berechnung 2 2 5 3" xfId="30721" xr:uid="{1FDC0F5B-1251-4457-AA77-CA8BA0C143DD}"/>
    <cellStyle name="Berechnung 2 2 6" xfId="11286" xr:uid="{9DCC90EF-8FEB-4185-8FAB-360F3F0D1FDB}"/>
    <cellStyle name="Berechnung 2 2 6 2" xfId="30723" xr:uid="{E5C363A5-A9E8-4ED9-B86E-1CC881340F99}"/>
    <cellStyle name="Berechnung 2 2 7" xfId="11287" xr:uid="{27C65E3F-FA43-49C7-9EFF-227A66616CCF}"/>
    <cellStyle name="Berechnung 2 2 7 2" xfId="11288" xr:uid="{6A01F57B-F1A5-41EA-A697-018FE6423619}"/>
    <cellStyle name="Berechnung 2 2 7 2 2" xfId="30725" xr:uid="{96030BE6-F2E4-4743-BE8D-E7BBD8DC014A}"/>
    <cellStyle name="Berechnung 2 2 7 3" xfId="30724" xr:uid="{B3E5B756-C482-4433-B7F1-BECDFFF39C2D}"/>
    <cellStyle name="Berechnung 2 2 8" xfId="11289" xr:uid="{47D1DF9B-4018-47C3-9B1F-265542BE0D07}"/>
    <cellStyle name="Berechnung 2 2 8 2" xfId="30726" xr:uid="{297E13C2-35A1-46E5-9F53-9D803D939A9B}"/>
    <cellStyle name="Berechnung 2 2 9" xfId="11290" xr:uid="{F52F0B19-46B4-4C0D-A08B-5CEECAA67B37}"/>
    <cellStyle name="Berechnung 2 2 9 2" xfId="30727" xr:uid="{947BCFFE-EC54-44B2-ABC9-F3A9F4636AE4}"/>
    <cellStyle name="Berechnung 2 3" xfId="11291" xr:uid="{11B3AA5F-EC45-4914-8C63-1C42C1614C13}"/>
    <cellStyle name="Berechnung 2 3 2" xfId="30728" xr:uid="{1C3C594D-C836-4C19-8C01-6AA0CA2D8809}"/>
    <cellStyle name="Berechnung 2 4" xfId="11292" xr:uid="{D159A7E3-127F-494E-A9F0-E7B612D3537B}"/>
    <cellStyle name="Berechnung 2 4 2" xfId="11293" xr:uid="{5496AF50-8EE4-48BA-9647-0173A2517718}"/>
    <cellStyle name="Berechnung 2 4 2 2" xfId="11294" xr:uid="{5A81F72D-B40E-4520-AF6B-3CBDB322F75C}"/>
    <cellStyle name="Berechnung 2 4 2 2 2" xfId="30731" xr:uid="{E415513A-E91D-407F-AFCC-556A47F11741}"/>
    <cellStyle name="Berechnung 2 4 2 3" xfId="30730" xr:uid="{157235F6-6EFB-43CE-951A-581E38DE71AE}"/>
    <cellStyle name="Berechnung 2 4 3" xfId="11295" xr:uid="{03F9F147-A86D-4407-8A6A-46243174798F}"/>
    <cellStyle name="Berechnung 2 4 3 2" xfId="30732" xr:uid="{79A267A0-9815-44B9-B1E5-C0E444112867}"/>
    <cellStyle name="Berechnung 2 4 4" xfId="11296" xr:uid="{49EF096F-813E-4891-BFEF-40501F30B6DE}"/>
    <cellStyle name="Berechnung 2 4 4 2" xfId="30733" xr:uid="{7BA5826E-5EE1-4DFA-9737-8269AAADC842}"/>
    <cellStyle name="Berechnung 2 4 5" xfId="30729" xr:uid="{883FB37B-5F49-4006-B0F4-948D804E615A}"/>
    <cellStyle name="Berechnung 2 5" xfId="11297" xr:uid="{ACE6C922-D230-4305-9145-63356BAF7FE8}"/>
    <cellStyle name="Berechnung 2 5 2" xfId="30734" xr:uid="{9D2861B6-CE4C-47D9-8C60-6C02DB0D648C}"/>
    <cellStyle name="Berechnung 2 6" xfId="11298" xr:uid="{236D0AB2-95C6-40BE-BEF4-3D9DEE466B36}"/>
    <cellStyle name="Berechnung 2 6 2" xfId="11299" xr:uid="{2A852924-3E7A-4974-A141-7B2C20C69940}"/>
    <cellStyle name="Berechnung 2 6 2 2" xfId="30736" xr:uid="{7438510A-AFCD-45AC-940B-2CD7BAF0CC18}"/>
    <cellStyle name="Berechnung 2 6 3" xfId="30735" xr:uid="{F3698AB3-42DD-414F-89A1-FB39618CC0D6}"/>
    <cellStyle name="Berechnung 2 7" xfId="11300" xr:uid="{A26ED1F3-CD9F-47D0-86F7-55995367E279}"/>
    <cellStyle name="Berechnung 2 7 2" xfId="30737" xr:uid="{5164A14F-14FE-4147-A3BA-A6769F1353F9}"/>
    <cellStyle name="Berechnung 2 8" xfId="11301" xr:uid="{D65D2719-A959-4E56-B785-D71D4CF99F23}"/>
    <cellStyle name="Berechnung 2 8 2" xfId="11302" xr:uid="{9D560578-646A-47C2-96A3-CD9A92C42DAA}"/>
    <cellStyle name="Berechnung 2 8 2 2" xfId="30739" xr:uid="{534D0EF0-05BF-402C-9A61-9D7147EAC750}"/>
    <cellStyle name="Berechnung 2 8 3" xfId="30738" xr:uid="{2DE5F1C9-6A97-4373-9BDA-CB93A483DE23}"/>
    <cellStyle name="Berechnung 2 9" xfId="11303" xr:uid="{0C50354C-077B-4B4F-AD47-A34531FD4E81}"/>
    <cellStyle name="Berechnung 2 9 2" xfId="30740" xr:uid="{750B1E33-DBB6-43B3-BD98-59C49EB602D7}"/>
    <cellStyle name="Berechnung 20" xfId="11304" xr:uid="{D3170E47-C9BD-4CB2-A729-6FFBB406DA88}"/>
    <cellStyle name="Berechnung 20 2" xfId="11305" xr:uid="{52559DA0-53FA-42F4-8AD8-47B47EF31816}"/>
    <cellStyle name="Berechnung 20 2 2" xfId="30742" xr:uid="{8E70192D-1729-4CA8-A58A-68754E9CAF22}"/>
    <cellStyle name="Berechnung 20 3" xfId="30741" xr:uid="{17699D91-25EF-4F6D-942A-D7A1A3C976C9}"/>
    <cellStyle name="Berechnung 21" xfId="11306" xr:uid="{939388CB-9F7C-4D56-8A92-9BDF441DE76B}"/>
    <cellStyle name="Berechnung 21 2" xfId="11307" xr:uid="{6DE39D8D-1ED1-4926-BC65-217B729534F9}"/>
    <cellStyle name="Berechnung 21 2 2" xfId="30744" xr:uid="{A2E8C5F8-0C04-4C84-B830-CD98121762B1}"/>
    <cellStyle name="Berechnung 21 3" xfId="30743" xr:uid="{5E02E1CA-E83E-4B71-8AAD-E92E00BD5417}"/>
    <cellStyle name="Berechnung 22" xfId="11308" xr:uid="{C8EDCEB6-3746-46E8-9F24-B5A49D918D4C}"/>
    <cellStyle name="Berechnung 22 2" xfId="11309" xr:uid="{65EC43A9-87C7-4112-BAE8-17C59AA09BD7}"/>
    <cellStyle name="Berechnung 22 2 2" xfId="30746" xr:uid="{BD255E1D-D520-4E56-B1DA-A66D655C0524}"/>
    <cellStyle name="Berechnung 22 3" xfId="30745" xr:uid="{A08378C2-3C8A-46B4-8BE1-2D2E74F094D4}"/>
    <cellStyle name="Berechnung 23" xfId="11310" xr:uid="{BE79CE78-EE76-483E-9AE5-3CC12FBE4CBB}"/>
    <cellStyle name="Berechnung 23 2" xfId="11311" xr:uid="{08FA918F-8030-4747-91FF-5A51D68D5A1A}"/>
    <cellStyle name="Berechnung 23 2 2" xfId="30748" xr:uid="{E1D3DC95-A6BD-4A99-88F2-47D78DEADFB7}"/>
    <cellStyle name="Berechnung 23 3" xfId="30747" xr:uid="{51CBE3D1-720D-4041-8158-FD1620F5E1C7}"/>
    <cellStyle name="Berechnung 24" xfId="11312" xr:uid="{9FE7A5C9-6890-47B5-881F-39979754290C}"/>
    <cellStyle name="Berechnung 24 2" xfId="11313" xr:uid="{11061B97-C929-4B90-9C33-D1960B23E397}"/>
    <cellStyle name="Berechnung 24 2 2" xfId="30750" xr:uid="{FF560D3E-8AD9-400A-A9A3-5A06EFBCCDED}"/>
    <cellStyle name="Berechnung 24 3" xfId="30749" xr:uid="{16BD73A2-F784-474E-A6B4-F08D3BF27A93}"/>
    <cellStyle name="Berechnung 25" xfId="11314" xr:uid="{CC20840D-5C82-4F1F-9408-8A7F2F6659A9}"/>
    <cellStyle name="Berechnung 25 2" xfId="11315" xr:uid="{B3757D67-334A-4353-B4FF-F552D0B3B7BE}"/>
    <cellStyle name="Berechnung 25 2 2" xfId="30752" xr:uid="{EC5A2479-8A38-45D1-939B-83E696B581DA}"/>
    <cellStyle name="Berechnung 25 3" xfId="30751" xr:uid="{4B96B1C6-7961-4005-81EF-4406B111CF24}"/>
    <cellStyle name="Berechnung 26" xfId="11316" xr:uid="{6AF5D314-125E-41EA-89E6-7D7BC78DAB14}"/>
    <cellStyle name="Berechnung 26 2" xfId="11317" xr:uid="{22272F48-8766-4922-9023-4A60EA63893A}"/>
    <cellStyle name="Berechnung 26 2 2" xfId="30754" xr:uid="{D88B82EE-E242-4C4D-86BC-4A39EDFC1E49}"/>
    <cellStyle name="Berechnung 26 3" xfId="30753" xr:uid="{129BCD93-0E8F-443C-BD9A-A0E5127411D5}"/>
    <cellStyle name="Berechnung 27" xfId="11318" xr:uid="{38D24135-228C-4938-AA3D-1B3D397194BE}"/>
    <cellStyle name="Berechnung 27 2" xfId="11319" xr:uid="{EA0DD433-733B-4F0A-9EC0-07C59CF98AD1}"/>
    <cellStyle name="Berechnung 27 2 2" xfId="30756" xr:uid="{0EFA9157-0A52-48E4-8534-138ECDF83892}"/>
    <cellStyle name="Berechnung 27 3" xfId="30755" xr:uid="{288F778B-F35B-423D-8D60-E2C31A2D249C}"/>
    <cellStyle name="Berechnung 28" xfId="11320" xr:uid="{CF5543EC-3133-4954-9BB2-8ABF25F28D77}"/>
    <cellStyle name="Berechnung 28 2" xfId="11321" xr:uid="{0897F450-4590-40C5-A582-C4C2471BB900}"/>
    <cellStyle name="Berechnung 28 2 2" xfId="30758" xr:uid="{8CA9C0CC-829B-42D7-87E0-8EC560144D83}"/>
    <cellStyle name="Berechnung 28 3" xfId="30757" xr:uid="{F068D960-6CEB-4083-B5B2-BDFC532AED43}"/>
    <cellStyle name="Berechnung 29" xfId="11322" xr:uid="{7D77531A-8192-457E-97E6-6764E791A63B}"/>
    <cellStyle name="Berechnung 29 2" xfId="11323" xr:uid="{7B825DAC-1F87-46DD-96E9-A59EC53AAAA3}"/>
    <cellStyle name="Berechnung 29 2 2" xfId="30760" xr:uid="{73872EDD-7B56-4691-9EBC-00149AA3AE66}"/>
    <cellStyle name="Berechnung 29 3" xfId="30759" xr:uid="{3562D6DF-C256-4E7F-868D-B9F3B0DE55E3}"/>
    <cellStyle name="Berechnung 3" xfId="11324" xr:uid="{B3D000F8-CA44-464A-8E14-6AD26075D370}"/>
    <cellStyle name="Berechnung 3 10" xfId="39414" xr:uid="{09CD40C0-EA47-4390-908E-EECD81599157}"/>
    <cellStyle name="Berechnung 3 2" xfId="11325" xr:uid="{959964B6-2EFC-44DF-A286-CA8AD66E72C7}"/>
    <cellStyle name="Berechnung 3 2 2" xfId="11326" xr:uid="{27C2DE52-CC45-4017-86E2-CF56D2B71419}"/>
    <cellStyle name="Berechnung 3 2 2 2" xfId="11327" xr:uid="{7EBA20FC-47A8-4DA6-AEE9-45B8A7ACF313}"/>
    <cellStyle name="Berechnung 3 2 2 2 2" xfId="30764" xr:uid="{8EDB59A3-5E78-4793-8C4B-F577363EDFD5}"/>
    <cellStyle name="Berechnung 3 2 2 3" xfId="30763" xr:uid="{86F85BB0-360A-4B6C-8E7F-029BA1D68C72}"/>
    <cellStyle name="Berechnung 3 2 3" xfId="11328" xr:uid="{4C88338F-CA27-4AFD-A9C7-AE55E63768F7}"/>
    <cellStyle name="Berechnung 3 2 3 2" xfId="30765" xr:uid="{4AD7F19F-0EF1-4151-8951-A85EB0BD9751}"/>
    <cellStyle name="Berechnung 3 2 4" xfId="11329" xr:uid="{D136F948-15C7-4B22-B290-2F5117AFF3FE}"/>
    <cellStyle name="Berechnung 3 2 4 2" xfId="30766" xr:uid="{B3B55793-865E-48B9-AC26-19A98A37AFEF}"/>
    <cellStyle name="Berechnung 3 2 5" xfId="30762" xr:uid="{C614E943-BDBE-4248-B1E9-AC4B8593BB19}"/>
    <cellStyle name="Berechnung 3 2 6" xfId="39998" xr:uid="{090D33D3-0028-4591-8BCB-04148FF71568}"/>
    <cellStyle name="Berechnung 3 3" xfId="11330" xr:uid="{8C055019-7D28-43CC-A7BB-C1FF094E66A1}"/>
    <cellStyle name="Berechnung 3 3 2" xfId="30767" xr:uid="{D8C395AA-6D5B-4EF0-94DA-15904C05DE74}"/>
    <cellStyle name="Berechnung 3 4" xfId="11331" xr:uid="{77F22F86-4677-4CE3-B36B-710155F72166}"/>
    <cellStyle name="Berechnung 3 4 2" xfId="30768" xr:uid="{A210BE8B-6C04-4B98-AF3D-3DF1C330F869}"/>
    <cellStyle name="Berechnung 3 5" xfId="11332" xr:uid="{B20A6229-44A2-4F3F-BE7D-90F04BD79ADA}"/>
    <cellStyle name="Berechnung 3 5 2" xfId="11333" xr:uid="{64998A3C-434D-4F2C-829F-9EE551C57E2F}"/>
    <cellStyle name="Berechnung 3 5 2 2" xfId="30770" xr:uid="{B6219E9F-CA80-4EBF-85AC-2856947DCF09}"/>
    <cellStyle name="Berechnung 3 5 3" xfId="30769" xr:uid="{20C5C13E-1681-4331-BD14-1BA34EAA0734}"/>
    <cellStyle name="Berechnung 3 6" xfId="11334" xr:uid="{EEB811CB-47AF-4EF6-A74E-7D5BC2D8189D}"/>
    <cellStyle name="Berechnung 3 6 2" xfId="30771" xr:uid="{EAC83136-7A0A-4BB0-85BF-99F16DE424D1}"/>
    <cellStyle name="Berechnung 3 7" xfId="11335" xr:uid="{55C03987-FEEC-49C9-A727-76A7C9FC6C41}"/>
    <cellStyle name="Berechnung 3 7 2" xfId="30772" xr:uid="{A35DBB34-2245-4F69-994F-0A04D160A412}"/>
    <cellStyle name="Berechnung 3 8" xfId="11336" xr:uid="{057C8D7C-E472-4E15-9051-1326540DB3C3}"/>
    <cellStyle name="Berechnung 3 8 2" xfId="30773" xr:uid="{5A4E778E-5315-4A6D-BE88-6C8D7355AC5A}"/>
    <cellStyle name="Berechnung 3 9" xfId="30761" xr:uid="{5754964E-1908-4018-BCDD-27BCDEE60E6E}"/>
    <cellStyle name="Berechnung 30" xfId="11337" xr:uid="{92886716-19AC-4846-8495-1F4CE45FD503}"/>
    <cellStyle name="Berechnung 30 2" xfId="11338" xr:uid="{6484A0C2-F413-47AD-9FAA-96920658212B}"/>
    <cellStyle name="Berechnung 30 2 2" xfId="30775" xr:uid="{0C8DF648-5603-4C04-9C68-087A58FCBD98}"/>
    <cellStyle name="Berechnung 30 3" xfId="30774" xr:uid="{271B01A3-13ED-4B4D-82E3-C44A521B5A30}"/>
    <cellStyle name="Berechnung 31" xfId="11339" xr:uid="{7848C673-83AD-47EB-9AEC-95E899C31FE1}"/>
    <cellStyle name="Berechnung 31 2" xfId="11340" xr:uid="{8C38A554-9714-472D-9DAE-DC93E60B52F8}"/>
    <cellStyle name="Berechnung 31 2 2" xfId="30777" xr:uid="{C19C0EFE-F12C-48B6-8A72-5B43B8C119D0}"/>
    <cellStyle name="Berechnung 31 3" xfId="30776" xr:uid="{F1CDDBB5-EDAD-4366-B608-02F9E5030D43}"/>
    <cellStyle name="Berechnung 32" xfId="11341" xr:uid="{A172431B-06D8-45E9-A515-B9AC2EB1B41B}"/>
    <cellStyle name="Berechnung 32 2" xfId="11342" xr:uid="{D7ECEE60-A922-4AF8-977F-E67BA7408920}"/>
    <cellStyle name="Berechnung 32 2 2" xfId="30779" xr:uid="{391EB884-3462-43AC-AF8A-927B626BF9D8}"/>
    <cellStyle name="Berechnung 32 3" xfId="30778" xr:uid="{B42D1558-9570-4EC9-A085-8761F9C7E364}"/>
    <cellStyle name="Berechnung 33" xfId="11343" xr:uid="{ED55ED1E-86C9-4882-A91A-328E4FF2C91E}"/>
    <cellStyle name="Berechnung 33 2" xfId="11344" xr:uid="{BECBF5BC-93A8-4FEC-87B6-FA6525B3193E}"/>
    <cellStyle name="Berechnung 33 2 2" xfId="30781" xr:uid="{E1BF1759-88EE-4DD0-93C3-09B62F1A4234}"/>
    <cellStyle name="Berechnung 33 3" xfId="30780" xr:uid="{E12354B0-5AA6-4E18-9789-11B4D500D3C1}"/>
    <cellStyle name="Berechnung 34" xfId="11345" xr:uid="{4F9E52C2-F3EA-46CE-91D5-F561102189FD}"/>
    <cellStyle name="Berechnung 34 2" xfId="11346" xr:uid="{69EC050A-2E84-4554-BA24-B24319A0E631}"/>
    <cellStyle name="Berechnung 34 2 2" xfId="30783" xr:uid="{DF4531E6-60A3-480B-8010-2F8C2B2CB327}"/>
    <cellStyle name="Berechnung 34 3" xfId="30782" xr:uid="{C8FE2C43-BC55-4D5C-B124-E42FC49AA95A}"/>
    <cellStyle name="Berechnung 35" xfId="11347" xr:uid="{35246793-F7CD-435E-A723-8683E03AD693}"/>
    <cellStyle name="Berechnung 35 2" xfId="11348" xr:uid="{6FBB3290-9D89-4035-9904-876A828C61A4}"/>
    <cellStyle name="Berechnung 35 2 2" xfId="30785" xr:uid="{A60C1913-D523-4176-AED2-4EE41C700ADD}"/>
    <cellStyle name="Berechnung 35 3" xfId="30784" xr:uid="{650A8400-F108-47C7-A2CF-572D69A491E8}"/>
    <cellStyle name="Berechnung 36" xfId="11349" xr:uid="{A6BBEF4D-3DFF-4FBD-94AB-2AE27676A60B}"/>
    <cellStyle name="Berechnung 36 2" xfId="11350" xr:uid="{34620285-1097-458B-9427-57CD2E852B43}"/>
    <cellStyle name="Berechnung 36 2 2" xfId="30787" xr:uid="{CC99DDA0-9B94-43B4-9192-EB98358100E0}"/>
    <cellStyle name="Berechnung 36 3" xfId="30786" xr:uid="{6EE89BB8-E944-45E4-89EC-4857E5BDEB03}"/>
    <cellStyle name="Berechnung 37" xfId="30661" xr:uid="{5F8A5473-1060-4065-A1DA-C2D0A2FBA98B}"/>
    <cellStyle name="Berechnung 38" xfId="40412" xr:uid="{0C7699B4-BCDC-48E9-8C63-3FD7A76185E7}"/>
    <cellStyle name="Berechnung 39" xfId="11224" xr:uid="{A7C7051F-BDBA-4993-8813-DD6B3A5FF6B9}"/>
    <cellStyle name="Berechnung 4" xfId="11351" xr:uid="{CE540052-B53F-4EFF-A6F5-2CED1F205114}"/>
    <cellStyle name="Berechnung 4 2" xfId="11352" xr:uid="{8C7A29D2-6380-4237-A288-EE173361333B}"/>
    <cellStyle name="Berechnung 4 2 2" xfId="11353" xr:uid="{95CA3DBE-1231-4D12-918B-B1BA88677D51}"/>
    <cellStyle name="Berechnung 4 2 2 2" xfId="30790" xr:uid="{8C94DCC5-ADD4-4A30-9812-EA814EBEB351}"/>
    <cellStyle name="Berechnung 4 2 3" xfId="30789" xr:uid="{557623E6-5AA8-49EF-AA1E-16BF6E89DA5C}"/>
    <cellStyle name="Berechnung 4 2 4" xfId="39999" xr:uid="{A8498E78-72EF-4DC6-8C66-708E2916A658}"/>
    <cellStyle name="Berechnung 4 3" xfId="11354" xr:uid="{77011FED-DCCA-4D2A-97B0-94AFAB39E1C9}"/>
    <cellStyle name="Berechnung 4 3 2" xfId="30791" xr:uid="{193C6315-DD04-4465-97E2-F8FEF7A859D8}"/>
    <cellStyle name="Berechnung 4 4" xfId="11355" xr:uid="{F82C426B-A40B-454D-B8AC-CE0B75619B1B}"/>
    <cellStyle name="Berechnung 4 4 2" xfId="30792" xr:uid="{9DCE87AD-C38A-469F-8803-86D042F7B365}"/>
    <cellStyle name="Berechnung 4 5" xfId="11356" xr:uid="{E1FCD406-CBD0-48D6-8C03-AF987BC814BE}"/>
    <cellStyle name="Berechnung 4 5 2" xfId="30793" xr:uid="{6AED50C3-9C6A-439B-AD7F-34F537276A9D}"/>
    <cellStyle name="Berechnung 4 6" xfId="11357" xr:uid="{2E40A882-BECA-44C6-BA31-FDDCCCFDBBA2}"/>
    <cellStyle name="Berechnung 4 6 2" xfId="30794" xr:uid="{C89014A9-1008-4CFF-97E0-0237C3F61B64}"/>
    <cellStyle name="Berechnung 4 7" xfId="30788" xr:uid="{C31B8FDA-929F-4856-85AF-43A95AE88B6D}"/>
    <cellStyle name="Berechnung 4 8" xfId="39415" xr:uid="{A3E715FF-5043-434C-BDD1-E566093302A0}"/>
    <cellStyle name="Berechnung 40" xfId="50" xr:uid="{CB92FD9D-D6EA-4004-8919-01B5870AAC91}"/>
    <cellStyle name="Berechnung 5" xfId="11358" xr:uid="{5B3AA505-3EEB-463E-82F3-60173F701077}"/>
    <cellStyle name="Berechnung 5 2" xfId="11359" xr:uid="{A577DD14-8E6C-493B-930D-FB89BCD7F11F}"/>
    <cellStyle name="Berechnung 5 2 2" xfId="30796" xr:uid="{F3EEA54B-023E-4F52-808B-CDD742D8CFF1}"/>
    <cellStyle name="Berechnung 5 3" xfId="11360" xr:uid="{6BC7F06B-ABC7-44FF-84B1-B8CAE8A13767}"/>
    <cellStyle name="Berechnung 5 3 2" xfId="30797" xr:uid="{17AB88A2-8227-48E4-B934-B17933B3F10F}"/>
    <cellStyle name="Berechnung 5 4" xfId="11361" xr:uid="{06240F0C-FCB8-43A5-BAA6-FA693EAB41F8}"/>
    <cellStyle name="Berechnung 5 4 2" xfId="30798" xr:uid="{1EA83345-69BF-4DC7-9F29-8F449307913D}"/>
    <cellStyle name="Berechnung 5 5" xfId="30795" xr:uid="{910108C3-B81E-4220-953A-77BDC9C18BF2}"/>
    <cellStyle name="Berechnung 5 6" xfId="39416" xr:uid="{59A52EF0-5041-49CA-92DA-9A2AC8F7DCB9}"/>
    <cellStyle name="Berechnung 6" xfId="11362" xr:uid="{86AE9E6E-CF91-44E1-AFCA-0FF09A9E1450}"/>
    <cellStyle name="Berechnung 6 2" xfId="11363" xr:uid="{77C3D358-DE3C-4D1D-BB9A-3E9A1329AB0D}"/>
    <cellStyle name="Berechnung 6 2 2" xfId="30800" xr:uid="{0C429638-2554-4953-97AD-E4A35B9B003C}"/>
    <cellStyle name="Berechnung 6 3" xfId="11364" xr:uid="{9032EF62-8F79-4119-9CF5-08ED23504903}"/>
    <cellStyle name="Berechnung 6 3 2" xfId="30801" xr:uid="{13E9A857-627C-4207-99FD-A3F3BC14E3A5}"/>
    <cellStyle name="Berechnung 6 4" xfId="11365" xr:uid="{69387F23-00FE-47ED-A575-8D6666B07A2C}"/>
    <cellStyle name="Berechnung 6 4 2" xfId="30802" xr:uid="{4AA6DD19-D667-4017-81B9-ED2928F21A80}"/>
    <cellStyle name="Berechnung 6 5" xfId="30799" xr:uid="{ABEA79DF-D71B-4E7B-ADE1-6EE099DCCE3D}"/>
    <cellStyle name="Berechnung 6 6" xfId="39411" xr:uid="{5EA3B129-502D-4614-9D9E-53565E6CF0AA}"/>
    <cellStyle name="Berechnung 7" xfId="11366" xr:uid="{3B7E7436-D9F8-420A-9359-FFA538C7BCB3}"/>
    <cellStyle name="Berechnung 7 2" xfId="11367" xr:uid="{1FFEFD86-BB17-4914-800A-DB5FB7A2F0B1}"/>
    <cellStyle name="Berechnung 7 2 2" xfId="30804" xr:uid="{E1FBD0E2-F4DE-40B9-8C2F-B6AA6DF1CED9}"/>
    <cellStyle name="Berechnung 7 3" xfId="30803" xr:uid="{8D4A6905-6D19-4BC5-AA99-136A6A9C99DD}"/>
    <cellStyle name="Berechnung 8" xfId="11368" xr:uid="{803A1E81-33AE-4983-B7EF-8342B6E24278}"/>
    <cellStyle name="Berechnung 8 2" xfId="11369" xr:uid="{05B10C8C-D489-4B2B-98FE-0850EE7C36BE}"/>
    <cellStyle name="Berechnung 8 2 2" xfId="30806" xr:uid="{E44F5915-9FD8-4448-84F1-6A284CFD5496}"/>
    <cellStyle name="Berechnung 8 3" xfId="30805" xr:uid="{315AAA46-1FB7-42FA-817A-9A4F927972FC}"/>
    <cellStyle name="Berechnung 9" xfId="11370" xr:uid="{6DDA597D-840C-4B84-98CD-579C07E1A977}"/>
    <cellStyle name="Berechnung 9 2" xfId="11371" xr:uid="{067247FB-B4B9-471C-BE2F-F22444F80A99}"/>
    <cellStyle name="Berechnung 9 2 2" xfId="30808" xr:uid="{4BCCAF61-BE4D-41A2-91E0-039C4B20A129}"/>
    <cellStyle name="Berechnung 9 3" xfId="30807" xr:uid="{E361666D-77E1-42CA-898D-4FDB55B273B5}"/>
    <cellStyle name="Dezimal 10" xfId="11373" xr:uid="{F410A486-2BDA-4BC4-B8DC-B9DA5FE6455E}"/>
    <cellStyle name="Dezimal 10 10" xfId="11374" xr:uid="{5107B478-2BA9-437F-9012-716811DA5A80}"/>
    <cellStyle name="Dezimal 10 10 2" xfId="11375" xr:uid="{7CDB1C26-5690-4227-B6C7-3124EE1FAB8C}"/>
    <cellStyle name="Dezimal 10 10 2 2" xfId="30812" xr:uid="{0774A8E8-9316-44D9-9639-6B898FD28AE8}"/>
    <cellStyle name="Dezimal 10 10 3" xfId="30811" xr:uid="{75BC7F10-9E72-424D-ACD7-BC4CDBFFC639}"/>
    <cellStyle name="Dezimal 10 11" xfId="11376" xr:uid="{89CBC984-2A5A-4073-844E-B1B640A5D29A}"/>
    <cellStyle name="Dezimal 10 11 2" xfId="11377" xr:uid="{243821C2-8ADE-4CCE-BB2C-6EBF861D18E4}"/>
    <cellStyle name="Dezimal 10 11 2 2" xfId="30814" xr:uid="{23D057F3-E4CB-4CA2-928A-17719FFE7E1A}"/>
    <cellStyle name="Dezimal 10 11 3" xfId="30813" xr:uid="{DB1121D2-4E05-4B52-88E8-6362BEE829A5}"/>
    <cellStyle name="Dezimal 10 12" xfId="11378" xr:uid="{8C7F027D-F68A-4EE6-B4A0-6BCC1C5179EB}"/>
    <cellStyle name="Dezimal 10 12 2" xfId="11379" xr:uid="{D183BFF0-9778-442B-BA07-6629203CFA4C}"/>
    <cellStyle name="Dezimal 10 12 2 2" xfId="30816" xr:uid="{EF2884FC-E845-4B3F-BB30-0D0F8281A29A}"/>
    <cellStyle name="Dezimal 10 12 3" xfId="30815" xr:uid="{8B95418C-15F3-4E52-BF8E-B86A6AEF0730}"/>
    <cellStyle name="Dezimal 10 13" xfId="11380" xr:uid="{F3F72020-1128-4BD0-B65D-2C2E46DC3E1B}"/>
    <cellStyle name="Dezimal 10 13 2" xfId="11381" xr:uid="{5595D1FB-45E1-4B28-8539-E6DD7CFA3739}"/>
    <cellStyle name="Dezimal 10 13 2 2" xfId="30818" xr:uid="{982D8442-29E9-4976-BDEA-46D13B92C950}"/>
    <cellStyle name="Dezimal 10 13 3" xfId="30817" xr:uid="{A384182D-1519-458A-A878-C586BE54E7EC}"/>
    <cellStyle name="Dezimal 10 14" xfId="11382" xr:uid="{304B562E-D68A-403B-9FF6-257CA65C13A1}"/>
    <cellStyle name="Dezimal 10 14 2" xfId="11383" xr:uid="{D58494F2-E384-466B-AD69-C1ECABA1B842}"/>
    <cellStyle name="Dezimal 10 14 2 2" xfId="30820" xr:uid="{64520AB9-56C5-435C-903F-70F9C30F52DF}"/>
    <cellStyle name="Dezimal 10 14 3" xfId="30819" xr:uid="{A72201C2-D0B2-4086-96B6-45AF47F9A034}"/>
    <cellStyle name="Dezimal 10 15" xfId="11384" xr:uid="{BAB255C9-234D-4926-BFFD-3259D561EEF1}"/>
    <cellStyle name="Dezimal 10 15 2" xfId="11385" xr:uid="{BE144D22-72DC-4EB3-A18A-D08F96B3548A}"/>
    <cellStyle name="Dezimal 10 15 2 2" xfId="30822" xr:uid="{D46D9968-D156-4749-8A32-851491BB4082}"/>
    <cellStyle name="Dezimal 10 15 3" xfId="30821" xr:uid="{F3EBCB85-4E69-433C-8FEC-5592C9C02CD6}"/>
    <cellStyle name="Dezimal 10 16" xfId="11386" xr:uid="{134C9F1F-2859-442A-B4EC-4F70540F202D}"/>
    <cellStyle name="Dezimal 10 16 2" xfId="11387" xr:uid="{9E0D4CF2-EF5F-49F1-822D-59AF33861C08}"/>
    <cellStyle name="Dezimal 10 16 2 2" xfId="30824" xr:uid="{6201B8EF-A716-407A-A7E1-0E5E70E89097}"/>
    <cellStyle name="Dezimal 10 16 3" xfId="30823" xr:uid="{375DF001-F67E-44B0-B43F-A90E46936459}"/>
    <cellStyle name="Dezimal 10 17" xfId="11388" xr:uid="{8F45D254-0A63-4B45-BBD1-D49B0B9BC4B1}"/>
    <cellStyle name="Dezimal 10 17 2" xfId="11389" xr:uid="{CBF02B6E-CB66-46D6-8643-4A18E4238E78}"/>
    <cellStyle name="Dezimal 10 17 2 2" xfId="30826" xr:uid="{467F49F3-B455-4C48-B2F1-BA2824451FE6}"/>
    <cellStyle name="Dezimal 10 17 3" xfId="30825" xr:uid="{41F28A93-6F67-494E-9BE0-92DE7339A5B8}"/>
    <cellStyle name="Dezimal 10 18" xfId="11390" xr:uid="{86A81660-A966-4604-B7DE-3561F4D5783E}"/>
    <cellStyle name="Dezimal 10 18 2" xfId="11391" xr:uid="{24CDA50F-7C5E-4016-9A58-88BF657EABD2}"/>
    <cellStyle name="Dezimal 10 18 2 2" xfId="30828" xr:uid="{561BB3B9-A233-48DF-B099-2ABD01E4E49B}"/>
    <cellStyle name="Dezimal 10 18 3" xfId="30827" xr:uid="{D67B0660-83E6-4A0C-9952-A6B23B8680EA}"/>
    <cellStyle name="Dezimal 10 19" xfId="11392" xr:uid="{9BFA8537-371D-49E3-A048-A8C21447BA68}"/>
    <cellStyle name="Dezimal 10 19 2" xfId="11393" xr:uid="{53DC7D5A-A8FF-4B68-98E9-90B8F083A742}"/>
    <cellStyle name="Dezimal 10 19 2 2" xfId="30830" xr:uid="{3A52E77D-8EF9-4572-AD2C-C7840906763B}"/>
    <cellStyle name="Dezimal 10 19 3" xfId="30829" xr:uid="{14648662-91B4-4F11-986C-A2E85912355C}"/>
    <cellStyle name="Dezimal 10 2" xfId="11394" xr:uid="{95D78DAC-9903-45F6-AC2B-E18835573894}"/>
    <cellStyle name="Dezimal 10 2 2" xfId="11395" xr:uid="{4B0BF2C1-3FB8-4B04-AB95-F538C983007D}"/>
    <cellStyle name="Dezimal 10 2 2 2" xfId="30832" xr:uid="{EFD7FA42-5763-46F6-8CE0-CB33D1F5CC6E}"/>
    <cellStyle name="Dezimal 10 2 3" xfId="30831" xr:uid="{99C136DD-3560-4358-9F84-6484992F4171}"/>
    <cellStyle name="Dezimal 10 2 4" xfId="42197" xr:uid="{CD7C8F65-4E6C-4BC8-B1E2-23D13666FB87}"/>
    <cellStyle name="Dezimal 10 20" xfId="11396" xr:uid="{49D40128-C17A-4F4C-B964-6C83F66A3314}"/>
    <cellStyle name="Dezimal 10 20 2" xfId="11397" xr:uid="{0AD14E6B-6CB5-4139-813F-5FFF729CDB5F}"/>
    <cellStyle name="Dezimal 10 20 2 2" xfId="30834" xr:uid="{89AFF503-7487-4C52-A322-F4DACC2E51A7}"/>
    <cellStyle name="Dezimal 10 20 3" xfId="30833" xr:uid="{598CEDE6-03C8-4427-9685-FECABD354502}"/>
    <cellStyle name="Dezimal 10 21" xfId="11398" xr:uid="{84E29D49-2AA8-4351-BA3F-027E597D2D75}"/>
    <cellStyle name="Dezimal 10 21 2" xfId="11399" xr:uid="{AE2F9132-225B-46DF-BBBC-7A1EBB6B206B}"/>
    <cellStyle name="Dezimal 10 21 2 2" xfId="30836" xr:uid="{CC4A8C4E-78EA-4030-B153-1139327EF83A}"/>
    <cellStyle name="Dezimal 10 21 3" xfId="30835" xr:uid="{1D46ECAD-50FF-4E21-9929-0BDF8FE9C2C9}"/>
    <cellStyle name="Dezimal 10 22" xfId="11400" xr:uid="{21BC8BA0-E07D-4E57-B5B9-84C3731B7056}"/>
    <cellStyle name="Dezimal 10 22 2" xfId="11401" xr:uid="{5933F9BC-4BF8-4A02-A346-8774E9548ADE}"/>
    <cellStyle name="Dezimal 10 22 2 2" xfId="30838" xr:uid="{1AFFABB6-FA8F-48BD-946B-9F3D3F55BA6B}"/>
    <cellStyle name="Dezimal 10 22 3" xfId="30837" xr:uid="{601D059C-2348-42A6-964F-CA33E8947FC8}"/>
    <cellStyle name="Dezimal 10 23" xfId="11402" xr:uid="{DEC9F6E9-6EC9-4FA4-9600-BC5E605CE7D0}"/>
    <cellStyle name="Dezimal 10 23 2" xfId="11403" xr:uid="{DBC3BFD2-AEE1-4816-B192-2FC3F7D53FB2}"/>
    <cellStyle name="Dezimal 10 23 2 2" xfId="30840" xr:uid="{47B12C18-C274-4D0B-A6B5-FFFFBB378F06}"/>
    <cellStyle name="Dezimal 10 23 3" xfId="30839" xr:uid="{566851F4-C248-40F1-A9CD-F34CB6FC72AA}"/>
    <cellStyle name="Dezimal 10 24" xfId="11404" xr:uid="{201B5B22-5D4C-46A6-812D-D2111C19D6B2}"/>
    <cellStyle name="Dezimal 10 24 2" xfId="11405" xr:uid="{8C7DFFBD-E0C4-4D95-A681-95F241646A1C}"/>
    <cellStyle name="Dezimal 10 24 2 2" xfId="30842" xr:uid="{DCF2FB35-6DB0-49B5-888D-5E6D9C807546}"/>
    <cellStyle name="Dezimal 10 24 3" xfId="30841" xr:uid="{43CFC8AB-8D7F-4B47-BA0F-EF5542D45D23}"/>
    <cellStyle name="Dezimal 10 25" xfId="11406" xr:uid="{B7D36FCE-F507-4DD4-B3AF-B48BAE8DE3CE}"/>
    <cellStyle name="Dezimal 10 25 2" xfId="11407" xr:uid="{763CA4D2-A041-48C0-BBFB-95AA82443D9F}"/>
    <cellStyle name="Dezimal 10 25 2 2" xfId="30844" xr:uid="{9533A3B6-931C-4313-81D8-8990B204F1B9}"/>
    <cellStyle name="Dezimal 10 25 3" xfId="30843" xr:uid="{69073AAF-6745-47AD-A7B5-83FD46728614}"/>
    <cellStyle name="Dezimal 10 26" xfId="11408" xr:uid="{79A004C6-6729-422C-BD2F-442768BB1A04}"/>
    <cellStyle name="Dezimal 10 26 2" xfId="11409" xr:uid="{6087BA18-8BA5-44EE-BE27-D4DB9D261E0C}"/>
    <cellStyle name="Dezimal 10 26 2 2" xfId="30846" xr:uid="{A37AF365-155E-46A5-A510-294FE13793F2}"/>
    <cellStyle name="Dezimal 10 26 3" xfId="30845" xr:uid="{63C88A5A-5C3F-4235-A09B-ABA2854B8479}"/>
    <cellStyle name="Dezimal 10 27" xfId="11410" xr:uid="{60279E5D-BD5F-49BD-B0DE-B11EB7CBEB21}"/>
    <cellStyle name="Dezimal 10 27 2" xfId="11411" xr:uid="{2D7A65F6-FDF7-4800-82ED-EBFA4842EC99}"/>
    <cellStyle name="Dezimal 10 27 2 2" xfId="30848" xr:uid="{C86D0EAA-984F-4AFC-BA1D-7AA1FE2ABD24}"/>
    <cellStyle name="Dezimal 10 27 3" xfId="30847" xr:uid="{BEE9A46C-41FF-4282-AB13-87DBB833E3F3}"/>
    <cellStyle name="Dezimal 10 28" xfId="11412" xr:uid="{7B754385-F6D4-4993-B3BD-B9593E2AF7BF}"/>
    <cellStyle name="Dezimal 10 28 2" xfId="11413" xr:uid="{1839BBF4-70E9-492D-AFB0-0BCA8EC71A73}"/>
    <cellStyle name="Dezimal 10 28 2 2" xfId="30850" xr:uid="{48B7CF21-5926-4D1D-8AA5-008E62815F87}"/>
    <cellStyle name="Dezimal 10 28 3" xfId="30849" xr:uid="{9DF7AB3A-2735-4493-96C8-00A8C27F801F}"/>
    <cellStyle name="Dezimal 10 29" xfId="11414" xr:uid="{FDFE77C8-4A4B-4D93-8116-913487EDCDC4}"/>
    <cellStyle name="Dezimal 10 29 2" xfId="30851" xr:uid="{7CA8EB37-A0E3-4570-9D3D-FB39250992F7}"/>
    <cellStyle name="Dezimal 10 3" xfId="11415" xr:uid="{2A0CD5C4-CD0E-4C62-9A99-8D52894BA98C}"/>
    <cellStyle name="Dezimal 10 3 2" xfId="11416" xr:uid="{E2D85255-6D02-488E-8DFF-DCCEBB1DDDCB}"/>
    <cellStyle name="Dezimal 10 3 2 2" xfId="30853" xr:uid="{B58EE9B3-1B8C-4F1E-8A34-E2A6608274B2}"/>
    <cellStyle name="Dezimal 10 3 3" xfId="30852" xr:uid="{45491068-867D-4F36-9F38-C61A5032C53A}"/>
    <cellStyle name="Dezimal 10 30" xfId="30810" xr:uid="{FDF5C036-514D-482E-97A5-1E4FA5139D1E}"/>
    <cellStyle name="Dezimal 10 31" xfId="40001" xr:uid="{7E3FB14E-2042-45B6-BB7B-99F81668DA26}"/>
    <cellStyle name="Dezimal 10 4" xfId="11417" xr:uid="{F4FF6DE1-F1D0-40C3-9185-30A93FD7D732}"/>
    <cellStyle name="Dezimal 10 4 2" xfId="11418" xr:uid="{B8C76BE6-D35F-4E96-BF96-3469C1FEDA01}"/>
    <cellStyle name="Dezimal 10 4 2 2" xfId="30855" xr:uid="{3C49ADCE-F95A-4F2B-BBDA-3DB4860A8FC3}"/>
    <cellStyle name="Dezimal 10 4 3" xfId="30854" xr:uid="{F115C6E6-9456-4546-BABC-CFE5DAB584A1}"/>
    <cellStyle name="Dezimal 10 5" xfId="11419" xr:uid="{E1D6816E-726B-45D6-846A-1563DD477B00}"/>
    <cellStyle name="Dezimal 10 5 2" xfId="11420" xr:uid="{FA295F05-DF0D-4E9D-9065-522EA436C897}"/>
    <cellStyle name="Dezimal 10 5 2 2" xfId="30857" xr:uid="{2A292562-FFE1-4D8E-A897-F19EBC6EC68A}"/>
    <cellStyle name="Dezimal 10 5 3" xfId="30856" xr:uid="{080305E6-5D05-4545-A1A7-8F86E62F9A7F}"/>
    <cellStyle name="Dezimal 10 6" xfId="11421" xr:uid="{40CF2ED2-E00C-4237-817A-6FAA5899AE33}"/>
    <cellStyle name="Dezimal 10 6 2" xfId="11422" xr:uid="{0389BE1F-C4BE-4278-93EF-71C5C2B51E72}"/>
    <cellStyle name="Dezimal 10 6 2 2" xfId="30859" xr:uid="{80F27C42-B386-48DF-A917-90455F479354}"/>
    <cellStyle name="Dezimal 10 6 3" xfId="30858" xr:uid="{6B142307-E325-42AC-8E68-408DD7AC0CF4}"/>
    <cellStyle name="Dezimal 10 7" xfId="11423" xr:uid="{ADF7D00A-ECBA-4DFE-BD9E-95012E020629}"/>
    <cellStyle name="Dezimal 10 7 2" xfId="11424" xr:uid="{854C7C8B-A2D7-4650-B696-3AE7FFE6F13A}"/>
    <cellStyle name="Dezimal 10 7 2 2" xfId="30861" xr:uid="{54B819E6-DF13-4F45-BF51-8944D5C55CE5}"/>
    <cellStyle name="Dezimal 10 7 3" xfId="30860" xr:uid="{D249A1B2-231D-4A0C-9AAE-BAF235E59EE5}"/>
    <cellStyle name="Dezimal 10 8" xfId="11425" xr:uid="{F11595AC-D442-4ABB-979D-9CEE16CA268D}"/>
    <cellStyle name="Dezimal 10 8 2" xfId="11426" xr:uid="{1D590190-7902-4125-905C-3D3F259AE994}"/>
    <cellStyle name="Dezimal 10 8 2 2" xfId="30863" xr:uid="{F07B241D-0493-4137-BD7D-3D992CA9DC17}"/>
    <cellStyle name="Dezimal 10 8 3" xfId="30862" xr:uid="{960EBD90-F47F-448E-823A-46D25A0F63CB}"/>
    <cellStyle name="Dezimal 10 9" xfId="11427" xr:uid="{443A7EBB-3350-41CC-9AD0-13E91D690259}"/>
    <cellStyle name="Dezimal 10 9 2" xfId="11428" xr:uid="{7E5C6A3C-8B3D-48F6-822B-1F566DB7BB3A}"/>
    <cellStyle name="Dezimal 10 9 2 2" xfId="30865" xr:uid="{1B7E4232-925C-4587-B781-AF03F3B0E52F}"/>
    <cellStyle name="Dezimal 10 9 3" xfId="30864" xr:uid="{9DB960D2-0A63-405F-8104-A8A18CE0FB7B}"/>
    <cellStyle name="Dezimal 100" xfId="11429" xr:uid="{F83C4B70-2A86-4441-81BB-A7C3C6E92DBA}"/>
    <cellStyle name="Dezimal 100 10" xfId="11430" xr:uid="{CC12F904-756C-4E08-B5B9-BC0294687776}"/>
    <cellStyle name="Dezimal 100 10 2" xfId="30867" xr:uid="{C7A4CCCD-7B09-444E-A9AB-3179B982C9A9}"/>
    <cellStyle name="Dezimal 100 11" xfId="11431" xr:uid="{2A7562EE-2649-43E7-AF52-BFE8DE38776D}"/>
    <cellStyle name="Dezimal 100 11 2" xfId="30868" xr:uid="{3DB32C3A-B302-4C2D-A4B1-323E152480C6}"/>
    <cellStyle name="Dezimal 100 12" xfId="11432" xr:uid="{A91CB699-55EC-412A-87C4-09913DA15C84}"/>
    <cellStyle name="Dezimal 100 12 2" xfId="30869" xr:uid="{E8797C12-6107-4A0D-A950-41531551C222}"/>
    <cellStyle name="Dezimal 100 13" xfId="11433" xr:uid="{00A21229-16DF-4F14-85D5-14E157E4186C}"/>
    <cellStyle name="Dezimal 100 13 2" xfId="30870" xr:uid="{2FE4D051-B65C-4FAA-A04C-ADA03DC18705}"/>
    <cellStyle name="Dezimal 100 14" xfId="30866" xr:uid="{A460CA88-A46A-458B-AE10-5B9DF5431DEE}"/>
    <cellStyle name="Dezimal 100 2" xfId="11434" xr:uid="{2AB65EDE-CA62-4E47-A9E9-33A9705BEA04}"/>
    <cellStyle name="Dezimal 100 2 2" xfId="30871" xr:uid="{68CF1220-7879-4354-85B3-1F4BD73D5566}"/>
    <cellStyle name="Dezimal 100 3" xfId="11435" xr:uid="{BAC525A6-311C-478F-BEAA-D8D3D51A4167}"/>
    <cellStyle name="Dezimal 100 3 2" xfId="30872" xr:uid="{66E9FAF3-2607-4F25-9C0D-108221164037}"/>
    <cellStyle name="Dezimal 100 4" xfId="11436" xr:uid="{8B4051FC-954A-4A3F-A3AB-D9D1C3D35F48}"/>
    <cellStyle name="Dezimal 100 4 2" xfId="30873" xr:uid="{AD659708-D964-4E97-93DF-FFFD3AB61572}"/>
    <cellStyle name="Dezimal 100 5" xfId="11437" xr:uid="{9902ECFC-3C91-4F46-858D-B9360E9F696D}"/>
    <cellStyle name="Dezimal 100 5 2" xfId="30874" xr:uid="{A6544A60-CF32-4BA9-A20E-3AA4586B9C0F}"/>
    <cellStyle name="Dezimal 100 6" xfId="11438" xr:uid="{E39A1A11-93BD-4EAF-9335-D99464E3F20C}"/>
    <cellStyle name="Dezimal 100 6 2" xfId="30875" xr:uid="{AB1E8156-EF98-42AF-8ED4-74DC9A8D7A3C}"/>
    <cellStyle name="Dezimal 100 7" xfId="11439" xr:uid="{11AA909B-C3E0-4A75-9AC5-F6209D2908E2}"/>
    <cellStyle name="Dezimal 100 7 2" xfId="30876" xr:uid="{21F75D8A-65F1-463A-BD45-0FC12B0DBCC9}"/>
    <cellStyle name="Dezimal 100 8" xfId="11440" xr:uid="{43CD235C-056B-4733-A3D8-1CED60AC6245}"/>
    <cellStyle name="Dezimal 100 8 2" xfId="30877" xr:uid="{E2393C0D-7B52-48F1-A890-8635958ADD0D}"/>
    <cellStyle name="Dezimal 100 9" xfId="11441" xr:uid="{252BB062-A19A-46E6-9320-309E59D7F0D8}"/>
    <cellStyle name="Dezimal 100 9 2" xfId="30878" xr:uid="{4F90E33F-6961-4D2C-B68E-4473B33C1D72}"/>
    <cellStyle name="Dezimal 104" xfId="11442" xr:uid="{9FAC5D7E-2E71-4D64-A830-4AA33FCB8132}"/>
    <cellStyle name="Dezimal 104 10" xfId="11443" xr:uid="{27182704-468A-4425-B030-115E0411C810}"/>
    <cellStyle name="Dezimal 104 10 2" xfId="30880" xr:uid="{1697A7D7-433B-4018-9611-2E6DBEE36D9F}"/>
    <cellStyle name="Dezimal 104 11" xfId="11444" xr:uid="{A79610C0-0B6B-457C-80C9-D5662A0C580B}"/>
    <cellStyle name="Dezimal 104 11 2" xfId="30881" xr:uid="{B9A9BE84-23ED-442F-9635-320060442921}"/>
    <cellStyle name="Dezimal 104 12" xfId="11445" xr:uid="{E73790AD-6EC1-4EBF-8B85-293451A5F689}"/>
    <cellStyle name="Dezimal 104 12 2" xfId="30882" xr:uid="{FD984324-2913-4B49-ABA3-C78D65D9534B}"/>
    <cellStyle name="Dezimal 104 13" xfId="30879" xr:uid="{CEFBADED-6CF4-4A16-B015-E8E19D9126DD}"/>
    <cellStyle name="Dezimal 104 2" xfId="11446" xr:uid="{32A79897-B3B7-423D-8881-F4839B8AC889}"/>
    <cellStyle name="Dezimal 104 2 2" xfId="30883" xr:uid="{9F86D3D9-F1CC-422A-83AB-75331EAA78B0}"/>
    <cellStyle name="Dezimal 104 3" xfId="11447" xr:uid="{DF6CF944-907C-42BD-9CB8-E63EEBDE6F8B}"/>
    <cellStyle name="Dezimal 104 3 2" xfId="30884" xr:uid="{0C1BB404-10BA-43AF-87BE-090BF9BF4E0D}"/>
    <cellStyle name="Dezimal 104 4" xfId="11448" xr:uid="{82D1ADD3-6113-4493-86B8-73E1CAFF912F}"/>
    <cellStyle name="Dezimal 104 4 2" xfId="30885" xr:uid="{0C2FB46A-F23B-425A-9797-03D00C795ED1}"/>
    <cellStyle name="Dezimal 104 5" xfId="11449" xr:uid="{D4FB04E9-9081-4773-A20C-49928FF6738E}"/>
    <cellStyle name="Dezimal 104 5 2" xfId="30886" xr:uid="{B6D08E63-9572-4755-BF9B-A680DE625A61}"/>
    <cellStyle name="Dezimal 104 6" xfId="11450" xr:uid="{24B2987B-B1BD-4698-9D45-769DFC51E0C2}"/>
    <cellStyle name="Dezimal 104 6 2" xfId="30887" xr:uid="{87198E68-3A8F-457F-B73F-39246BE61849}"/>
    <cellStyle name="Dezimal 104 7" xfId="11451" xr:uid="{B2907FB5-D091-4A67-BF23-8AEE9D3E9329}"/>
    <cellStyle name="Dezimal 104 7 2" xfId="30888" xr:uid="{33C9E94D-9D29-4525-BD5B-E6D238C56C51}"/>
    <cellStyle name="Dezimal 104 8" xfId="11452" xr:uid="{E499FF84-39D7-4361-BEA2-809244F5E8C8}"/>
    <cellStyle name="Dezimal 104 8 2" xfId="30889" xr:uid="{E89D5762-70A3-4AED-AEDF-D5A6826C5CD2}"/>
    <cellStyle name="Dezimal 104 9" xfId="11453" xr:uid="{E7672997-4905-41E5-90EA-8588A43732FC}"/>
    <cellStyle name="Dezimal 104 9 2" xfId="30890" xr:uid="{034D77D2-7E24-4FB4-87CD-1BA04A495B3D}"/>
    <cellStyle name="Dezimal 11" xfId="11454" xr:uid="{C12778D4-0716-4468-9EFB-E7986E046062}"/>
    <cellStyle name="Dezimal 11 10" xfId="11455" xr:uid="{C50C1990-CC38-4705-8A8E-8FF7E0E68CC6}"/>
    <cellStyle name="Dezimal 11 10 2" xfId="30892" xr:uid="{DC6BDD91-F48E-439A-9696-899822EC0692}"/>
    <cellStyle name="Dezimal 11 11" xfId="11456" xr:uid="{5809662B-EDA9-4F6A-9D63-5A32C4E803B1}"/>
    <cellStyle name="Dezimal 11 11 2" xfId="11457" xr:uid="{903A2A8F-871D-4A9F-80B5-353C1E2E2EEA}"/>
    <cellStyle name="Dezimal 11 11 2 2" xfId="30894" xr:uid="{79AAC181-884A-4F3E-A60F-BB80698E2241}"/>
    <cellStyle name="Dezimal 11 11 3" xfId="30893" xr:uid="{798C2EF0-8953-4012-9E31-DD7CD0E29D0A}"/>
    <cellStyle name="Dezimal 11 12" xfId="11458" xr:uid="{9B332644-8EFD-41AC-8CB6-4F97DA014044}"/>
    <cellStyle name="Dezimal 11 12 2" xfId="11459" xr:uid="{25CAB391-F367-4515-8B17-EEC45848AE31}"/>
    <cellStyle name="Dezimal 11 12 2 2" xfId="30896" xr:uid="{E002EA35-652F-4F8E-B983-B3996934F199}"/>
    <cellStyle name="Dezimal 11 12 3" xfId="30895" xr:uid="{E48F775B-4C76-4D63-A003-6E645F7A6D3F}"/>
    <cellStyle name="Dezimal 11 13" xfId="11460" xr:uid="{C193EA86-E419-472A-AFAE-B7DF0D74FC84}"/>
    <cellStyle name="Dezimal 11 13 2" xfId="11461" xr:uid="{60ABA976-F832-4D09-ADD8-D46E2E5A4D92}"/>
    <cellStyle name="Dezimal 11 13 2 2" xfId="30898" xr:uid="{D9B72A38-608C-4B63-A182-93A8D732376E}"/>
    <cellStyle name="Dezimal 11 13 3" xfId="30897" xr:uid="{524E3E94-6F90-45FF-9D9F-C6C5E449A3B0}"/>
    <cellStyle name="Dezimal 11 14" xfId="11462" xr:uid="{256D0F20-9776-4351-B757-10A355A6C8D1}"/>
    <cellStyle name="Dezimal 11 14 2" xfId="11463" xr:uid="{1721EF91-FE5E-4E21-90BB-69CDE55AD772}"/>
    <cellStyle name="Dezimal 11 14 2 2" xfId="30900" xr:uid="{04C3F54F-521B-4F91-977E-87C2F97EC52B}"/>
    <cellStyle name="Dezimal 11 14 3" xfId="30899" xr:uid="{A83813C9-0381-4A8E-8CA9-71C684A57EBC}"/>
    <cellStyle name="Dezimal 11 15" xfId="11464" xr:uid="{7558BB3F-A3CB-4AE7-9609-1AFD8A74772F}"/>
    <cellStyle name="Dezimal 11 15 2" xfId="11465" xr:uid="{4BD1FA3B-8D1F-4FC3-A0C9-6DE4B1DADB4F}"/>
    <cellStyle name="Dezimal 11 15 2 2" xfId="30902" xr:uid="{CC19A423-493D-431A-9037-2B9146BA4774}"/>
    <cellStyle name="Dezimal 11 15 3" xfId="30901" xr:uid="{2DF06062-37FF-417A-B247-C4E29AB108D1}"/>
    <cellStyle name="Dezimal 11 16" xfId="11466" xr:uid="{712783F2-BA70-42A9-BAB2-F10C93290130}"/>
    <cellStyle name="Dezimal 11 16 2" xfId="11467" xr:uid="{34F40147-18DF-47BD-9B84-4F0EF8E03CE3}"/>
    <cellStyle name="Dezimal 11 16 2 2" xfId="30904" xr:uid="{DF769564-DEF0-42A4-B943-39038B736023}"/>
    <cellStyle name="Dezimal 11 16 3" xfId="30903" xr:uid="{6CACD4EB-6D5A-42FD-A8F1-A263A2D2F65D}"/>
    <cellStyle name="Dezimal 11 17" xfId="11468" xr:uid="{D398E020-BBA0-4808-AC2D-1941B7BE9950}"/>
    <cellStyle name="Dezimal 11 17 2" xfId="11469" xr:uid="{F42D7B64-5675-4996-B96D-060D262E4B3E}"/>
    <cellStyle name="Dezimal 11 17 2 2" xfId="30906" xr:uid="{958A5188-6468-4592-8D48-FD6E70CF280A}"/>
    <cellStyle name="Dezimal 11 17 3" xfId="30905" xr:uid="{055C2EAE-E54D-4378-94AC-696D92A6DCBD}"/>
    <cellStyle name="Dezimal 11 18" xfId="11470" xr:uid="{EBE5DB46-8C33-4063-884B-F9845C0866E5}"/>
    <cellStyle name="Dezimal 11 18 2" xfId="11471" xr:uid="{695BBB94-7397-4785-8202-2CDA9562AA32}"/>
    <cellStyle name="Dezimal 11 18 2 2" xfId="30908" xr:uid="{69AE5784-3DB7-4AF5-B141-A7E33FE0F3E6}"/>
    <cellStyle name="Dezimal 11 18 3" xfId="30907" xr:uid="{D503B37D-C48A-4DF8-84AE-4CB7971BCCE8}"/>
    <cellStyle name="Dezimal 11 19" xfId="11472" xr:uid="{566A07AA-7645-48FF-A8BD-7ADA8FAF8371}"/>
    <cellStyle name="Dezimal 11 19 2" xfId="11473" xr:uid="{98B11F12-1875-4D4F-B81E-03E053D8EBB3}"/>
    <cellStyle name="Dezimal 11 19 2 2" xfId="30910" xr:uid="{F25C6806-4A92-4D22-8DDD-C1F51B2547C5}"/>
    <cellStyle name="Dezimal 11 19 3" xfId="30909" xr:uid="{B9A097F4-B547-4914-9292-C4B62915EFDF}"/>
    <cellStyle name="Dezimal 11 2" xfId="11474" xr:uid="{89671075-E92E-4D09-B5B8-DE2EC9A934C1}"/>
    <cellStyle name="Dezimal 11 2 2" xfId="30911" xr:uid="{51194659-11AB-43A1-91F8-96B16250DCAC}"/>
    <cellStyle name="Dezimal 11 20" xfId="11475" xr:uid="{C281E2AD-0CA5-411C-8BB4-2C73955996CC}"/>
    <cellStyle name="Dezimal 11 20 2" xfId="30912" xr:uid="{E400FBE5-FE09-4656-8C90-C495D55FAAAF}"/>
    <cellStyle name="Dezimal 11 21" xfId="30891" xr:uid="{C43F3D5C-48DF-4ABB-8702-D3D7CF6BCD4D}"/>
    <cellStyle name="Dezimal 11 22" xfId="42179" xr:uid="{B43F4ADA-C6E5-4E5B-8EE2-3C8F6733A69D}"/>
    <cellStyle name="Dezimal 11 3" xfId="11476" xr:uid="{679439F4-555D-4461-A8DA-036B71EAC3DF}"/>
    <cellStyle name="Dezimal 11 3 2" xfId="30913" xr:uid="{33404669-BBF4-4125-8CC6-26163EA63770}"/>
    <cellStyle name="Dezimal 11 4" xfId="11477" xr:uid="{82834D75-D083-4687-A119-C95E7E16C72A}"/>
    <cellStyle name="Dezimal 11 4 2" xfId="30914" xr:uid="{DD73520D-BB04-4528-9A0E-9264C12628D0}"/>
    <cellStyle name="Dezimal 11 5" xfId="11478" xr:uid="{A6EC4480-6C78-49A6-88F5-F5478142F630}"/>
    <cellStyle name="Dezimal 11 5 2" xfId="30915" xr:uid="{EFBA8C20-2428-4BED-AFE0-86A106B3397B}"/>
    <cellStyle name="Dezimal 11 6" xfId="11479" xr:uid="{CAA3028E-EB9E-471A-BC7B-2956949551EE}"/>
    <cellStyle name="Dezimal 11 6 2" xfId="30916" xr:uid="{5742243C-6DDC-4445-AD64-49F6C7A097D8}"/>
    <cellStyle name="Dezimal 11 7" xfId="11480" xr:uid="{8A11BE66-C62F-47A3-AA36-D0B0FC2FED5A}"/>
    <cellStyle name="Dezimal 11 7 2" xfId="30917" xr:uid="{2792D3F4-8C3E-45ED-8C42-63CE4AD91936}"/>
    <cellStyle name="Dezimal 11 8" xfId="11481" xr:uid="{2854EE4A-27DF-495E-9CD5-0EA76DE42FB1}"/>
    <cellStyle name="Dezimal 11 8 2" xfId="30918" xr:uid="{91F30AA6-D6DE-4086-A5E2-234B25F28D9A}"/>
    <cellStyle name="Dezimal 11 9" xfId="11482" xr:uid="{70FEF062-13B8-47EF-9801-EF83EFA84DF5}"/>
    <cellStyle name="Dezimal 11 9 2" xfId="30919" xr:uid="{A6BF0DAF-D511-46E8-BF73-B50EC87FBEE3}"/>
    <cellStyle name="Dezimal 111" xfId="11483" xr:uid="{14C18602-5DAF-4253-ADDC-A842B3CA5E2F}"/>
    <cellStyle name="Dezimal 111 2" xfId="30920" xr:uid="{0EA9E75B-A7D3-4D79-B562-360C143CE240}"/>
    <cellStyle name="Dezimal 112" xfId="11484" xr:uid="{85956A27-A16F-452F-9E92-9386208FBED1}"/>
    <cellStyle name="Dezimal 112 2" xfId="30921" xr:uid="{1033F659-0D33-482F-9BC1-E3370D9A7964}"/>
    <cellStyle name="Dezimal 113" xfId="11485" xr:uid="{D3B07225-9183-439D-843A-CB08D55FE641}"/>
    <cellStyle name="Dezimal 113 2" xfId="30922" xr:uid="{6136CE72-D406-4C02-9AA9-D62711CEDE63}"/>
    <cellStyle name="Dezimal 114" xfId="11486" xr:uid="{AE4629CF-00A6-42F7-B7CE-83FFB3A097CB}"/>
    <cellStyle name="Dezimal 114 2" xfId="30923" xr:uid="{46E835E0-F11A-45F7-A573-55DE4F5ACEC5}"/>
    <cellStyle name="Dezimal 115" xfId="11487" xr:uid="{3BC39107-78CF-4E2A-A93F-24C8508584E3}"/>
    <cellStyle name="Dezimal 115 2" xfId="30924" xr:uid="{F6FBFAC7-798D-4A16-A0FF-B01C4B3A612B}"/>
    <cellStyle name="Dezimal 116" xfId="11488" xr:uid="{2BC2377C-2BFF-4300-9244-090223A7A144}"/>
    <cellStyle name="Dezimal 116 2" xfId="30925" xr:uid="{37558D22-EC62-44D6-A68D-3213DBA7852D}"/>
    <cellStyle name="Dezimal 117" xfId="11489" xr:uid="{E2959890-5710-4674-934E-9E98923FD70B}"/>
    <cellStyle name="Dezimal 117 2" xfId="30926" xr:uid="{0200A029-E509-415F-9ABC-CFD6322ABE06}"/>
    <cellStyle name="Dezimal 118" xfId="11490" xr:uid="{B70B81A1-BE34-4370-97B0-148346B3E8F4}"/>
    <cellStyle name="Dezimal 118 2" xfId="30927" xr:uid="{93465851-08FE-4A00-BE4A-DF632DAC664F}"/>
    <cellStyle name="Dezimal 119" xfId="11491" xr:uid="{618ED814-7F57-4150-A79B-53FEF133B9B4}"/>
    <cellStyle name="Dezimal 119 2" xfId="30928" xr:uid="{A77246C9-D1BC-420F-BEC0-4D82C6ECE073}"/>
    <cellStyle name="Dezimal 12" xfId="11492" xr:uid="{B368FD97-83AA-463E-B26E-D426E77412CE}"/>
    <cellStyle name="Dezimal 12 10" xfId="11493" xr:uid="{BB70C1F4-C891-49CA-9004-4984504303A7}"/>
    <cellStyle name="Dezimal 12 10 2" xfId="30930" xr:uid="{A94C6E57-5408-4275-9293-C312B97E43A5}"/>
    <cellStyle name="Dezimal 12 11" xfId="11494" xr:uid="{D2D1C959-8EDA-43B5-AF1C-7EBF82BBCE02}"/>
    <cellStyle name="Dezimal 12 11 2" xfId="11495" xr:uid="{8B20915B-CCE5-4C0D-A02A-171F6B7DDE17}"/>
    <cellStyle name="Dezimal 12 11 2 2" xfId="30932" xr:uid="{04E805B3-95B3-4934-A0E2-38E67C5DDC70}"/>
    <cellStyle name="Dezimal 12 11 3" xfId="30931" xr:uid="{7A4D15BD-8AEB-4940-BB98-1404F865A2BC}"/>
    <cellStyle name="Dezimal 12 12" xfId="11496" xr:uid="{8581705D-D392-4182-9B99-E802C70563C7}"/>
    <cellStyle name="Dezimal 12 12 2" xfId="11497" xr:uid="{2208AA65-4D00-4062-8D65-5EF35895250A}"/>
    <cellStyle name="Dezimal 12 12 2 2" xfId="30934" xr:uid="{1B50B551-BBCA-45FC-8F57-18252EBB392E}"/>
    <cellStyle name="Dezimal 12 12 3" xfId="30933" xr:uid="{BF50C69E-CBA8-4376-9E34-86AFBD1C970C}"/>
    <cellStyle name="Dezimal 12 13" xfId="11498" xr:uid="{D32CCDBD-26F3-4A88-8DBD-25D8DFB7868D}"/>
    <cellStyle name="Dezimal 12 13 2" xfId="11499" xr:uid="{DA561CE1-7FE4-4DF4-8985-FBC0F07239CB}"/>
    <cellStyle name="Dezimal 12 13 2 2" xfId="30936" xr:uid="{12492099-6723-4504-863E-4ABE9DA0E57F}"/>
    <cellStyle name="Dezimal 12 13 3" xfId="30935" xr:uid="{5A774348-7D19-4F3A-8E73-50D0F0CBDA0E}"/>
    <cellStyle name="Dezimal 12 14" xfId="11500" xr:uid="{333313F2-3125-4E47-B8F3-89155C0B11F1}"/>
    <cellStyle name="Dezimal 12 14 2" xfId="11501" xr:uid="{40C0C5F3-C163-47C2-994C-79FCC9A6F2EC}"/>
    <cellStyle name="Dezimal 12 14 2 2" xfId="30938" xr:uid="{38126ECD-2325-4783-9132-679C820670F4}"/>
    <cellStyle name="Dezimal 12 14 3" xfId="30937" xr:uid="{55DA8AA6-0725-4B61-857F-2E11666DA86B}"/>
    <cellStyle name="Dezimal 12 15" xfId="11502" xr:uid="{27005714-542F-4144-B47A-1EE9DD0590A6}"/>
    <cellStyle name="Dezimal 12 15 2" xfId="11503" xr:uid="{9ABC939F-2048-4305-81BD-3DB757AE2BB5}"/>
    <cellStyle name="Dezimal 12 15 2 2" xfId="30940" xr:uid="{F3A1E020-2EB2-4E9F-B2D3-0FEFF26A4735}"/>
    <cellStyle name="Dezimal 12 15 3" xfId="30939" xr:uid="{4265C1CE-A768-4F0D-9C89-53E40DE72910}"/>
    <cellStyle name="Dezimal 12 16" xfId="11504" xr:uid="{148B8207-109B-43AC-845D-F29751D9AAFF}"/>
    <cellStyle name="Dezimal 12 16 2" xfId="11505" xr:uid="{F312FFF1-DAE6-43BA-B00A-09BE729152FC}"/>
    <cellStyle name="Dezimal 12 16 2 2" xfId="30942" xr:uid="{5A5B58F4-E426-4185-8B3C-18F0CF692928}"/>
    <cellStyle name="Dezimal 12 16 3" xfId="30941" xr:uid="{D9E1648A-3490-4CB4-960E-ABE18805155D}"/>
    <cellStyle name="Dezimal 12 17" xfId="11506" xr:uid="{089ABF6A-D4B5-422D-9703-6444D9E3BE18}"/>
    <cellStyle name="Dezimal 12 17 2" xfId="11507" xr:uid="{F9DD5E84-BA5F-4AF6-8C73-75B50BDD975D}"/>
    <cellStyle name="Dezimal 12 17 2 2" xfId="30944" xr:uid="{122C8172-A898-405C-9CCB-02AEED4E576C}"/>
    <cellStyle name="Dezimal 12 17 3" xfId="30943" xr:uid="{477AA59D-BF13-44F0-9AF0-20189A31A32E}"/>
    <cellStyle name="Dezimal 12 18" xfId="11508" xr:uid="{8001D3A1-D477-4703-8CDE-C472D67D2FF3}"/>
    <cellStyle name="Dezimal 12 18 2" xfId="11509" xr:uid="{56DB06FE-458B-4C25-8ABC-930C33D9A272}"/>
    <cellStyle name="Dezimal 12 18 2 2" xfId="30946" xr:uid="{75FDB512-CD46-4266-B139-BAA1D0623B5D}"/>
    <cellStyle name="Dezimal 12 18 3" xfId="30945" xr:uid="{6A4FC3A9-F108-4749-BCFD-F817FE022616}"/>
    <cellStyle name="Dezimal 12 19" xfId="11510" xr:uid="{03244871-9418-4906-84BE-A70E6141D4E2}"/>
    <cellStyle name="Dezimal 12 19 2" xfId="11511" xr:uid="{FBBF6C41-EFFA-42A9-A289-FAE1ED348F99}"/>
    <cellStyle name="Dezimal 12 19 2 2" xfId="30948" xr:uid="{80C22C65-FCE2-44F8-91E0-D0CB399E3193}"/>
    <cellStyle name="Dezimal 12 19 3" xfId="30947" xr:uid="{047E560D-2DC5-4127-A131-55CB9778C6EB}"/>
    <cellStyle name="Dezimal 12 2" xfId="11512" xr:uid="{BC252B55-C6B1-4B16-8A3A-88B30D284D61}"/>
    <cellStyle name="Dezimal 12 2 2" xfId="30949" xr:uid="{A83012FE-E609-4E7D-845A-D64DE1E877ED}"/>
    <cellStyle name="Dezimal 12 20" xfId="30929" xr:uid="{18B2CB08-0A72-4DF6-998B-517230C21D28}"/>
    <cellStyle name="Dezimal 12 21" xfId="42196" xr:uid="{B8DEC0ED-D947-4E3A-AA83-E71E63D97ABB}"/>
    <cellStyle name="Dezimal 12 3" xfId="11513" xr:uid="{5D732CA9-8F84-4D30-8EE3-C16846CD9AB3}"/>
    <cellStyle name="Dezimal 12 3 2" xfId="30950" xr:uid="{0C58E5C9-2F4C-422B-8E75-4D3F2A6C5484}"/>
    <cellStyle name="Dezimal 12 4" xfId="11514" xr:uid="{F2DB505B-0FD3-4636-9D1D-8D485503B7CB}"/>
    <cellStyle name="Dezimal 12 4 2" xfId="30951" xr:uid="{D198B423-7D1D-4212-AF6C-4D135326B9CC}"/>
    <cellStyle name="Dezimal 12 5" xfId="11515" xr:uid="{840D57BA-68F3-4D83-AED8-EA891AF05A82}"/>
    <cellStyle name="Dezimal 12 5 2" xfId="30952" xr:uid="{8B1225AF-7329-46EB-AF9C-FA20C5B7EBC5}"/>
    <cellStyle name="Dezimal 12 6" xfId="11516" xr:uid="{F6E5714C-3EE6-4BA9-AF1F-0F0E88F97174}"/>
    <cellStyle name="Dezimal 12 6 2" xfId="30953" xr:uid="{B3F67A5F-D24C-4FD2-975A-9D2D8D7074A3}"/>
    <cellStyle name="Dezimal 12 7" xfId="11517" xr:uid="{D0B23BE5-F4EB-4956-A915-62BCFA079452}"/>
    <cellStyle name="Dezimal 12 7 2" xfId="30954" xr:uid="{9B7B1C19-8053-4DB7-B911-40A6DA8BD6C3}"/>
    <cellStyle name="Dezimal 12 8" xfId="11518" xr:uid="{E7AB032E-4898-4515-9F13-C71C0DE34B5A}"/>
    <cellStyle name="Dezimal 12 8 2" xfId="30955" xr:uid="{5D997A12-2D79-45D0-950D-1968EFAFA866}"/>
    <cellStyle name="Dezimal 12 9" xfId="11519" xr:uid="{E196B4DB-F3BF-4E1C-80B3-DC4369AFBB9C}"/>
    <cellStyle name="Dezimal 12 9 2" xfId="30956" xr:uid="{3910BE1C-05EC-427B-8A07-B9F458AA0203}"/>
    <cellStyle name="Dezimal 120" xfId="11520" xr:uid="{9D1BEA0E-3E5E-4B04-ABBC-B0469AD8E0A4}"/>
    <cellStyle name="Dezimal 120 2" xfId="30957" xr:uid="{6942591B-B7EA-4066-B868-B6AE551B92AC}"/>
    <cellStyle name="Dezimal 129" xfId="11521" xr:uid="{EDC9A9BE-655F-4DFC-A73E-2A418806C0D1}"/>
    <cellStyle name="Dezimal 129 2" xfId="30958" xr:uid="{18B1271F-5204-4DD6-9C62-3615C1BBA3DE}"/>
    <cellStyle name="Dezimal 13" xfId="11522" xr:uid="{1D0848A5-19FF-440E-9EDA-8095F8E7E630}"/>
    <cellStyle name="Dezimal 13 10" xfId="11523" xr:uid="{A57CAB06-3252-450F-B126-FBF1B81D0315}"/>
    <cellStyle name="Dezimal 13 10 2" xfId="30960" xr:uid="{41025849-CC10-4EA5-B137-1C31F17344B9}"/>
    <cellStyle name="Dezimal 13 11" xfId="11524" xr:uid="{6FE9B636-EBFE-4906-8228-FF7902EFF28A}"/>
    <cellStyle name="Dezimal 13 11 2" xfId="11525" xr:uid="{ADE7E87E-71F2-4425-AFE1-2B289442DE00}"/>
    <cellStyle name="Dezimal 13 11 2 2" xfId="30962" xr:uid="{2793A3ED-0D72-4EA2-AD92-2B5C7A8DF448}"/>
    <cellStyle name="Dezimal 13 11 3" xfId="30961" xr:uid="{EBC09085-A9D2-405C-8436-012D3B790169}"/>
    <cellStyle name="Dezimal 13 12" xfId="11526" xr:uid="{354A7F7D-49A1-4501-A9F0-0F9DBAEF34A9}"/>
    <cellStyle name="Dezimal 13 12 2" xfId="11527" xr:uid="{FD32BC8A-7222-464F-BE38-5F1916AF7907}"/>
    <cellStyle name="Dezimal 13 12 2 2" xfId="30964" xr:uid="{9278FCBB-11ED-41FF-8BBC-E9CA8EFF52EB}"/>
    <cellStyle name="Dezimal 13 12 3" xfId="30963" xr:uid="{A05CA043-F174-416E-88E7-31760877D198}"/>
    <cellStyle name="Dezimal 13 13" xfId="11528" xr:uid="{2D73AD17-26D3-479A-B1E0-8BC45890A2FE}"/>
    <cellStyle name="Dezimal 13 13 2" xfId="11529" xr:uid="{F9F5D6A5-64CE-4008-A35E-B65F9CCC6607}"/>
    <cellStyle name="Dezimal 13 13 2 2" xfId="30966" xr:uid="{693BF64D-CE55-4348-AF59-30A2B08E67FF}"/>
    <cellStyle name="Dezimal 13 13 3" xfId="30965" xr:uid="{9D206309-EE20-4F6A-B33E-65756F432E7B}"/>
    <cellStyle name="Dezimal 13 14" xfId="11530" xr:uid="{995A5083-61E7-4F6B-B7DA-0E405A0076C3}"/>
    <cellStyle name="Dezimal 13 14 2" xfId="11531" xr:uid="{58CAC057-724B-4EAC-9718-38C2F38C8FF0}"/>
    <cellStyle name="Dezimal 13 14 2 2" xfId="30968" xr:uid="{2D44F097-B605-4A3D-BBDD-C42586E633EB}"/>
    <cellStyle name="Dezimal 13 14 3" xfId="30967" xr:uid="{3635C88D-33F0-441E-B011-0B23C50BE5CC}"/>
    <cellStyle name="Dezimal 13 15" xfId="11532" xr:uid="{1B3E039B-60CF-445D-9D2A-1737567835DE}"/>
    <cellStyle name="Dezimal 13 15 2" xfId="11533" xr:uid="{A9A2ACF2-AA51-4895-83F4-6915C91D616A}"/>
    <cellStyle name="Dezimal 13 15 2 2" xfId="30970" xr:uid="{AC161295-3A68-44CC-B983-747D2868BCCF}"/>
    <cellStyle name="Dezimal 13 15 3" xfId="30969" xr:uid="{5C7AD021-A5C5-4B19-9BDD-9812F18AF412}"/>
    <cellStyle name="Dezimal 13 16" xfId="11534" xr:uid="{0FA98BF5-21E3-4C9F-B527-552FE681BC33}"/>
    <cellStyle name="Dezimal 13 16 2" xfId="11535" xr:uid="{1031A987-BCA5-49FB-8D35-2F0F3BA9D942}"/>
    <cellStyle name="Dezimal 13 16 2 2" xfId="30972" xr:uid="{F5037161-FAF7-4BE6-ADB8-5A09CCF22B50}"/>
    <cellStyle name="Dezimal 13 16 3" xfId="30971" xr:uid="{BA6940C2-67F9-4F31-A51E-11D13EE0419E}"/>
    <cellStyle name="Dezimal 13 17" xfId="11536" xr:uid="{9B047126-BC8D-4FE9-9235-B0EA3B953C5C}"/>
    <cellStyle name="Dezimal 13 17 2" xfId="11537" xr:uid="{8057C001-868A-48C4-82BE-A46D53A7729A}"/>
    <cellStyle name="Dezimal 13 17 2 2" xfId="30974" xr:uid="{D8C8327C-D7B5-4EA4-9F11-624233F35650}"/>
    <cellStyle name="Dezimal 13 17 3" xfId="30973" xr:uid="{49F65328-DD77-4BAA-A1D0-503D4EB81244}"/>
    <cellStyle name="Dezimal 13 18" xfId="11538" xr:uid="{7B462AF6-038F-46BB-8D75-CBB76AF57CEE}"/>
    <cellStyle name="Dezimal 13 18 2" xfId="11539" xr:uid="{25F55A01-4291-492C-8569-0F4C7811D679}"/>
    <cellStyle name="Dezimal 13 18 2 2" xfId="30976" xr:uid="{360A17AE-CBA0-49DC-9A58-B046039671BD}"/>
    <cellStyle name="Dezimal 13 18 3" xfId="30975" xr:uid="{850EA5A0-4CB3-4907-B681-D1A3856BB8D6}"/>
    <cellStyle name="Dezimal 13 19" xfId="11540" xr:uid="{4B50060F-622C-4638-BF91-26AA8A74CD89}"/>
    <cellStyle name="Dezimal 13 19 2" xfId="11541" xr:uid="{F4169F2C-13F6-4BA0-BF75-6C34ED108939}"/>
    <cellStyle name="Dezimal 13 19 2 2" xfId="30978" xr:uid="{48A2A5D1-42D3-4C28-82CF-E1F323B2D83B}"/>
    <cellStyle name="Dezimal 13 19 3" xfId="30977" xr:uid="{02A2C37B-CF33-447F-A27B-1B612FF873BE}"/>
    <cellStyle name="Dezimal 13 2" xfId="11542" xr:uid="{735C1A50-73EB-4D8E-811B-B2ADD5213A07}"/>
    <cellStyle name="Dezimal 13 2 2" xfId="30979" xr:uid="{3A4A2AD2-4B4A-4A7D-A2A6-1D2770ECA4B0}"/>
    <cellStyle name="Dezimal 13 20" xfId="11543" xr:uid="{BE1145F0-65B9-49AC-BF20-278819AF3ACF}"/>
    <cellStyle name="Dezimal 13 20 2" xfId="30980" xr:uid="{4E0F93A9-16FB-49CA-83B2-A120BF7F4442}"/>
    <cellStyle name="Dezimal 13 21" xfId="30959" xr:uid="{5BC75BF7-290D-4F2E-B755-8023509A7977}"/>
    <cellStyle name="Dezimal 13 3" xfId="11544" xr:uid="{296C0788-F43B-41F5-9EE6-A029DE63ADE5}"/>
    <cellStyle name="Dezimal 13 3 2" xfId="30981" xr:uid="{DCC06F29-F65B-4388-A7DE-2428909DBFD4}"/>
    <cellStyle name="Dezimal 13 4" xfId="11545" xr:uid="{6A5D10A8-5E1B-4A09-B11D-163591073520}"/>
    <cellStyle name="Dezimal 13 4 2" xfId="30982" xr:uid="{EB2B947D-4758-409D-9C70-D95C623269EA}"/>
    <cellStyle name="Dezimal 13 5" xfId="11546" xr:uid="{6BC0AFD1-692C-4560-914D-939F104F90AE}"/>
    <cellStyle name="Dezimal 13 5 2" xfId="30983" xr:uid="{976338DE-AD50-4FD1-9544-5D7E9C3544B9}"/>
    <cellStyle name="Dezimal 13 6" xfId="11547" xr:uid="{6AF22399-EACB-4E51-B6A0-734937B20112}"/>
    <cellStyle name="Dezimal 13 6 2" xfId="30984" xr:uid="{9D5EF2AF-B630-426C-B284-86375F4DAD2F}"/>
    <cellStyle name="Dezimal 13 7" xfId="11548" xr:uid="{1060325C-9B7C-4984-AFDC-F8D298AD5DAC}"/>
    <cellStyle name="Dezimal 13 7 2" xfId="30985" xr:uid="{06F24643-7372-467F-B2BD-1BEEBBBABAEE}"/>
    <cellStyle name="Dezimal 13 8" xfId="11549" xr:uid="{0A69A1C9-925C-4E63-B626-264B281F1C45}"/>
    <cellStyle name="Dezimal 13 8 2" xfId="30986" xr:uid="{4D3D3235-3642-4FBD-8EFA-E9D88865E672}"/>
    <cellStyle name="Dezimal 13 9" xfId="11550" xr:uid="{F5E3A538-B782-4F9A-8091-EE3699DA2724}"/>
    <cellStyle name="Dezimal 13 9 2" xfId="30987" xr:uid="{DB37138E-AF4A-4129-B192-311F7D4773B9}"/>
    <cellStyle name="Dezimal 130" xfId="11551" xr:uid="{A83C54B9-244C-45AC-AD90-0F17FBB1E59D}"/>
    <cellStyle name="Dezimal 130 2" xfId="30988" xr:uid="{B6BD18BD-06E2-427D-A9EE-1F6D1741AB17}"/>
    <cellStyle name="Dezimal 132" xfId="11552" xr:uid="{5535EDE5-8548-42A5-9E04-A87070C253D0}"/>
    <cellStyle name="Dezimal 132 2" xfId="30989" xr:uid="{4F4083F9-09D3-474C-AE9F-F435849AD2BD}"/>
    <cellStyle name="Dezimal 133" xfId="11553" xr:uid="{40C8EE7F-A36F-4285-841B-FD91B7F709D2}"/>
    <cellStyle name="Dezimal 133 2" xfId="30990" xr:uid="{751E2819-D8EA-49CE-9DC4-2B4E841F89AE}"/>
    <cellStyle name="Dezimal 134" xfId="11554" xr:uid="{AF30DB3F-D5B1-4976-8933-1C7131C8F58D}"/>
    <cellStyle name="Dezimal 134 2" xfId="30991" xr:uid="{F4099FB9-1D2E-483A-80F2-30BE250ED78E}"/>
    <cellStyle name="Dezimal 135" xfId="11555" xr:uid="{B6A8F8BF-1E2B-494A-B2DF-B00802C6410D}"/>
    <cellStyle name="Dezimal 135 2" xfId="30992" xr:uid="{9F1D756E-56DD-4CDB-A80E-211671F04B67}"/>
    <cellStyle name="Dezimal 136" xfId="11556" xr:uid="{2C2347E5-0CAB-4F8B-8190-92EA4B2B1981}"/>
    <cellStyle name="Dezimal 136 2" xfId="30993" xr:uid="{8F3709F7-7743-4A8C-AC4C-436B4AC22ADB}"/>
    <cellStyle name="Dezimal 137" xfId="11557" xr:uid="{12231244-3585-4849-925D-962A22F5C0EE}"/>
    <cellStyle name="Dezimal 137 2" xfId="30994" xr:uid="{8601359C-BE6F-484A-A14B-A7B9B2D2EDDF}"/>
    <cellStyle name="Dezimal 138" xfId="11558" xr:uid="{6460842F-636A-459E-8A4C-13FAF7736C29}"/>
    <cellStyle name="Dezimal 138 2" xfId="30995" xr:uid="{CCFF4CE7-878D-4F59-8AF7-D4C1069F154A}"/>
    <cellStyle name="Dezimal 139" xfId="11559" xr:uid="{053FAF3B-16B2-4138-B49A-25EB706BD3FF}"/>
    <cellStyle name="Dezimal 139 2" xfId="30996" xr:uid="{9E61E68F-D38B-4583-BB05-B8ED34A7101A}"/>
    <cellStyle name="Dezimal 14" xfId="11560" xr:uid="{9E8DC2F6-6A79-4BC3-ACAF-FC67523DCA52}"/>
    <cellStyle name="Dezimal 14 10" xfId="11561" xr:uid="{024A7CC6-264C-4F7A-A1DC-3A1BB2192593}"/>
    <cellStyle name="Dezimal 14 10 2" xfId="30998" xr:uid="{919B7665-149F-4AE3-9602-B9A16968856B}"/>
    <cellStyle name="Dezimal 14 11" xfId="11562" xr:uid="{C16E853F-875D-4CF9-8618-4883879C98B0}"/>
    <cellStyle name="Dezimal 14 11 2" xfId="11563" xr:uid="{76E4F549-DC75-4F70-8ECE-7B8589526BE4}"/>
    <cellStyle name="Dezimal 14 11 2 2" xfId="31000" xr:uid="{0FF77BB6-A0A1-4488-B850-2A19A9BAC7B9}"/>
    <cellStyle name="Dezimal 14 11 3" xfId="30999" xr:uid="{D7184488-B50F-4EB8-92F1-3CD67B6B3D06}"/>
    <cellStyle name="Dezimal 14 12" xfId="11564" xr:uid="{916B28B2-920D-4A35-81E4-DDAF3F1BF9CA}"/>
    <cellStyle name="Dezimal 14 12 2" xfId="11565" xr:uid="{958BA9F9-79C9-43D0-9E25-47F44FC60B9C}"/>
    <cellStyle name="Dezimal 14 12 2 2" xfId="31002" xr:uid="{087F1525-BCBD-4AFD-BE6D-34C724946CED}"/>
    <cellStyle name="Dezimal 14 12 3" xfId="31001" xr:uid="{0D271484-903A-4BFE-A47C-DC8E50BCC326}"/>
    <cellStyle name="Dezimal 14 13" xfId="11566" xr:uid="{6BB5F3E2-DFD8-4347-8269-9470ECC08789}"/>
    <cellStyle name="Dezimal 14 13 2" xfId="11567" xr:uid="{7166E217-2E9A-4127-8AF7-F32E9BF86C97}"/>
    <cellStyle name="Dezimal 14 13 2 2" xfId="31004" xr:uid="{DD3684EA-DB1F-4AC0-9A27-DE2049DD4DAF}"/>
    <cellStyle name="Dezimal 14 13 3" xfId="31003" xr:uid="{8F4650FD-A6CE-480D-9304-1F67B607592D}"/>
    <cellStyle name="Dezimal 14 14" xfId="11568" xr:uid="{98C89CAA-0AEC-4985-92EE-C7439F5DB2A4}"/>
    <cellStyle name="Dezimal 14 14 2" xfId="11569" xr:uid="{E01B4118-0FBA-4D38-939A-CE8EBFF161EC}"/>
    <cellStyle name="Dezimal 14 14 2 2" xfId="31006" xr:uid="{C9FBB4C5-9B87-4B8E-825B-667A8135C528}"/>
    <cellStyle name="Dezimal 14 14 3" xfId="31005" xr:uid="{CBD86455-F5AF-43CF-A8BE-8B2E4960A7E3}"/>
    <cellStyle name="Dezimal 14 15" xfId="11570" xr:uid="{A76424B3-288D-475C-A500-6073E2288F76}"/>
    <cellStyle name="Dezimal 14 15 2" xfId="11571" xr:uid="{6ADE979C-9A24-42B9-82CB-AC2E5E67CDE7}"/>
    <cellStyle name="Dezimal 14 15 2 2" xfId="31008" xr:uid="{3BB7688E-9B9C-40FA-B772-65A336004AAA}"/>
    <cellStyle name="Dezimal 14 15 3" xfId="31007" xr:uid="{6A658549-30BC-4CCE-BCC1-06EE71242014}"/>
    <cellStyle name="Dezimal 14 16" xfId="11572" xr:uid="{CD062B79-1D36-4692-9C0A-BE2B569C6F06}"/>
    <cellStyle name="Dezimal 14 16 2" xfId="11573" xr:uid="{CC345671-8954-4308-96FC-9DD3231CF85A}"/>
    <cellStyle name="Dezimal 14 16 2 2" xfId="31010" xr:uid="{C8515DD7-DE4E-4622-813D-A97D0D8BCE15}"/>
    <cellStyle name="Dezimal 14 16 3" xfId="31009" xr:uid="{7AE64DD2-C68F-438E-9AEB-15F625FEE6B0}"/>
    <cellStyle name="Dezimal 14 17" xfId="11574" xr:uid="{1754272B-8EB0-4006-BAD1-AF696C4236A0}"/>
    <cellStyle name="Dezimal 14 17 2" xfId="11575" xr:uid="{43F27755-6DEC-4E3D-BF30-65A1F89A5942}"/>
    <cellStyle name="Dezimal 14 17 2 2" xfId="31012" xr:uid="{711EB579-3FA9-4487-8E83-EABB55E45BD1}"/>
    <cellStyle name="Dezimal 14 17 3" xfId="31011" xr:uid="{5E410C95-F943-4CE8-BDC9-DCA2B5837037}"/>
    <cellStyle name="Dezimal 14 18" xfId="11576" xr:uid="{CBB54225-1305-45EE-99C4-1F0D4C1B6DF9}"/>
    <cellStyle name="Dezimal 14 18 2" xfId="11577" xr:uid="{26771B2D-B375-484A-951B-F315820F6B14}"/>
    <cellStyle name="Dezimal 14 18 2 2" xfId="31014" xr:uid="{6C04AFCE-36AA-4073-BF48-BCA8E50AD06C}"/>
    <cellStyle name="Dezimal 14 18 3" xfId="31013" xr:uid="{4A962807-0DC7-4ADD-B184-41BB93165B57}"/>
    <cellStyle name="Dezimal 14 19" xfId="11578" xr:uid="{44FEB3A4-E392-4FD9-BABE-F8881DE0ED8B}"/>
    <cellStyle name="Dezimal 14 19 2" xfId="11579" xr:uid="{28DC75D5-46DB-48BC-B67F-07E233A96A0B}"/>
    <cellStyle name="Dezimal 14 19 2 2" xfId="31016" xr:uid="{FF1E91B7-7A08-4616-9265-6F7E4A080D63}"/>
    <cellStyle name="Dezimal 14 19 3" xfId="31015" xr:uid="{E9E6F745-2067-4201-9418-625A3FBAF1C4}"/>
    <cellStyle name="Dezimal 14 2" xfId="11580" xr:uid="{192FF3F1-CC0B-4603-8861-B9AE460CC78E}"/>
    <cellStyle name="Dezimal 14 2 2" xfId="31017" xr:uid="{64D8C076-6888-4A9F-8039-E7D6FDAD1E9F}"/>
    <cellStyle name="Dezimal 14 20" xfId="11581" xr:uid="{439BDFFF-FC45-4E36-AE7D-4ACF85063ED3}"/>
    <cellStyle name="Dezimal 14 20 2" xfId="31018" xr:uid="{CE18DCDD-5F7F-4791-AB56-4367CC2122CE}"/>
    <cellStyle name="Dezimal 14 21" xfId="30997" xr:uid="{CA5DAEF2-EDA4-46B8-AA37-42B307EB98B2}"/>
    <cellStyle name="Dezimal 14 3" xfId="11582" xr:uid="{4B30F9A8-9A0D-4575-BD0D-98247C1EB15D}"/>
    <cellStyle name="Dezimal 14 3 2" xfId="31019" xr:uid="{3540C12A-8C45-4FFA-989F-22E411B754ED}"/>
    <cellStyle name="Dezimal 14 4" xfId="11583" xr:uid="{3E044D33-7359-4BA1-BE3C-6F6852B0C5E3}"/>
    <cellStyle name="Dezimal 14 4 2" xfId="31020" xr:uid="{C0537F58-1697-4198-B4A3-16C7AF2CC9D8}"/>
    <cellStyle name="Dezimal 14 5" xfId="11584" xr:uid="{34E0B6CB-0BC8-42AD-9A46-194C7CC4433F}"/>
    <cellStyle name="Dezimal 14 5 2" xfId="31021" xr:uid="{5057A8E4-CADF-4486-B6FA-320DBC222208}"/>
    <cellStyle name="Dezimal 14 6" xfId="11585" xr:uid="{BD65D4BE-BCD2-42D5-A22B-784B8E1D10F8}"/>
    <cellStyle name="Dezimal 14 6 2" xfId="31022" xr:uid="{D14AC8CF-F42A-44B6-805A-B03F71242851}"/>
    <cellStyle name="Dezimal 14 7" xfId="11586" xr:uid="{A92E3345-1E50-4E56-92FA-AE2ADCDF12A2}"/>
    <cellStyle name="Dezimal 14 7 2" xfId="31023" xr:uid="{BD3D0955-B32A-4B0D-858F-7DD0903D1BCF}"/>
    <cellStyle name="Dezimal 14 8" xfId="11587" xr:uid="{518004DD-98EC-4592-954C-E5432E2D336F}"/>
    <cellStyle name="Dezimal 14 8 2" xfId="31024" xr:uid="{7E50F025-702A-46F0-86FC-EE301A28D8D2}"/>
    <cellStyle name="Dezimal 14 9" xfId="11588" xr:uid="{EA9F82A5-EE4C-4DE2-AA37-8E21F53E1EF6}"/>
    <cellStyle name="Dezimal 14 9 2" xfId="31025" xr:uid="{9E585ED2-CDEB-45CD-9A54-ABECF1F0F361}"/>
    <cellStyle name="Dezimal 140" xfId="11589" xr:uid="{4937E91A-1FA9-4E59-AC5E-9361311342EE}"/>
    <cellStyle name="Dezimal 140 2" xfId="31026" xr:uid="{B0E0C041-366F-4F49-8BE8-F4ECC2A0E8A7}"/>
    <cellStyle name="Dezimal 141" xfId="11590" xr:uid="{C046D318-79D2-420E-8B1C-A3A16B6EF84B}"/>
    <cellStyle name="Dezimal 141 2" xfId="31027" xr:uid="{31DD760F-F50C-450B-BF93-2DAD09419ECB}"/>
    <cellStyle name="Dezimal 142" xfId="11591" xr:uid="{D2CD74A4-D577-48C2-AE15-897337FB07C2}"/>
    <cellStyle name="Dezimal 142 2" xfId="31028" xr:uid="{13346062-9DF0-4CA5-9886-B9B22743C400}"/>
    <cellStyle name="Dezimal 144" xfId="11592" xr:uid="{D9DDB1AA-2ACB-44E1-A945-C66E2B5124D1}"/>
    <cellStyle name="Dezimal 144 2" xfId="31029" xr:uid="{8CE4324B-47C5-4987-9CB1-5889F9722F48}"/>
    <cellStyle name="Dezimal 145" xfId="11593" xr:uid="{DAACF7D6-EF6F-47BF-97AF-0D30F45E8133}"/>
    <cellStyle name="Dezimal 145 2" xfId="31030" xr:uid="{067F720A-A940-48DD-AE93-05826E724916}"/>
    <cellStyle name="Dezimal 146" xfId="11594" xr:uid="{3D25DE90-8426-47F9-91CB-51C81E1EF77B}"/>
    <cellStyle name="Dezimal 146 2" xfId="31031" xr:uid="{87AC6933-01D5-4894-B34C-4A8C841BC21D}"/>
    <cellStyle name="Dezimal 147" xfId="11595" xr:uid="{FAAD2919-356E-408B-BD22-8D66B7C4A0D9}"/>
    <cellStyle name="Dezimal 147 2" xfId="31032" xr:uid="{75878497-ED0C-4A31-B4D3-DDE44DAD6BF8}"/>
    <cellStyle name="Dezimal 148" xfId="11596" xr:uid="{E426FB69-A377-4D2B-AB5C-4A1FC5D104BD}"/>
    <cellStyle name="Dezimal 148 2" xfId="31033" xr:uid="{4A0EC4CC-FC4E-4919-A81C-D05F87A46D1D}"/>
    <cellStyle name="Dezimal 149" xfId="11597" xr:uid="{1725718F-0CD5-4082-B485-970491FFBD08}"/>
    <cellStyle name="Dezimal 149 2" xfId="31034" xr:uid="{E3482BA1-4981-426C-A200-E9B010EADFCB}"/>
    <cellStyle name="Dezimal 15" xfId="11598" xr:uid="{5C49178C-2911-41C1-B722-E3BF46754089}"/>
    <cellStyle name="Dezimal 15 10" xfId="11599" xr:uid="{1ED5D562-DE82-4B58-946A-77AB358E61AA}"/>
    <cellStyle name="Dezimal 15 10 2" xfId="31036" xr:uid="{6B03E0E8-C8F8-4AA7-84E0-F168835E8C7C}"/>
    <cellStyle name="Dezimal 15 11" xfId="11600" xr:uid="{3530FCDC-92A0-4733-8544-01BDA74B0F2B}"/>
    <cellStyle name="Dezimal 15 11 2" xfId="11601" xr:uid="{2B697885-4ACF-459E-9408-1C5098B976F7}"/>
    <cellStyle name="Dezimal 15 11 2 2" xfId="31038" xr:uid="{38C09874-35D1-442F-96E9-758942FF5A05}"/>
    <cellStyle name="Dezimal 15 11 3" xfId="31037" xr:uid="{BD8E3DB4-B602-4BF0-BFB7-D82A3D58B010}"/>
    <cellStyle name="Dezimal 15 12" xfId="11602" xr:uid="{081EB0D1-6156-48AF-83B2-01E26D93B52C}"/>
    <cellStyle name="Dezimal 15 12 2" xfId="11603" xr:uid="{16C8AF28-99C7-4C4C-A062-5A5BA2B4E439}"/>
    <cellStyle name="Dezimal 15 12 2 2" xfId="31040" xr:uid="{715C20D3-A94B-4E7C-BF19-1B6CA1CFA81C}"/>
    <cellStyle name="Dezimal 15 12 3" xfId="31039" xr:uid="{67E0C903-E431-4535-8A80-3C8B83D607B6}"/>
    <cellStyle name="Dezimal 15 13" xfId="11604" xr:uid="{0D182121-E348-4E0F-8A6A-871C372764D7}"/>
    <cellStyle name="Dezimal 15 13 2" xfId="11605" xr:uid="{C10FBF39-45EC-4DC6-BEAB-95459D095B31}"/>
    <cellStyle name="Dezimal 15 13 2 2" xfId="31042" xr:uid="{175811D6-7FEC-487D-AC68-8310E20EA2F9}"/>
    <cellStyle name="Dezimal 15 13 3" xfId="31041" xr:uid="{163ED3D9-E0D7-4A18-B6E4-2394904912FA}"/>
    <cellStyle name="Dezimal 15 14" xfId="11606" xr:uid="{1BD3E981-108F-4EA3-BC38-540A15A98EF3}"/>
    <cellStyle name="Dezimal 15 14 2" xfId="11607" xr:uid="{F4DFE1BC-2EEE-4431-A557-9DBF1B3A2A44}"/>
    <cellStyle name="Dezimal 15 14 2 2" xfId="31044" xr:uid="{655534E5-4715-4CDC-84FA-E48FC665BFA9}"/>
    <cellStyle name="Dezimal 15 14 3" xfId="31043" xr:uid="{EC91D837-DA1E-4A51-A360-29BB66A3801C}"/>
    <cellStyle name="Dezimal 15 15" xfId="11608" xr:uid="{D41CCA95-C68B-4CB6-9DD9-191FD1422C90}"/>
    <cellStyle name="Dezimal 15 15 2" xfId="11609" xr:uid="{262A8681-EC16-4C62-AA52-6FBF5614C87A}"/>
    <cellStyle name="Dezimal 15 15 2 2" xfId="31046" xr:uid="{0C80EB47-0951-4D68-B659-FA192A6CBB27}"/>
    <cellStyle name="Dezimal 15 15 3" xfId="31045" xr:uid="{0B8D220C-8691-4D06-9AFA-45F3293D2362}"/>
    <cellStyle name="Dezimal 15 16" xfId="11610" xr:uid="{52AAA132-0E7F-4981-B27E-120DF0B8B450}"/>
    <cellStyle name="Dezimal 15 16 2" xfId="11611" xr:uid="{97A8D289-F7A0-4C15-8EAA-72B36E4D6A6B}"/>
    <cellStyle name="Dezimal 15 16 2 2" xfId="31048" xr:uid="{9DA0F0B3-FF62-4598-A88C-BBE822171118}"/>
    <cellStyle name="Dezimal 15 16 3" xfId="31047" xr:uid="{4FB0556D-6413-4AF1-BC10-61447FCFD0D9}"/>
    <cellStyle name="Dezimal 15 17" xfId="11612" xr:uid="{61CF2FED-F707-42F9-A46B-FAFD097F8CD7}"/>
    <cellStyle name="Dezimal 15 17 2" xfId="11613" xr:uid="{88E97DEE-DDE3-4CC3-9F44-EDF955A2E823}"/>
    <cellStyle name="Dezimal 15 17 2 2" xfId="31050" xr:uid="{DA5902B1-06A9-4401-B84E-F1C5D35EEDD3}"/>
    <cellStyle name="Dezimal 15 17 3" xfId="31049" xr:uid="{8EEB2836-3D5B-44F8-8F58-21186C4825CB}"/>
    <cellStyle name="Dezimal 15 18" xfId="11614" xr:uid="{CF99CCE4-5AEB-474B-A007-DF5A72F7CF04}"/>
    <cellStyle name="Dezimal 15 18 2" xfId="11615" xr:uid="{13AD60C4-1742-433D-801A-AD9D01D46C7F}"/>
    <cellStyle name="Dezimal 15 18 2 2" xfId="31052" xr:uid="{85EDC637-491B-4F11-AEF1-A79A980A8C54}"/>
    <cellStyle name="Dezimal 15 18 3" xfId="31051" xr:uid="{87F2CAAC-836A-4666-B41D-FE4025D9DF19}"/>
    <cellStyle name="Dezimal 15 19" xfId="11616" xr:uid="{BC70F59E-FAC9-4238-983A-69ED207F57C7}"/>
    <cellStyle name="Dezimal 15 19 2" xfId="11617" xr:uid="{928E40DE-34FC-4C39-A258-B3D0A5A37897}"/>
    <cellStyle name="Dezimal 15 19 2 2" xfId="31054" xr:uid="{24F1B8B8-B1A8-4536-A13A-0495CE6EF21B}"/>
    <cellStyle name="Dezimal 15 19 3" xfId="31053" xr:uid="{4A540E46-686F-4FDA-BB44-EFB0A8626B8D}"/>
    <cellStyle name="Dezimal 15 2" xfId="11618" xr:uid="{1F452842-45F5-45C3-94CD-2FFF7B54551A}"/>
    <cellStyle name="Dezimal 15 2 2" xfId="31055" xr:uid="{87AD7AAE-CF21-4D2D-98D3-AC785121134A}"/>
    <cellStyle name="Dezimal 15 20" xfId="11619" xr:uid="{4479D373-96AC-4460-99CD-C90CBC938887}"/>
    <cellStyle name="Dezimal 15 20 2" xfId="31056" xr:uid="{EAE1D910-CF77-4D7F-BD73-7C88A30052AF}"/>
    <cellStyle name="Dezimal 15 21" xfId="31035" xr:uid="{A195E7FF-663B-4CC6-A0D9-A882ABCF4DC7}"/>
    <cellStyle name="Dezimal 15 3" xfId="11620" xr:uid="{5A9E46A1-DE46-4AD5-96A8-80DC9D93781D}"/>
    <cellStyle name="Dezimal 15 3 2" xfId="31057" xr:uid="{497FD8D0-170F-4388-9AEF-2922AEF32095}"/>
    <cellStyle name="Dezimal 15 4" xfId="11621" xr:uid="{666610A7-FC4E-4886-80E1-ABAF3B22F603}"/>
    <cellStyle name="Dezimal 15 4 2" xfId="31058" xr:uid="{95461BEA-226E-497B-A1AC-0968C5027C18}"/>
    <cellStyle name="Dezimal 15 5" xfId="11622" xr:uid="{10262CC8-F4EA-4E78-B1D4-E204A93399A4}"/>
    <cellStyle name="Dezimal 15 5 2" xfId="31059" xr:uid="{A49FA949-9B62-4422-81F3-3D7168DE5E84}"/>
    <cellStyle name="Dezimal 15 6" xfId="11623" xr:uid="{1645BD0D-5DF7-43D4-B873-7DEF712C84AD}"/>
    <cellStyle name="Dezimal 15 6 2" xfId="31060" xr:uid="{01B17126-EAAE-4167-A203-84833482B34C}"/>
    <cellStyle name="Dezimal 15 7" xfId="11624" xr:uid="{D10687EB-5C3A-4193-8D27-D106BA41F67B}"/>
    <cellStyle name="Dezimal 15 7 2" xfId="31061" xr:uid="{1A19EE89-3F9D-411E-9100-4D5B92CA777E}"/>
    <cellStyle name="Dezimal 15 8" xfId="11625" xr:uid="{BEBE50D8-7323-4761-BA7F-F69760D5AB3A}"/>
    <cellStyle name="Dezimal 15 8 2" xfId="31062" xr:uid="{86DC7D63-2F74-4D81-9702-F33A8A6E92B7}"/>
    <cellStyle name="Dezimal 15 9" xfId="11626" xr:uid="{2FC3CCFC-5D5A-4A8F-B733-419FBB3994D3}"/>
    <cellStyle name="Dezimal 15 9 2" xfId="31063" xr:uid="{A241851D-F699-480F-8D26-71D995EB48CC}"/>
    <cellStyle name="Dezimal 16" xfId="11627" xr:uid="{EFAE9E80-BE91-4212-B5BB-5ECDC2EC3F37}"/>
    <cellStyle name="Dezimal 16 10" xfId="11628" xr:uid="{FBBFEBB0-8E0D-49EC-A272-6577950217E7}"/>
    <cellStyle name="Dezimal 16 10 2" xfId="31065" xr:uid="{85D4F9B1-53BF-494C-9DFE-88142A4B1775}"/>
    <cellStyle name="Dezimal 16 11" xfId="11629" xr:uid="{ACBD751A-95CD-4977-921C-99A6B2E48DBC}"/>
    <cellStyle name="Dezimal 16 11 2" xfId="11630" xr:uid="{4110DB8F-B41B-44E4-8134-8F09FB86DA37}"/>
    <cellStyle name="Dezimal 16 11 2 2" xfId="31067" xr:uid="{3B2D27F9-036B-4A0D-84B6-7F5E2271F4E1}"/>
    <cellStyle name="Dezimal 16 11 3" xfId="31066" xr:uid="{AB65F716-1AE5-4E4B-961B-B96D9338953B}"/>
    <cellStyle name="Dezimal 16 12" xfId="11631" xr:uid="{FC688237-B215-4972-AE7B-FDFE6F9C04CB}"/>
    <cellStyle name="Dezimal 16 12 2" xfId="11632" xr:uid="{47D59403-D65B-479B-9934-8603D90BA50E}"/>
    <cellStyle name="Dezimal 16 12 2 2" xfId="31069" xr:uid="{3E99ED88-95BF-4C0B-A416-EB75E9BDB06C}"/>
    <cellStyle name="Dezimal 16 12 3" xfId="31068" xr:uid="{CAD3EB8F-FE7C-47F6-89AB-319394980D0B}"/>
    <cellStyle name="Dezimal 16 13" xfId="11633" xr:uid="{95555F32-31C6-4BCF-8261-2427C731A2B3}"/>
    <cellStyle name="Dezimal 16 13 2" xfId="11634" xr:uid="{21CD4DA9-FDEC-4699-AAF6-E6AFD901FA9B}"/>
    <cellStyle name="Dezimal 16 13 2 2" xfId="31071" xr:uid="{3F54CF73-65E1-4FD5-9C20-E1E7F49DBA4D}"/>
    <cellStyle name="Dezimal 16 13 3" xfId="31070" xr:uid="{634AEB1E-545D-40BD-B74F-D62F3FC68F78}"/>
    <cellStyle name="Dezimal 16 14" xfId="11635" xr:uid="{BB3B0F8B-9590-407E-82BD-802F32CBA854}"/>
    <cellStyle name="Dezimal 16 14 2" xfId="11636" xr:uid="{44B3DD1E-21CB-4D02-958F-C24D8503AE14}"/>
    <cellStyle name="Dezimal 16 14 2 2" xfId="31073" xr:uid="{EC5CB34D-C438-4FEE-AAA3-2DD91D5ADFD1}"/>
    <cellStyle name="Dezimal 16 14 3" xfId="31072" xr:uid="{2E23258F-594B-48C6-957F-E4168AC7A83F}"/>
    <cellStyle name="Dezimal 16 15" xfId="11637" xr:uid="{D61B5362-79C3-4A6C-8AFA-94D651FE5621}"/>
    <cellStyle name="Dezimal 16 15 2" xfId="11638" xr:uid="{7F7E49A8-0C38-4D3D-86AB-49D26E3D2571}"/>
    <cellStyle name="Dezimal 16 15 2 2" xfId="31075" xr:uid="{3EC78A9F-9510-4ADA-8824-6CBB851F5268}"/>
    <cellStyle name="Dezimal 16 15 3" xfId="31074" xr:uid="{543F395B-7C42-4078-B216-20085D60AD59}"/>
    <cellStyle name="Dezimal 16 16" xfId="11639" xr:uid="{F847638A-6309-4172-90D3-FD34D81B220C}"/>
    <cellStyle name="Dezimal 16 16 2" xfId="11640" xr:uid="{49DB4CBD-F108-4229-B679-226638ECCDA0}"/>
    <cellStyle name="Dezimal 16 16 2 2" xfId="31077" xr:uid="{E7ADBCC8-F22E-49FE-81D6-F16810F9C119}"/>
    <cellStyle name="Dezimal 16 16 3" xfId="31076" xr:uid="{BBB796F8-73BB-4E86-8C29-EFE9B7CE13A9}"/>
    <cellStyle name="Dezimal 16 17" xfId="11641" xr:uid="{A75E3F07-242E-448B-B307-FA75473FD96D}"/>
    <cellStyle name="Dezimal 16 17 2" xfId="11642" xr:uid="{F9FA63C1-F8A7-441C-9A37-65E74ABBDAE3}"/>
    <cellStyle name="Dezimal 16 17 2 2" xfId="31079" xr:uid="{6461AECB-13CD-477C-A2A4-5BACCFCCFE36}"/>
    <cellStyle name="Dezimal 16 17 3" xfId="31078" xr:uid="{9C799221-5F97-4B54-973C-D5973E4ABFAB}"/>
    <cellStyle name="Dezimal 16 18" xfId="11643" xr:uid="{D071C006-11A6-472D-88BC-623280E39671}"/>
    <cellStyle name="Dezimal 16 18 2" xfId="11644" xr:uid="{1F1C32BB-C704-4F9D-AD15-7FA52C4A290E}"/>
    <cellStyle name="Dezimal 16 18 2 2" xfId="31081" xr:uid="{40EAC22D-602F-45AE-81CB-F6A21BC97698}"/>
    <cellStyle name="Dezimal 16 18 3" xfId="31080" xr:uid="{D65AB490-D72F-4631-ADEB-6E140EBF156B}"/>
    <cellStyle name="Dezimal 16 19" xfId="11645" xr:uid="{3376FD0B-1A4B-4C9D-AAE6-EE187FBAB0A6}"/>
    <cellStyle name="Dezimal 16 19 2" xfId="11646" xr:uid="{0356E044-3201-4B16-8235-747E61E47DBC}"/>
    <cellStyle name="Dezimal 16 19 2 2" xfId="31083" xr:uid="{0682CA5D-15CA-4957-A839-A2C181085068}"/>
    <cellStyle name="Dezimal 16 19 3" xfId="31082" xr:uid="{37FB75DC-1CA9-4253-9E2C-5D05110101D9}"/>
    <cellStyle name="Dezimal 16 2" xfId="11647" xr:uid="{A4B79250-1641-44DA-BC0E-581765D49E7F}"/>
    <cellStyle name="Dezimal 16 2 2" xfId="31084" xr:uid="{FB85B25E-4D38-4A8C-BE50-77BD2C0F1A00}"/>
    <cellStyle name="Dezimal 16 20" xfId="11648" xr:uid="{4943CB5C-F4C7-46A0-A610-E7F851340828}"/>
    <cellStyle name="Dezimal 16 20 2" xfId="31085" xr:uid="{1A83BC8E-256D-4A34-A30D-2A32B6F42946}"/>
    <cellStyle name="Dezimal 16 21" xfId="31064" xr:uid="{8CD11A10-53DB-40B2-BF50-0873475B882E}"/>
    <cellStyle name="Dezimal 16 22" xfId="42178" xr:uid="{99BADE0C-E292-4EB1-9138-DCC5A58D8D6A}"/>
    <cellStyle name="Dezimal 16 3" xfId="11649" xr:uid="{8391660B-EA2C-4BE2-83D3-B14EA6C0D79A}"/>
    <cellStyle name="Dezimal 16 3 2" xfId="31086" xr:uid="{B2278EDB-002F-4F5E-A3AD-A24482298900}"/>
    <cellStyle name="Dezimal 16 4" xfId="11650" xr:uid="{E2936DE1-59F4-469D-9986-B2E24320AF7F}"/>
    <cellStyle name="Dezimal 16 4 2" xfId="31087" xr:uid="{A143C90A-9E5A-4077-B02A-3A8D8839623C}"/>
    <cellStyle name="Dezimal 16 5" xfId="11651" xr:uid="{2DADC479-8405-403B-882F-110BB335AC57}"/>
    <cellStyle name="Dezimal 16 5 2" xfId="31088" xr:uid="{82ABAED2-015B-4F25-A701-A95007A4FC14}"/>
    <cellStyle name="Dezimal 16 6" xfId="11652" xr:uid="{E383A76F-A4C1-4D96-B7B3-0C2C450509C8}"/>
    <cellStyle name="Dezimal 16 6 2" xfId="31089" xr:uid="{C1462C33-18D8-4801-A4A4-41DCE21C8781}"/>
    <cellStyle name="Dezimal 16 7" xfId="11653" xr:uid="{D36EF57F-59B6-49BC-A15E-9B88CF63EE4B}"/>
    <cellStyle name="Dezimal 16 7 2" xfId="31090" xr:uid="{B38B79F9-6FF2-474C-A245-9B2DB1552657}"/>
    <cellStyle name="Dezimal 16 8" xfId="11654" xr:uid="{A5A808EA-9447-448B-B156-D9A2C4858CBD}"/>
    <cellStyle name="Dezimal 16 8 2" xfId="31091" xr:uid="{B651A282-5679-4621-AEC6-5A311571CF2A}"/>
    <cellStyle name="Dezimal 16 9" xfId="11655" xr:uid="{C666AA3E-A6DC-4AA7-BE8B-B53AADF9D55E}"/>
    <cellStyle name="Dezimal 16 9 2" xfId="31092" xr:uid="{FD8D929C-AEF1-4083-908C-62B1E65858B3}"/>
    <cellStyle name="Dezimal 17" xfId="11656" xr:uid="{F076A584-97BD-4B1F-9764-5FC61BE834D7}"/>
    <cellStyle name="Dezimal 17 10" xfId="11657" xr:uid="{CCF19157-5C60-444E-8FD9-C33814B51ED1}"/>
    <cellStyle name="Dezimal 17 10 2" xfId="31094" xr:uid="{3A2B8FE5-4D7A-4482-A1EB-7AF4FF9B5BF0}"/>
    <cellStyle name="Dezimal 17 11" xfId="11658" xr:uid="{2DD0ECAC-BDA1-476A-8498-C1B5C1DE33C4}"/>
    <cellStyle name="Dezimal 17 11 2" xfId="11659" xr:uid="{96D27E31-67DF-4252-A17A-24349DFB442F}"/>
    <cellStyle name="Dezimal 17 11 2 2" xfId="31096" xr:uid="{5A973A89-8821-4076-A249-53FCA171430B}"/>
    <cellStyle name="Dezimal 17 11 3" xfId="31095" xr:uid="{79039509-D452-4350-A570-172CF2943FE6}"/>
    <cellStyle name="Dezimal 17 12" xfId="11660" xr:uid="{35E30C50-B5CD-4DCE-B819-F99BFED93C3A}"/>
    <cellStyle name="Dezimal 17 12 2" xfId="11661" xr:uid="{88CAD28E-4552-4A0E-9202-806DE9209585}"/>
    <cellStyle name="Dezimal 17 12 2 2" xfId="31098" xr:uid="{5727C27D-407E-47E9-BA57-3AB21CC82E48}"/>
    <cellStyle name="Dezimal 17 12 3" xfId="31097" xr:uid="{69F99081-4D91-4E4D-B201-FBB9A0B5964A}"/>
    <cellStyle name="Dezimal 17 13" xfId="11662" xr:uid="{D9D78E10-63A8-4DBA-920B-EA1C400E7313}"/>
    <cellStyle name="Dezimal 17 13 2" xfId="11663" xr:uid="{563EC63C-D136-421A-92E2-0C55A918154D}"/>
    <cellStyle name="Dezimal 17 13 2 2" xfId="31100" xr:uid="{D94DA5A5-1C81-46D0-8229-9C4FFC3C6D3D}"/>
    <cellStyle name="Dezimal 17 13 3" xfId="31099" xr:uid="{F6800658-CEF3-495D-A4CD-FC693667CEF2}"/>
    <cellStyle name="Dezimal 17 14" xfId="11664" xr:uid="{4A83D871-434E-41DD-B6E0-9CD3367B908C}"/>
    <cellStyle name="Dezimal 17 14 2" xfId="11665" xr:uid="{05F881FF-3A31-4B21-B615-76BBC0E5371C}"/>
    <cellStyle name="Dezimal 17 14 2 2" xfId="31102" xr:uid="{77CC9959-95AC-4AF4-B2E8-3F9ACC000325}"/>
    <cellStyle name="Dezimal 17 14 3" xfId="31101" xr:uid="{006336E7-A635-41B7-B65D-660CFB7919C1}"/>
    <cellStyle name="Dezimal 17 15" xfId="11666" xr:uid="{A23B359C-7EA7-4358-B9B6-72EA7BC3DB0A}"/>
    <cellStyle name="Dezimal 17 15 2" xfId="11667" xr:uid="{825ABCA6-A941-489D-89B9-B9EC8F082593}"/>
    <cellStyle name="Dezimal 17 15 2 2" xfId="31104" xr:uid="{43E54585-DB9D-457E-AF72-1B30BABCD8F4}"/>
    <cellStyle name="Dezimal 17 15 3" xfId="31103" xr:uid="{D14CC0A3-2367-4EC5-9036-B83006295759}"/>
    <cellStyle name="Dezimal 17 16" xfId="11668" xr:uid="{231E4653-4864-48C6-9E05-5C9C58C3451D}"/>
    <cellStyle name="Dezimal 17 16 2" xfId="11669" xr:uid="{7AF8ED8E-37BE-4B4E-8C01-9CBE5BF30C08}"/>
    <cellStyle name="Dezimal 17 16 2 2" xfId="31106" xr:uid="{097EF258-EC1F-49CF-9C62-22BA28C00AFE}"/>
    <cellStyle name="Dezimal 17 16 3" xfId="31105" xr:uid="{FA369BF7-F468-497C-B2B7-8955B6679047}"/>
    <cellStyle name="Dezimal 17 17" xfId="11670" xr:uid="{CCCAA818-4D26-47D9-88F4-D1388D4CBDB7}"/>
    <cellStyle name="Dezimal 17 17 2" xfId="11671" xr:uid="{64D6D235-D440-44BC-956A-D06EF88E8266}"/>
    <cellStyle name="Dezimal 17 17 2 2" xfId="31108" xr:uid="{2B96F987-8B76-4A3A-8804-D40071A820DF}"/>
    <cellStyle name="Dezimal 17 17 3" xfId="31107" xr:uid="{D408C822-E70E-4291-A608-7233FFCF7B58}"/>
    <cellStyle name="Dezimal 17 18" xfId="11672" xr:uid="{B41FD8A6-4061-4C78-8AF3-8D00F9E20056}"/>
    <cellStyle name="Dezimal 17 18 2" xfId="11673" xr:uid="{2911BD88-8005-494C-8706-0AD0978C8245}"/>
    <cellStyle name="Dezimal 17 18 2 2" xfId="31110" xr:uid="{C64F0E3D-55E6-4A02-AF82-992D53C05F68}"/>
    <cellStyle name="Dezimal 17 18 3" xfId="31109" xr:uid="{BF572E32-B23C-4567-8DBC-9F0CA5D66DA9}"/>
    <cellStyle name="Dezimal 17 19" xfId="11674" xr:uid="{908F7B7C-927F-491B-A4B8-DC3245A777D4}"/>
    <cellStyle name="Dezimal 17 19 2" xfId="11675" xr:uid="{2F67F040-4DBF-448C-A2EF-921B1F44A823}"/>
    <cellStyle name="Dezimal 17 19 2 2" xfId="31112" xr:uid="{4D14056D-BC1B-4966-8AD5-263A43DAD40E}"/>
    <cellStyle name="Dezimal 17 19 3" xfId="31111" xr:uid="{7D9B0905-33A0-4B3E-AD91-6E2FE3CC47EF}"/>
    <cellStyle name="Dezimal 17 2" xfId="11676" xr:uid="{4D2FFDCD-4ABC-402C-B086-7FABCD7F5343}"/>
    <cellStyle name="Dezimal 17 2 2" xfId="31113" xr:uid="{3FB25368-03A6-4889-A6ED-B0C3760C844E}"/>
    <cellStyle name="Dezimal 17 20" xfId="11677" xr:uid="{D1430759-4A8E-4CA2-9462-96A0BEB90B1C}"/>
    <cellStyle name="Dezimal 17 20 2" xfId="31114" xr:uid="{D8082639-50E2-402F-91A8-6252B1BC3C75}"/>
    <cellStyle name="Dezimal 17 21" xfId="31093" xr:uid="{A13A82DF-3DBA-4DEC-A9AA-6E6C170606A8}"/>
    <cellStyle name="Dezimal 17 22" xfId="42177" xr:uid="{046F0CDE-7AAB-4B09-83A2-1D371822FF81}"/>
    <cellStyle name="Dezimal 17 3" xfId="11678" xr:uid="{2F64D52C-6BEC-4E16-B487-36ECDDA7F7D5}"/>
    <cellStyle name="Dezimal 17 3 2" xfId="31115" xr:uid="{BECEDBE8-9025-46C4-90CB-B5B67A852AA1}"/>
    <cellStyle name="Dezimal 17 4" xfId="11679" xr:uid="{7BEB6B3A-1ED8-459E-8966-A5CFDBA38631}"/>
    <cellStyle name="Dezimal 17 4 2" xfId="31116" xr:uid="{803035F4-A5B3-4E4F-82C9-889B76C0657C}"/>
    <cellStyle name="Dezimal 17 5" xfId="11680" xr:uid="{D59D67E7-02E3-4942-BF1D-9D4E52DB7EB7}"/>
    <cellStyle name="Dezimal 17 5 2" xfId="31117" xr:uid="{0AA1902F-65DD-46B4-BA96-FE668166473A}"/>
    <cellStyle name="Dezimal 17 6" xfId="11681" xr:uid="{2BE74372-9694-4C06-802C-2D28BF081D05}"/>
    <cellStyle name="Dezimal 17 6 2" xfId="31118" xr:uid="{92C8AA15-ECFB-4199-9644-288CE7EBE01C}"/>
    <cellStyle name="Dezimal 17 7" xfId="11682" xr:uid="{8B00A366-AB16-4AE8-89AC-FDEA97BDCEE8}"/>
    <cellStyle name="Dezimal 17 7 2" xfId="31119" xr:uid="{2B4C664E-D1B0-4AD5-809F-C293E6482740}"/>
    <cellStyle name="Dezimal 17 8" xfId="11683" xr:uid="{FC0465E1-BFB7-4514-9A8F-08BC088525D4}"/>
    <cellStyle name="Dezimal 17 8 2" xfId="31120" xr:uid="{1BD7195E-CB2F-4827-BDEA-F406946461E6}"/>
    <cellStyle name="Dezimal 17 9" xfId="11684" xr:uid="{67E8B5A8-F5B3-4110-9C8B-FFD29DD4AFC0}"/>
    <cellStyle name="Dezimal 17 9 2" xfId="31121" xr:uid="{052B11F5-B5F7-4228-B8F1-D52147EFFD88}"/>
    <cellStyle name="Dezimal 18" xfId="11685" xr:uid="{89EABB61-6CA6-470C-8DCB-35466A0E7F9D}"/>
    <cellStyle name="Dezimal 18 10" xfId="11686" xr:uid="{CE64066D-748D-49C4-A6A8-7490C714CE96}"/>
    <cellStyle name="Dezimal 18 10 2" xfId="31123" xr:uid="{EF6EF6DD-E792-47FC-805D-EEB09A4C1F40}"/>
    <cellStyle name="Dezimal 18 11" xfId="11687" xr:uid="{0DD2BF6C-3529-433F-BAB1-3C236B200875}"/>
    <cellStyle name="Dezimal 18 11 2" xfId="11688" xr:uid="{49AA1322-3C82-4ADB-9CCE-D6D698CDD0E0}"/>
    <cellStyle name="Dezimal 18 11 2 2" xfId="31125" xr:uid="{19F28408-C10D-4A03-9660-E823B8C0510C}"/>
    <cellStyle name="Dezimal 18 11 3" xfId="31124" xr:uid="{289ADEDB-A543-4292-955F-B26A5D7C7DF0}"/>
    <cellStyle name="Dezimal 18 12" xfId="11689" xr:uid="{054A3A82-5500-4C2E-AD61-A975AD75C036}"/>
    <cellStyle name="Dezimal 18 12 2" xfId="11690" xr:uid="{B3E3AFF1-E7BE-4D8C-8F2B-75BE95EA501E}"/>
    <cellStyle name="Dezimal 18 12 2 2" xfId="31127" xr:uid="{19251D08-82CD-4B56-9EBD-D5F3FFDD1F13}"/>
    <cellStyle name="Dezimal 18 12 3" xfId="31126" xr:uid="{CDDEB6AC-B405-41AF-BF24-2BACE37CF8C8}"/>
    <cellStyle name="Dezimal 18 13" xfId="11691" xr:uid="{8DC9E362-3F77-451A-B804-4A185FAE439A}"/>
    <cellStyle name="Dezimal 18 13 2" xfId="11692" xr:uid="{BBE84683-599D-4F34-9A3E-8FFF75218ABB}"/>
    <cellStyle name="Dezimal 18 13 2 2" xfId="31129" xr:uid="{57C4E8A2-6E1F-4C16-B607-A2E80D25AEC3}"/>
    <cellStyle name="Dezimal 18 13 3" xfId="31128" xr:uid="{B0FC7206-2C4D-439B-8B3B-0E68801C5993}"/>
    <cellStyle name="Dezimal 18 14" xfId="11693" xr:uid="{C6C76254-39BD-44FC-BAD0-997A7245A384}"/>
    <cellStyle name="Dezimal 18 14 2" xfId="11694" xr:uid="{439192C3-215D-4026-8FAD-08D23055F9B9}"/>
    <cellStyle name="Dezimal 18 14 2 2" xfId="31131" xr:uid="{FEFDEA7D-40EC-4885-BE9A-8B72F069EA4C}"/>
    <cellStyle name="Dezimal 18 14 3" xfId="31130" xr:uid="{0EAF0017-901F-43E0-8325-9E90E500E9AB}"/>
    <cellStyle name="Dezimal 18 15" xfId="11695" xr:uid="{14F956FB-9069-49A5-B081-21C4BA8566D4}"/>
    <cellStyle name="Dezimal 18 15 2" xfId="11696" xr:uid="{8272CB10-9D48-4C2A-A2B9-F0523A216E95}"/>
    <cellStyle name="Dezimal 18 15 2 2" xfId="31133" xr:uid="{74AAA8EB-3998-4E3A-B0FD-D835DFFA6D48}"/>
    <cellStyle name="Dezimal 18 15 3" xfId="31132" xr:uid="{E83728E0-85B5-4917-9352-C7D4F03F76C9}"/>
    <cellStyle name="Dezimal 18 16" xfId="11697" xr:uid="{210FA933-D448-47AE-9E07-C9100C96DAD6}"/>
    <cellStyle name="Dezimal 18 16 2" xfId="11698" xr:uid="{1DC25A35-6C33-4425-B110-4AB1F8F64117}"/>
    <cellStyle name="Dezimal 18 16 2 2" xfId="31135" xr:uid="{ACFBDB25-F480-4D2C-9D3A-1C7B499541B7}"/>
    <cellStyle name="Dezimal 18 16 3" xfId="31134" xr:uid="{EA533475-87FF-4D45-B89F-4F309CA4DA9E}"/>
    <cellStyle name="Dezimal 18 17" xfId="11699" xr:uid="{5404FF3C-412C-4DFC-A0AD-3A6D8EFCE5D3}"/>
    <cellStyle name="Dezimal 18 17 2" xfId="11700" xr:uid="{6EF1F9B9-4B99-4A11-A088-15D9328F7997}"/>
    <cellStyle name="Dezimal 18 17 2 2" xfId="31137" xr:uid="{6A3C8A48-008D-4D8B-97B7-3B4597685DD2}"/>
    <cellStyle name="Dezimal 18 17 3" xfId="31136" xr:uid="{B0D0E321-DE13-4969-A374-485F7AA12E8A}"/>
    <cellStyle name="Dezimal 18 18" xfId="11701" xr:uid="{CEDF52BA-C105-4AB2-A12F-15A2F08AC757}"/>
    <cellStyle name="Dezimal 18 18 2" xfId="11702" xr:uid="{0AAE9B0D-BED5-4D7F-B8CC-D9F33D7DCFBE}"/>
    <cellStyle name="Dezimal 18 18 2 2" xfId="31139" xr:uid="{A14B6CED-BF63-49D9-9B4D-F135DE1DF9F4}"/>
    <cellStyle name="Dezimal 18 18 3" xfId="31138" xr:uid="{81598925-A0B7-417E-9814-2311E7F2827D}"/>
    <cellStyle name="Dezimal 18 19" xfId="11703" xr:uid="{8CC23BEB-7DC1-424F-8957-4506F1F21A00}"/>
    <cellStyle name="Dezimal 18 19 2" xfId="11704" xr:uid="{F40F1AEC-EBD5-4E44-A88F-6FF630E4DA63}"/>
    <cellStyle name="Dezimal 18 19 2 2" xfId="31141" xr:uid="{E02B952C-4A69-44C7-8C89-0FF771B4F60B}"/>
    <cellStyle name="Dezimal 18 19 3" xfId="31140" xr:uid="{365A1EE0-DB7C-48E2-BA69-56E208BD19A7}"/>
    <cellStyle name="Dezimal 18 2" xfId="11705" xr:uid="{643929E3-7979-4DEC-82E7-74B1E7BF356F}"/>
    <cellStyle name="Dezimal 18 2 2" xfId="31142" xr:uid="{35BE5501-35A9-4A1E-A9DA-6FCD7CDBDD3E}"/>
    <cellStyle name="Dezimal 18 20" xfId="11706" xr:uid="{B6284FE1-7F47-4470-81FF-C80F4D3EF59F}"/>
    <cellStyle name="Dezimal 18 20 2" xfId="31143" xr:uid="{99B58404-4394-4554-BE92-67182B78E844}"/>
    <cellStyle name="Dezimal 18 21" xfId="31122" xr:uid="{81B8FFF2-D2C8-40DE-A51D-409F7C4415B6}"/>
    <cellStyle name="Dezimal 18 22" xfId="42176" xr:uid="{E84B3D92-6B8C-42D1-90EA-86441DAABE15}"/>
    <cellStyle name="Dezimal 18 3" xfId="11707" xr:uid="{D439DAB7-4E89-49F5-858E-636B6C103D53}"/>
    <cellStyle name="Dezimal 18 3 2" xfId="31144" xr:uid="{E09305E8-817B-42BF-A8E2-8FB4B4C78906}"/>
    <cellStyle name="Dezimal 18 4" xfId="11708" xr:uid="{A565E3F5-3803-48A1-9C16-AA028576DFF1}"/>
    <cellStyle name="Dezimal 18 4 2" xfId="31145" xr:uid="{4752C08F-B2B0-4A14-B400-A611099042AF}"/>
    <cellStyle name="Dezimal 18 5" xfId="11709" xr:uid="{501DBE0D-27C9-4186-99C0-12F22279F78C}"/>
    <cellStyle name="Dezimal 18 5 2" xfId="31146" xr:uid="{70368C6F-9633-4B98-8E8F-75576F80DDAC}"/>
    <cellStyle name="Dezimal 18 6" xfId="11710" xr:uid="{9256A173-59B7-4F19-BC9E-B043F306CD44}"/>
    <cellStyle name="Dezimal 18 6 2" xfId="31147" xr:uid="{431B1BC6-1344-4FF8-90D9-A8F554ACB141}"/>
    <cellStyle name="Dezimal 18 7" xfId="11711" xr:uid="{A1EACB6E-9734-4F82-9B2F-126A44BA580F}"/>
    <cellStyle name="Dezimal 18 7 2" xfId="31148" xr:uid="{0CE5EAF5-E767-4D20-B43A-98EC3ACA279C}"/>
    <cellStyle name="Dezimal 18 8" xfId="11712" xr:uid="{88482078-78C1-4A9D-834D-A46D956171BB}"/>
    <cellStyle name="Dezimal 18 8 2" xfId="31149" xr:uid="{93873F5E-B16F-44FC-A71E-1BA4777A263D}"/>
    <cellStyle name="Dezimal 18 9" xfId="11713" xr:uid="{506019F5-8C40-4914-8B81-93C7BCCE5AE2}"/>
    <cellStyle name="Dezimal 18 9 2" xfId="31150" xr:uid="{D8C45DBD-A9FD-495D-95FB-F92805902288}"/>
    <cellStyle name="Dezimal 19" xfId="11714" xr:uid="{8B9C31A5-5880-45CA-9A22-917EF0C66074}"/>
    <cellStyle name="Dezimal 19 10" xfId="11715" xr:uid="{4477D8B8-73F2-4CA9-8E2E-B14730C0579F}"/>
    <cellStyle name="Dezimal 19 10 2" xfId="31152" xr:uid="{0C3F7738-3980-41E8-B232-D0FF4F45258E}"/>
    <cellStyle name="Dezimal 19 11" xfId="11716" xr:uid="{0A181CB4-2273-4F2D-9968-A61396138851}"/>
    <cellStyle name="Dezimal 19 11 2" xfId="11717" xr:uid="{5ACA2262-E127-4CC4-BFAF-F68BB723ECC8}"/>
    <cellStyle name="Dezimal 19 11 2 2" xfId="31154" xr:uid="{16BB955C-8FD4-4539-935E-7B6A4E5696D8}"/>
    <cellStyle name="Dezimal 19 11 3" xfId="31153" xr:uid="{BBBF2B5C-C1CD-4DEC-AAA4-2F0A33112216}"/>
    <cellStyle name="Dezimal 19 12" xfId="11718" xr:uid="{71955A01-4434-4A61-9DF3-7BD3AD08C021}"/>
    <cellStyle name="Dezimal 19 12 2" xfId="11719" xr:uid="{AB61FDF9-CDFB-4365-AA07-4E04DDB1CF09}"/>
    <cellStyle name="Dezimal 19 12 2 2" xfId="31156" xr:uid="{FE0E1A22-94C1-4E3B-980A-80FCF196EE46}"/>
    <cellStyle name="Dezimal 19 12 3" xfId="31155" xr:uid="{54BF27F1-FE7C-4397-9D31-252DF75641F4}"/>
    <cellStyle name="Dezimal 19 13" xfId="11720" xr:uid="{4E921D63-5816-406F-982A-DFEF99B315AA}"/>
    <cellStyle name="Dezimal 19 13 2" xfId="11721" xr:uid="{855E0BA2-4DCB-4069-B37A-87CB2858A9C8}"/>
    <cellStyle name="Dezimal 19 13 2 2" xfId="31158" xr:uid="{AD2EC418-D467-4B98-BD80-976D4EDE3429}"/>
    <cellStyle name="Dezimal 19 13 3" xfId="31157" xr:uid="{37ABCE97-BB62-44EF-89E0-A7495FC9025B}"/>
    <cellStyle name="Dezimal 19 14" xfId="11722" xr:uid="{B2B31425-3504-4E4C-9F09-CEA4FE292279}"/>
    <cellStyle name="Dezimal 19 14 2" xfId="11723" xr:uid="{927DE036-4951-415A-9E96-8FDBF87E2AC1}"/>
    <cellStyle name="Dezimal 19 14 2 2" xfId="31160" xr:uid="{9124F9BD-7505-406D-9AF5-C108E714356D}"/>
    <cellStyle name="Dezimal 19 14 3" xfId="31159" xr:uid="{BF6E36E8-2738-4996-8A9A-C67963057E7B}"/>
    <cellStyle name="Dezimal 19 15" xfId="11724" xr:uid="{E3E856C8-B75C-4A23-A89A-07575925A121}"/>
    <cellStyle name="Dezimal 19 15 2" xfId="11725" xr:uid="{6451D8C2-46F6-466E-A6FA-DA72EE868872}"/>
    <cellStyle name="Dezimal 19 15 2 2" xfId="31162" xr:uid="{5E5D7135-2D66-455E-B838-AF8FCDCD9594}"/>
    <cellStyle name="Dezimal 19 15 3" xfId="31161" xr:uid="{8C431874-DB0D-4D2F-B776-ECE1617BCC05}"/>
    <cellStyle name="Dezimal 19 16" xfId="11726" xr:uid="{A8713EEA-A01A-4600-BD72-A52A6BEFCF3E}"/>
    <cellStyle name="Dezimal 19 16 2" xfId="11727" xr:uid="{B7813EE8-D8B4-40DE-999F-78472BDB0C65}"/>
    <cellStyle name="Dezimal 19 16 2 2" xfId="31164" xr:uid="{42BF5ACB-E573-4C96-B591-80F09E81748B}"/>
    <cellStyle name="Dezimal 19 16 3" xfId="31163" xr:uid="{9C7A9443-AA8B-409F-83A1-2A127EB5A744}"/>
    <cellStyle name="Dezimal 19 17" xfId="11728" xr:uid="{E3D44F22-17CB-4FA8-AB1D-167EAE015195}"/>
    <cellStyle name="Dezimal 19 17 2" xfId="11729" xr:uid="{7BDAA9E7-9B38-4385-A2DE-E18AF50C1D98}"/>
    <cellStyle name="Dezimal 19 17 2 2" xfId="31166" xr:uid="{9AF7206C-DFDD-4D52-B36A-AE31FB8D2ABE}"/>
    <cellStyle name="Dezimal 19 17 3" xfId="31165" xr:uid="{72B9D8B6-E4E2-4311-82A9-B55E1C682421}"/>
    <cellStyle name="Dezimal 19 18" xfId="11730" xr:uid="{762EC8E4-579C-4AD7-9173-E56FB59899BF}"/>
    <cellStyle name="Dezimal 19 18 2" xfId="11731" xr:uid="{AEB584E6-4B36-4A0E-9FF6-0856BB3EEA55}"/>
    <cellStyle name="Dezimal 19 18 2 2" xfId="31168" xr:uid="{CD784EF5-54F5-45FB-BE1E-A985EE81A418}"/>
    <cellStyle name="Dezimal 19 18 3" xfId="31167" xr:uid="{70B00C36-5292-4E68-9007-B7A453E81082}"/>
    <cellStyle name="Dezimal 19 19" xfId="11732" xr:uid="{953C6C8A-BA30-4B88-BC84-B138EAC125C4}"/>
    <cellStyle name="Dezimal 19 19 2" xfId="11733" xr:uid="{9ABA3A1B-5FCC-46A8-930A-C9875B2683F2}"/>
    <cellStyle name="Dezimal 19 19 2 2" xfId="31170" xr:uid="{DD563324-0364-4268-86E6-DAF85E189D6F}"/>
    <cellStyle name="Dezimal 19 19 3" xfId="31169" xr:uid="{13A32496-5CA4-4C21-A187-CD7E773020D2}"/>
    <cellStyle name="Dezimal 19 2" xfId="11734" xr:uid="{82720153-AF61-477B-9A5C-08C5C3EF14CA}"/>
    <cellStyle name="Dezimal 19 2 2" xfId="31171" xr:uid="{17D33CEB-9A4C-4B09-A764-8F1CA28A7404}"/>
    <cellStyle name="Dezimal 19 20" xfId="11735" xr:uid="{2D7E9F47-E730-4510-8E0F-D3C45CD92A89}"/>
    <cellStyle name="Dezimal 19 20 2" xfId="31172" xr:uid="{7DA04879-88F7-454F-AFC3-1E97B6CE5FB6}"/>
    <cellStyle name="Dezimal 19 21" xfId="31151" xr:uid="{D8697543-414F-4E68-B736-330FB7764EF5}"/>
    <cellStyle name="Dezimal 19 22" xfId="42170" xr:uid="{1FD856C4-81C6-4385-A107-C8EE27CFD125}"/>
    <cellStyle name="Dezimal 19 3" xfId="11736" xr:uid="{7907C975-595E-44BF-B717-3D5115277D73}"/>
    <cellStyle name="Dezimal 19 3 2" xfId="31173" xr:uid="{E7D78781-31D1-4D2F-AEA4-1CADB52E151D}"/>
    <cellStyle name="Dezimal 19 4" xfId="11737" xr:uid="{43C0ACEB-EDCC-4E86-A7F9-504F30734AC6}"/>
    <cellStyle name="Dezimal 19 4 2" xfId="31174" xr:uid="{C0EB35E3-2FB7-4D45-A01D-EFDA2CD14F4B}"/>
    <cellStyle name="Dezimal 19 5" xfId="11738" xr:uid="{5FD7E089-0622-4175-BBF0-133B6C12AB97}"/>
    <cellStyle name="Dezimal 19 5 2" xfId="31175" xr:uid="{54E92624-FBF8-4867-A7A1-78118EB1C6ED}"/>
    <cellStyle name="Dezimal 19 6" xfId="11739" xr:uid="{FD7B2F14-3938-463D-B029-05AA4239E661}"/>
    <cellStyle name="Dezimal 19 6 2" xfId="31176" xr:uid="{14464176-8F98-43BC-A652-BB891DAFC010}"/>
    <cellStyle name="Dezimal 19 7" xfId="11740" xr:uid="{EE3207FF-FE2A-4A22-9648-38FB0716AC59}"/>
    <cellStyle name="Dezimal 19 7 2" xfId="31177" xr:uid="{1402E7E7-0F4F-4D54-8D67-DC62BC274C4B}"/>
    <cellStyle name="Dezimal 19 8" xfId="11741" xr:uid="{4B3FE891-709E-47A3-9A42-820CDBF68F3D}"/>
    <cellStyle name="Dezimal 19 8 2" xfId="31178" xr:uid="{EBB53EF1-3CAC-4081-83A8-04B88158D3C1}"/>
    <cellStyle name="Dezimal 19 9" xfId="11742" xr:uid="{A34EBB71-E2E8-490B-8E90-FD52B545B8C9}"/>
    <cellStyle name="Dezimal 19 9 2" xfId="31179" xr:uid="{1E7DF75E-6F66-43BA-8572-BC4F0E172686}"/>
    <cellStyle name="Dezimal 2" xfId="96" xr:uid="{21F9DE70-0C70-42A4-ABDA-AF4F2A647873}"/>
    <cellStyle name="Dezimal 2 10" xfId="11744" xr:uid="{73014D89-744C-4B63-A5CC-70B4828554B8}"/>
    <cellStyle name="Dezimal 2 10 10" xfId="11745" xr:uid="{17440D57-1DDD-4DE7-8B62-48BA09EC421A}"/>
    <cellStyle name="Dezimal 2 10 10 2" xfId="31182" xr:uid="{359B8F10-4A8B-4FBA-B2C7-8C62061EF497}"/>
    <cellStyle name="Dezimal 2 10 11" xfId="11746" xr:uid="{A54C401B-4734-416B-B931-4DC5DF48A994}"/>
    <cellStyle name="Dezimal 2 10 11 2" xfId="31183" xr:uid="{BFFB0210-5250-4B87-BE56-A919208E5011}"/>
    <cellStyle name="Dezimal 2 10 12" xfId="31181" xr:uid="{960BA4D1-67FB-4483-8833-147047BC6222}"/>
    <cellStyle name="Dezimal 2 10 2" xfId="11747" xr:uid="{C4562FD2-F1AE-4A88-A642-3466262F9B5F}"/>
    <cellStyle name="Dezimal 2 10 2 2" xfId="31184" xr:uid="{139FF39F-6AC0-488D-81A4-BB049C359C66}"/>
    <cellStyle name="Dezimal 2 10 3" xfId="11748" xr:uid="{727E84F3-0DE0-4AFF-8D16-6601F6F0B39C}"/>
    <cellStyle name="Dezimal 2 10 3 2" xfId="31185" xr:uid="{1800ED5A-7502-4CBB-B0EE-E08FD6470994}"/>
    <cellStyle name="Dezimal 2 10 4" xfId="11749" xr:uid="{81012593-A4EA-4F74-AE7C-4FF54FCF7958}"/>
    <cellStyle name="Dezimal 2 10 4 2" xfId="31186" xr:uid="{2E98BB88-F41E-458D-BCE4-AB3E3AE5CFCE}"/>
    <cellStyle name="Dezimal 2 10 5" xfId="11750" xr:uid="{1F5FF823-0D58-4C02-971E-F9DA6F79D916}"/>
    <cellStyle name="Dezimal 2 10 5 2" xfId="31187" xr:uid="{37AEFD26-43F1-4711-8E0D-BABBD7895F9A}"/>
    <cellStyle name="Dezimal 2 10 6" xfId="11751" xr:uid="{25374C11-B010-4ACA-870A-ABCFD28C5954}"/>
    <cellStyle name="Dezimal 2 10 6 2" xfId="31188" xr:uid="{A902A2C1-ED27-4DC7-82EB-B62382191A6D}"/>
    <cellStyle name="Dezimal 2 10 7" xfId="11752" xr:uid="{F79D471C-B1C2-49AB-9AA7-0B66DDEF3E62}"/>
    <cellStyle name="Dezimal 2 10 7 2" xfId="31189" xr:uid="{D9729679-1E94-4F64-A9AE-2DC997C12F5D}"/>
    <cellStyle name="Dezimal 2 10 8" xfId="11753" xr:uid="{B6940586-E277-4947-BF25-A34064D3E092}"/>
    <cellStyle name="Dezimal 2 10 8 2" xfId="31190" xr:uid="{494241D8-31F0-4F23-9F84-A649807B3382}"/>
    <cellStyle name="Dezimal 2 10 9" xfId="11754" xr:uid="{6382B21D-2700-4618-873B-F3F9E4234701}"/>
    <cellStyle name="Dezimal 2 10 9 2" xfId="31191" xr:uid="{5ACC0559-39F1-4BA1-8718-E334943DF91B}"/>
    <cellStyle name="Dezimal 2 11" xfId="11755" xr:uid="{F7B0B2C7-9FF7-4208-BAAA-53DD326DA62F}"/>
    <cellStyle name="Dezimal 2 11 2" xfId="11756" xr:uid="{617FE0EB-065B-486A-8024-575482677253}"/>
    <cellStyle name="Dezimal 2 11 2 2" xfId="31193" xr:uid="{A43A3F42-4D5C-4B00-B539-AF4BEBFE47BC}"/>
    <cellStyle name="Dezimal 2 11 3" xfId="31192" xr:uid="{235EA08F-D570-40B7-A90B-B0B47FE17976}"/>
    <cellStyle name="Dezimal 2 12" xfId="11757" xr:uid="{21AE656D-E92A-4119-834F-4D1F6DC25A25}"/>
    <cellStyle name="Dezimal 2 12 2" xfId="11758" xr:uid="{0B20376F-BD72-4C30-BC17-C477793FE36B}"/>
    <cellStyle name="Dezimal 2 12 2 2" xfId="31195" xr:uid="{6A92E163-5277-44E8-8DE5-8CBCF9ABC227}"/>
    <cellStyle name="Dezimal 2 12 3" xfId="31194" xr:uid="{3E8BF3A2-7829-42FE-B976-D03DAB8C7DC8}"/>
    <cellStyle name="Dezimal 2 13" xfId="11759" xr:uid="{CD1268C7-411A-4216-9B9B-A35189F619D6}"/>
    <cellStyle name="Dezimal 2 13 2" xfId="11760" xr:uid="{1B334A5A-F32D-4886-BF8E-3180CB788958}"/>
    <cellStyle name="Dezimal 2 13 2 2" xfId="31197" xr:uid="{D57C20D6-042A-4BED-AF45-BC6BFD3A5B30}"/>
    <cellStyle name="Dezimal 2 13 3" xfId="31196" xr:uid="{79167850-3793-4062-9A51-89E1B207093D}"/>
    <cellStyle name="Dezimal 2 14" xfId="11761" xr:uid="{9C9C1058-F55B-4BC0-A4F8-9699C8DB3EDA}"/>
    <cellStyle name="Dezimal 2 14 2" xfId="11762" xr:uid="{97281A94-8379-425F-A571-4A64BB87B72A}"/>
    <cellStyle name="Dezimal 2 14 2 2" xfId="31199" xr:uid="{E22D985D-03DB-475C-8CEF-90A669A69996}"/>
    <cellStyle name="Dezimal 2 14 3" xfId="31198" xr:uid="{9FB01C96-3FF4-4B3A-A728-66C1E67245B2}"/>
    <cellStyle name="Dezimal 2 15" xfId="11763" xr:uid="{20078638-0A67-4847-82DF-EA5BFE81093D}"/>
    <cellStyle name="Dezimal 2 15 2" xfId="11764" xr:uid="{8E91B0D7-1B99-4D1A-A477-18C01B44422C}"/>
    <cellStyle name="Dezimal 2 15 2 2" xfId="31201" xr:uid="{4EE680EF-66EA-4F42-8882-FF9826CD1243}"/>
    <cellStyle name="Dezimal 2 15 3" xfId="31200" xr:uid="{CDCE1647-5B09-4294-BCB8-E3263E51E252}"/>
    <cellStyle name="Dezimal 2 16" xfId="11765" xr:uid="{890B464F-52C5-4C21-80AB-A7307DBED8F5}"/>
    <cellStyle name="Dezimal 2 16 2" xfId="11766" xr:uid="{356C7430-459E-4F5A-BD32-AF2D0122BA40}"/>
    <cellStyle name="Dezimal 2 16 2 2" xfId="31203" xr:uid="{07813DCC-D473-4FE0-98BC-247D850C4A50}"/>
    <cellStyle name="Dezimal 2 16 3" xfId="31202" xr:uid="{D9D7C240-3319-4BD9-8FC8-C2F04A786F36}"/>
    <cellStyle name="Dezimal 2 17" xfId="11767" xr:uid="{A5462BB7-5BDD-48C1-93C6-DDB5556DE748}"/>
    <cellStyle name="Dezimal 2 17 2" xfId="11768" xr:uid="{0BAC57E8-2A9C-4D2B-A5C9-E7E52B0965AF}"/>
    <cellStyle name="Dezimal 2 17 2 2" xfId="31205" xr:uid="{3002D9BF-5078-4978-BAB6-1389ABE4065D}"/>
    <cellStyle name="Dezimal 2 17 3" xfId="31204" xr:uid="{E27FD89E-9CEE-49C9-AA22-3270D02794AF}"/>
    <cellStyle name="Dezimal 2 18" xfId="11769" xr:uid="{D52A647B-414B-43CB-8816-90266F26DCEE}"/>
    <cellStyle name="Dezimal 2 18 2" xfId="11770" xr:uid="{2DBFB746-FAF1-4F4F-8A58-FF09DA6B80E0}"/>
    <cellStyle name="Dezimal 2 18 2 2" xfId="31207" xr:uid="{020567F2-556F-44C7-A682-0E322D5A61F6}"/>
    <cellStyle name="Dezimal 2 18 3" xfId="31206" xr:uid="{D2864C0B-785F-4E2B-A2CB-CEB2D0B66AFF}"/>
    <cellStyle name="Dezimal 2 19" xfId="11771" xr:uid="{5E14F1A9-AA89-467E-A734-37A9FAE561EE}"/>
    <cellStyle name="Dezimal 2 19 2" xfId="11772" xr:uid="{98555DB8-91B7-4BBB-B024-B6688205920C}"/>
    <cellStyle name="Dezimal 2 19 2 2" xfId="31209" xr:uid="{D431C031-B83D-4D30-8BBA-9D9C59B3563F}"/>
    <cellStyle name="Dezimal 2 19 3" xfId="31208" xr:uid="{1546CF89-B366-4DFF-91A6-E7F644BB3758}"/>
    <cellStyle name="Dezimal 2 2" xfId="11773" xr:uid="{7B3E42C6-7974-41D4-A32F-43CEFC36F27A}"/>
    <cellStyle name="Dezimal 2 2 10" xfId="11774" xr:uid="{366ECD9C-9694-4B6D-AE45-A3FF9D4A8E4D}"/>
    <cellStyle name="Dezimal 2 2 10 2" xfId="11775" xr:uid="{4BD25547-6436-4332-B663-CB0A18E3A098}"/>
    <cellStyle name="Dezimal 2 2 10 2 2" xfId="31212" xr:uid="{BAF52CB9-E6D9-4DAA-93B7-49153FABE007}"/>
    <cellStyle name="Dezimal 2 2 10 3" xfId="31211" xr:uid="{572FCDD6-545C-458D-8E51-B57DD9703E3A}"/>
    <cellStyle name="Dezimal 2 2 11" xfId="11776" xr:uid="{01012088-AB26-41D6-B33A-89669DF0939C}"/>
    <cellStyle name="Dezimal 2 2 11 2" xfId="11777" xr:uid="{D7F3F5A8-F4BA-46DC-AB54-8952EEF38509}"/>
    <cellStyle name="Dezimal 2 2 11 2 2" xfId="31214" xr:uid="{8327BC78-6748-4A2F-B2A9-670F5E4B323D}"/>
    <cellStyle name="Dezimal 2 2 11 3" xfId="31213" xr:uid="{1221649D-B3A3-4B8E-A10F-2B5AB466D19E}"/>
    <cellStyle name="Dezimal 2 2 12" xfId="11778" xr:uid="{9E3D8A1D-7A7C-42AE-A496-A782CDAEED01}"/>
    <cellStyle name="Dezimal 2 2 12 2" xfId="31215" xr:uid="{954E790D-3D61-4716-80D8-5368F051FE3B}"/>
    <cellStyle name="Dezimal 2 2 13" xfId="31210" xr:uid="{0D56CADC-CEC2-402A-B6CC-71ABE417B232}"/>
    <cellStyle name="Dezimal 2 2 14" xfId="39419" xr:uid="{844EBE9C-274F-4E36-80D3-37892A3B09E5}"/>
    <cellStyle name="Dezimal 2 2 2" xfId="11779" xr:uid="{653CFCFF-832C-4121-8D0A-81A7354DBE6E}"/>
    <cellStyle name="Dezimal 2 2 2 2" xfId="11780" xr:uid="{B65368BF-4169-4A15-B8BC-F56F2717EC4E}"/>
    <cellStyle name="Dezimal 2 2 2 2 2" xfId="31217" xr:uid="{FC2682BE-83EE-4E69-AA34-C6D839BDDB3D}"/>
    <cellStyle name="Dezimal 2 2 2 3" xfId="31216" xr:uid="{4465AD6C-630D-4772-9BBB-888953EEF92F}"/>
    <cellStyle name="Dezimal 2 2 2 4" xfId="42175" xr:uid="{5BA98C18-002E-4A91-B866-92B4F1F702EB}"/>
    <cellStyle name="Dezimal 2 2 3" xfId="11781" xr:uid="{B80B927A-62D1-4E54-BE1C-F7E68ECDC08E}"/>
    <cellStyle name="Dezimal 2 2 3 2" xfId="11782" xr:uid="{21D7973B-AF76-4B1C-B959-9BE47809A7C8}"/>
    <cellStyle name="Dezimal 2 2 3 2 2" xfId="31219" xr:uid="{C46ADEDD-9ABB-4E36-B4C4-158A24E7C73C}"/>
    <cellStyle name="Dezimal 2 2 3 3" xfId="31218" xr:uid="{6FB0D494-A926-4B35-BE5F-EC3988305A2A}"/>
    <cellStyle name="Dezimal 2 2 4" xfId="11783" xr:uid="{5D7366F5-1DE4-47D8-85DF-562BB8E6A39A}"/>
    <cellStyle name="Dezimal 2 2 4 2" xfId="11784" xr:uid="{D2A8B252-18EC-4109-9870-73093A71123C}"/>
    <cellStyle name="Dezimal 2 2 4 2 2" xfId="31221" xr:uid="{306A701E-EF86-4CAB-B173-56E44F0465E0}"/>
    <cellStyle name="Dezimal 2 2 4 3" xfId="31220" xr:uid="{5E20F6A8-DBF2-42AC-8EF7-605A873C2C9D}"/>
    <cellStyle name="Dezimal 2 2 5" xfId="11785" xr:uid="{654F0119-A93C-4290-B8A6-400ADCCD0C60}"/>
    <cellStyle name="Dezimal 2 2 5 2" xfId="11786" xr:uid="{65A28DAE-1244-43A5-9651-E9E10D0FFD0B}"/>
    <cellStyle name="Dezimal 2 2 5 2 2" xfId="31223" xr:uid="{7DA831FD-B481-495D-B0A2-99A660E4785C}"/>
    <cellStyle name="Dezimal 2 2 5 3" xfId="31222" xr:uid="{C83B26D9-C89A-4D93-9EF1-697A3F12EDCD}"/>
    <cellStyle name="Dezimal 2 2 6" xfId="11787" xr:uid="{4F3FF43E-13DE-4ADC-9477-F85A85968CD2}"/>
    <cellStyle name="Dezimal 2 2 6 2" xfId="11788" xr:uid="{650D3660-8D84-45F7-89C9-85D4B6368128}"/>
    <cellStyle name="Dezimal 2 2 6 2 2" xfId="31225" xr:uid="{F10C366E-8A1A-4AA4-8766-CFC3E9AF044D}"/>
    <cellStyle name="Dezimal 2 2 6 3" xfId="31224" xr:uid="{C5A04DD8-4DD4-424B-B8A4-1066B6C5F299}"/>
    <cellStyle name="Dezimal 2 2 7" xfId="11789" xr:uid="{03C937DE-BA19-4D04-8317-7707D5204239}"/>
    <cellStyle name="Dezimal 2 2 7 2" xfId="11790" xr:uid="{FA926CF5-82EB-40E3-991A-3FA6B9DB1897}"/>
    <cellStyle name="Dezimal 2 2 7 2 2" xfId="31227" xr:uid="{63B3ED9C-0BF4-4F02-AF72-2177FFBB63F8}"/>
    <cellStyle name="Dezimal 2 2 7 3" xfId="31226" xr:uid="{3E4E0868-8DE0-4279-AC05-234B2D05C8A8}"/>
    <cellStyle name="Dezimal 2 2 8" xfId="11791" xr:uid="{E3B29066-DB53-47F9-A35A-C611DAD279CB}"/>
    <cellStyle name="Dezimal 2 2 8 2" xfId="11792" xr:uid="{1AD78D7E-8F0F-42FA-8CF7-67822BF5F991}"/>
    <cellStyle name="Dezimal 2 2 8 2 2" xfId="31229" xr:uid="{2B7C8A0E-23ED-4723-8CE7-63734E8F2CAB}"/>
    <cellStyle name="Dezimal 2 2 8 3" xfId="31228" xr:uid="{8B53E543-BF53-48F4-AD1B-0476A8F718BC}"/>
    <cellStyle name="Dezimal 2 2 9" xfId="11793" xr:uid="{15C63E7A-8930-46F0-8B5D-C6FBEB1C1BA4}"/>
    <cellStyle name="Dezimal 2 2 9 2" xfId="11794" xr:uid="{605E5EE6-87D4-44EB-AB47-A8B8AA1461B7}"/>
    <cellStyle name="Dezimal 2 2 9 2 2" xfId="31231" xr:uid="{5DE069F1-7FE3-4C21-9FF6-68C9BD0A03A9}"/>
    <cellStyle name="Dezimal 2 2 9 3" xfId="31230" xr:uid="{4A89C65E-773D-4979-99B2-D3CDF6F1E9FE}"/>
    <cellStyle name="Dezimal 2 20" xfId="11795" xr:uid="{6D70E568-E16B-48D3-A946-B944C598C514}"/>
    <cellStyle name="Dezimal 2 20 2" xfId="11796" xr:uid="{A57AB649-2799-4D52-A2C9-99EC1047052F}"/>
    <cellStyle name="Dezimal 2 20 2 2" xfId="31233" xr:uid="{BB60C032-57C1-4163-9666-2D25A4F6232A}"/>
    <cellStyle name="Dezimal 2 20 3" xfId="31232" xr:uid="{07BA4582-6234-42AA-A5F4-8077D69C9E63}"/>
    <cellStyle name="Dezimal 2 21" xfId="11797" xr:uid="{C13DF8CC-ED88-4F54-9A16-B89DCA679762}"/>
    <cellStyle name="Dezimal 2 21 2" xfId="11798" xr:uid="{C9518791-3BC8-4B90-8C0A-8FF0D888D024}"/>
    <cellStyle name="Dezimal 2 21 2 2" xfId="31235" xr:uid="{D3F5E680-7A2C-4F60-8962-5D5116069C48}"/>
    <cellStyle name="Dezimal 2 21 3" xfId="31234" xr:uid="{058B1DC6-2EDB-4B0C-9871-8AD5E17FBAD2}"/>
    <cellStyle name="Dezimal 2 22" xfId="11799" xr:uid="{F6D2674C-7969-4211-A75E-ADD244DE7576}"/>
    <cellStyle name="Dezimal 2 22 2" xfId="11800" xr:uid="{AAF1AE6A-3C12-4458-AFEE-2ECD8F3195EF}"/>
    <cellStyle name="Dezimal 2 22 2 2" xfId="31237" xr:uid="{8709F5D3-1529-41D3-B144-C4A7547DABF4}"/>
    <cellStyle name="Dezimal 2 22 3" xfId="31236" xr:uid="{A6DC8192-C727-484C-A91D-430ABE951958}"/>
    <cellStyle name="Dezimal 2 23" xfId="11801" xr:uid="{343D8FF3-68DD-4636-931C-C35C10F26627}"/>
    <cellStyle name="Dezimal 2 23 2" xfId="11802" xr:uid="{C286C431-DA41-4909-86E5-B8B5BDCAACC8}"/>
    <cellStyle name="Dezimal 2 23 2 2" xfId="31239" xr:uid="{001EF1B2-4DEB-4C19-838A-D39A9E643955}"/>
    <cellStyle name="Dezimal 2 23 3" xfId="31238" xr:uid="{CF4A7ECB-7893-415C-94F3-4A072F733728}"/>
    <cellStyle name="Dezimal 2 24" xfId="11803" xr:uid="{F7991EFF-FEE0-4E63-ABB6-E6AC355AB7D6}"/>
    <cellStyle name="Dezimal 2 24 2" xfId="11804" xr:uid="{5F624A3D-5A6A-48EB-A0BE-281FBAF12887}"/>
    <cellStyle name="Dezimal 2 24 2 2" xfId="31241" xr:uid="{10621595-226D-40DC-8E06-68CEDCB7F1F1}"/>
    <cellStyle name="Dezimal 2 24 3" xfId="31240" xr:uid="{6F2BDB96-D703-4E10-852E-97A6A43469D0}"/>
    <cellStyle name="Dezimal 2 25" xfId="11805" xr:uid="{1AA2D2D3-9C37-4148-A52C-61E97B2C703B}"/>
    <cellStyle name="Dezimal 2 25 2" xfId="11806" xr:uid="{A95692BC-65B5-45CC-BBE1-C805CB81B261}"/>
    <cellStyle name="Dezimal 2 25 2 2" xfId="31243" xr:uid="{2972012A-B1F9-4CB0-8E3D-8D9B076E2480}"/>
    <cellStyle name="Dezimal 2 25 3" xfId="31242" xr:uid="{94A06344-768B-4919-8A4D-33BA9DFD9954}"/>
    <cellStyle name="Dezimal 2 26" xfId="11807" xr:uid="{79C55E27-ABA9-489B-91F7-4EDFE370A651}"/>
    <cellStyle name="Dezimal 2 26 2" xfId="11808" xr:uid="{67A77B20-8EB7-4918-8E51-0EC2EFAAAF46}"/>
    <cellStyle name="Dezimal 2 26 2 2" xfId="31245" xr:uid="{05C57E0C-F235-4E70-8365-2C4EF6292B09}"/>
    <cellStyle name="Dezimal 2 26 3" xfId="31244" xr:uid="{71FDC8B7-137F-4EC6-AC40-E80A9117E669}"/>
    <cellStyle name="Dezimal 2 27" xfId="11809" xr:uid="{8B804253-5684-408A-840D-D9F8523C503D}"/>
    <cellStyle name="Dezimal 2 27 2" xfId="11810" xr:uid="{F936802B-734B-4CAB-A54E-D4E2AB9BE51D}"/>
    <cellStyle name="Dezimal 2 27 2 2" xfId="31247" xr:uid="{DA364B69-7941-4064-8524-FA681417F7CF}"/>
    <cellStyle name="Dezimal 2 27 3" xfId="31246" xr:uid="{897DD571-7C21-460C-BA5D-5117B9876065}"/>
    <cellStyle name="Dezimal 2 28" xfId="11811" xr:uid="{CA2B6BF7-1E19-4380-B320-F177EE19B30A}"/>
    <cellStyle name="Dezimal 2 28 2" xfId="11812" xr:uid="{965DC5F3-9BAE-40D7-B5E7-1AC8BE54E2F7}"/>
    <cellStyle name="Dezimal 2 28 2 2" xfId="31249" xr:uid="{0F75EC41-64FA-4EEF-933B-6A6B2B6AC5F6}"/>
    <cellStyle name="Dezimal 2 28 3" xfId="31248" xr:uid="{44333A1F-8244-49B9-B0C3-AE92E6C872E4}"/>
    <cellStyle name="Dezimal 2 29" xfId="11813" xr:uid="{15404BAC-9162-4119-9546-7B196777042F}"/>
    <cellStyle name="Dezimal 2 29 2" xfId="31250" xr:uid="{CDD6ED4E-9B10-4A1C-99B2-6CCCC9D83674}"/>
    <cellStyle name="Dezimal 2 3" xfId="11814" xr:uid="{9213BD8B-85BA-4EA3-97B7-A9FD1BD5B7F4}"/>
    <cellStyle name="Dezimal 2 3 10" xfId="11815" xr:uid="{E2A09044-9ECC-4982-94E3-A8EBB77C611C}"/>
    <cellStyle name="Dezimal 2 3 10 2" xfId="31252" xr:uid="{6B44C0CB-263C-4BDE-B5E1-76A326AC3EB4}"/>
    <cellStyle name="Dezimal 2 3 11" xfId="11816" xr:uid="{AF610577-E2FB-4F77-84C8-437DC8B55C03}"/>
    <cellStyle name="Dezimal 2 3 11 2" xfId="31253" xr:uid="{F3503987-52D0-44E0-B729-3C6201E9E08D}"/>
    <cellStyle name="Dezimal 2 3 12" xfId="31251" xr:uid="{905F1565-D129-4624-9724-52E2B2E4E99A}"/>
    <cellStyle name="Dezimal 2 3 13" xfId="39420" xr:uid="{DA33677B-C717-4F12-92B7-63F59B02DE74}"/>
    <cellStyle name="Dezimal 2 3 2" xfId="11817" xr:uid="{0D9C98C6-4D7D-4C40-B19D-A12D867CAD88}"/>
    <cellStyle name="Dezimal 2 3 2 2" xfId="31254" xr:uid="{1994A155-27DD-434E-8E44-03689A753857}"/>
    <cellStyle name="Dezimal 2 3 2 3" xfId="42190" xr:uid="{80FE885C-7101-44A2-8736-7AAE87430331}"/>
    <cellStyle name="Dezimal 2 3 3" xfId="11818" xr:uid="{3541512F-6B7D-4F95-9B43-AF3CE57F81AF}"/>
    <cellStyle name="Dezimal 2 3 3 2" xfId="31255" xr:uid="{18A0FEEC-B0C8-4186-8A5F-C02369581C00}"/>
    <cellStyle name="Dezimal 2 3 4" xfId="11819" xr:uid="{615BD073-AAF5-480D-A4FA-ECF1787739ED}"/>
    <cellStyle name="Dezimal 2 3 4 2" xfId="31256" xr:uid="{74DAD715-D0AE-4739-BAC0-A7D5E9004445}"/>
    <cellStyle name="Dezimal 2 3 5" xfId="11820" xr:uid="{C2A241DF-63F2-4C31-8FCC-0AAE94EE8C44}"/>
    <cellStyle name="Dezimal 2 3 5 2" xfId="31257" xr:uid="{CDF8B958-19E0-4107-B930-3EC6A3E9AC16}"/>
    <cellStyle name="Dezimal 2 3 6" xfId="11821" xr:uid="{251D3E0F-A185-4AF0-BB45-20FDA1636806}"/>
    <cellStyle name="Dezimal 2 3 6 2" xfId="31258" xr:uid="{B329A2DF-5AB3-4253-9597-C9ECADCBA06B}"/>
    <cellStyle name="Dezimal 2 3 7" xfId="11822" xr:uid="{E2CA70FC-8A8A-4D1B-ACA3-5E4C3B4EA190}"/>
    <cellStyle name="Dezimal 2 3 7 2" xfId="31259" xr:uid="{4724BFE6-680F-4514-99B7-23142497CBB2}"/>
    <cellStyle name="Dezimal 2 3 8" xfId="11823" xr:uid="{05D79215-AC15-4383-96E2-DD21EEF26FAC}"/>
    <cellStyle name="Dezimal 2 3 8 2" xfId="31260" xr:uid="{A6C32C09-7E87-476B-8626-8413A41A0314}"/>
    <cellStyle name="Dezimal 2 3 9" xfId="11824" xr:uid="{0261E857-9193-43ED-82A6-1B470CAFAB53}"/>
    <cellStyle name="Dezimal 2 3 9 2" xfId="31261" xr:uid="{533489FC-970F-4B20-84B1-A582A7183389}"/>
    <cellStyle name="Dezimal 2 30" xfId="11825" xr:uid="{697CFC91-4787-46DD-9261-B55F4A9E0115}"/>
    <cellStyle name="Dezimal 2 30 2" xfId="31262" xr:uid="{F331A097-66B8-4409-B0DF-EACCDF9D94AE}"/>
    <cellStyle name="Dezimal 2 31" xfId="11826" xr:uid="{3AD0959D-DB22-41AC-AAD4-68FFC56FD063}"/>
    <cellStyle name="Dezimal 2 31 2" xfId="31263" xr:uid="{3317600A-E089-4EFA-B326-5EFFD54E8472}"/>
    <cellStyle name="Dezimal 2 32" xfId="31180" xr:uid="{BB95AA9A-5DD2-4880-A037-1C3E818A4F97}"/>
    <cellStyle name="Dezimal 2 33" xfId="39418" xr:uid="{80436261-5155-42CA-8C55-935F432DC8C4}"/>
    <cellStyle name="Dezimal 2 34" xfId="11743" xr:uid="{F1BA13DE-35C8-4C8C-8D74-69F0229A1F3E}"/>
    <cellStyle name="Dezimal 2 4" xfId="11827" xr:uid="{B350E580-C26F-49EE-AF32-858187A221C2}"/>
    <cellStyle name="Dezimal 2 4 10" xfId="11828" xr:uid="{E44B027C-FC81-4EF0-A28F-A56A2C001DA8}"/>
    <cellStyle name="Dezimal 2 4 10 2" xfId="31265" xr:uid="{509765E8-3F97-4510-8901-E80CC06A2E1F}"/>
    <cellStyle name="Dezimal 2 4 11" xfId="11829" xr:uid="{FC117DD3-2B94-4515-8A0B-F9DDEFF26CCD}"/>
    <cellStyle name="Dezimal 2 4 11 2" xfId="31266" xr:uid="{C807CB12-9540-4FC3-AD84-E44DE42C1431}"/>
    <cellStyle name="Dezimal 2 4 12" xfId="31264" xr:uid="{4500A4E8-660B-448A-8896-E5A7D8888DD9}"/>
    <cellStyle name="Dezimal 2 4 13" xfId="39421" xr:uid="{EDDA3B40-A43C-4814-BB0B-D3EBE5B101CE}"/>
    <cellStyle name="Dezimal 2 4 2" xfId="11830" xr:uid="{AD80109F-4908-48D2-B1A0-1307A17C6716}"/>
    <cellStyle name="Dezimal 2 4 2 2" xfId="31267" xr:uid="{8AB24ABC-CDC3-4718-88F4-005067B0025A}"/>
    <cellStyle name="Dezimal 2 4 2 3" xfId="42161" xr:uid="{DA963882-4BEA-49D6-9AD7-F46D01CAD186}"/>
    <cellStyle name="Dezimal 2 4 3" xfId="11831" xr:uid="{F5E202AA-F1FF-42AF-B61F-98DCEA71929B}"/>
    <cellStyle name="Dezimal 2 4 3 2" xfId="31268" xr:uid="{78743D5D-9385-4F5E-8F20-7725597A8BBB}"/>
    <cellStyle name="Dezimal 2 4 4" xfId="11832" xr:uid="{C32A8E12-405D-47F9-8BF5-28913AD50015}"/>
    <cellStyle name="Dezimal 2 4 4 2" xfId="31269" xr:uid="{B7228F64-DA75-49A3-9973-582798EE296E}"/>
    <cellStyle name="Dezimal 2 4 5" xfId="11833" xr:uid="{477FBD7B-14AC-44FA-8F5C-84C47A82A7B0}"/>
    <cellStyle name="Dezimal 2 4 5 2" xfId="31270" xr:uid="{3C45974D-CEA3-4764-A282-BDAC736B561D}"/>
    <cellStyle name="Dezimal 2 4 6" xfId="11834" xr:uid="{CC0BC418-0B4B-4B8A-A8D6-20639969312E}"/>
    <cellStyle name="Dezimal 2 4 6 2" xfId="31271" xr:uid="{F0B76975-568B-4BEF-AB2E-F098AD1CEA75}"/>
    <cellStyle name="Dezimal 2 4 7" xfId="11835" xr:uid="{76C4D9E8-27FF-45DE-8334-D99A53F95A82}"/>
    <cellStyle name="Dezimal 2 4 7 2" xfId="31272" xr:uid="{F7891D5C-BF8B-48CA-8F22-88E4186682CD}"/>
    <cellStyle name="Dezimal 2 4 8" xfId="11836" xr:uid="{55782911-CB63-459C-910B-1EE876C994B8}"/>
    <cellStyle name="Dezimal 2 4 8 2" xfId="31273" xr:uid="{B9B7A315-2CC8-4D92-91B9-D7F13C41A617}"/>
    <cellStyle name="Dezimal 2 4 9" xfId="11837" xr:uid="{33293EFD-4696-4130-B5BE-DE382348237B}"/>
    <cellStyle name="Dezimal 2 4 9 2" xfId="31274" xr:uid="{C0B06282-9F82-4871-B53A-7FD7A51D671F}"/>
    <cellStyle name="Dezimal 2 5" xfId="11838" xr:uid="{435A2516-0370-4B77-B66B-F38CD5CEF944}"/>
    <cellStyle name="Dezimal 2 5 10" xfId="11839" xr:uid="{CAA43AA5-56FE-47A5-AF81-94C7ED309567}"/>
    <cellStyle name="Dezimal 2 5 10 2" xfId="31276" xr:uid="{87041B7A-32A0-48B0-A835-2B987DEBD020}"/>
    <cellStyle name="Dezimal 2 5 11" xfId="11840" xr:uid="{EFEA9AA1-B97F-44B9-97C6-9B552F2233FC}"/>
    <cellStyle name="Dezimal 2 5 11 2" xfId="31277" xr:uid="{12270DC6-4F6E-4881-B2E6-E45DD7376C33}"/>
    <cellStyle name="Dezimal 2 5 12" xfId="31275" xr:uid="{F481717F-9E4F-4617-8FBF-3FD9BC8BFD11}"/>
    <cellStyle name="Dezimal 2 5 13" xfId="39422" xr:uid="{72104FAA-556B-4151-B005-B4D08FBD5675}"/>
    <cellStyle name="Dezimal 2 5 2" xfId="11841" xr:uid="{4099DAAC-9AA6-42D8-BB21-965266710CEE}"/>
    <cellStyle name="Dezimal 2 5 2 2" xfId="31278" xr:uid="{C4D6DF8D-37F0-450A-919E-F77ADEBE341D}"/>
    <cellStyle name="Dezimal 2 5 3" xfId="11842" xr:uid="{160D83C9-96FE-470A-A5E9-C5421ACBD2CD}"/>
    <cellStyle name="Dezimal 2 5 3 2" xfId="31279" xr:uid="{17A9791C-A2F4-4DD8-9764-D78E7F78B53D}"/>
    <cellStyle name="Dezimal 2 5 4" xfId="11843" xr:uid="{BE4B803B-97E1-4085-9153-05B192FD8EBB}"/>
    <cellStyle name="Dezimal 2 5 4 2" xfId="31280" xr:uid="{6C6260DF-D1CE-4836-BED7-AA61E0FE8ACF}"/>
    <cellStyle name="Dezimal 2 5 5" xfId="11844" xr:uid="{7C9979B4-A6CA-485A-8524-A72BF77348C2}"/>
    <cellStyle name="Dezimal 2 5 5 2" xfId="31281" xr:uid="{C0B67D62-9737-4203-B38D-B72945D0E155}"/>
    <cellStyle name="Dezimal 2 5 6" xfId="11845" xr:uid="{EDED3EA7-0034-405F-9080-8BA2D9ED8C90}"/>
    <cellStyle name="Dezimal 2 5 6 2" xfId="31282" xr:uid="{5F4B404A-9592-4314-B9AA-BED0A3AEA5B8}"/>
    <cellStyle name="Dezimal 2 5 7" xfId="11846" xr:uid="{C239CD2B-CBFD-4650-B491-127093A25A6C}"/>
    <cellStyle name="Dezimal 2 5 7 2" xfId="31283" xr:uid="{DDC18B90-4B80-46B4-B1B3-AD424E5CC863}"/>
    <cellStyle name="Dezimal 2 5 8" xfId="11847" xr:uid="{8CB9612B-656C-48C5-A66E-F87B85E8B360}"/>
    <cellStyle name="Dezimal 2 5 8 2" xfId="31284" xr:uid="{732B813F-40FC-4E30-8499-DDD853A5E673}"/>
    <cellStyle name="Dezimal 2 5 9" xfId="11848" xr:uid="{DA28165C-A816-4338-8194-EB5183A1C4E5}"/>
    <cellStyle name="Dezimal 2 5 9 2" xfId="31285" xr:uid="{C07EE29D-1505-42F6-B423-D381BDED7E45}"/>
    <cellStyle name="Dezimal 2 6" xfId="11849" xr:uid="{1532B8AA-01EC-4E43-A443-FB042CA13A30}"/>
    <cellStyle name="Dezimal 2 6 10" xfId="11850" xr:uid="{FD008938-AF8E-4F2D-A5A5-08B165AED497}"/>
    <cellStyle name="Dezimal 2 6 10 2" xfId="31287" xr:uid="{C0FD5DDF-B76A-42EF-A8A8-29C6F50CB7B7}"/>
    <cellStyle name="Dezimal 2 6 11" xfId="11851" xr:uid="{BA627252-947C-4E15-9DE8-AFA7F59194AF}"/>
    <cellStyle name="Dezimal 2 6 11 2" xfId="31288" xr:uid="{AB8571D3-912A-42D5-8BE2-5801275B7F21}"/>
    <cellStyle name="Dezimal 2 6 12" xfId="31286" xr:uid="{F3E2647B-74BF-431D-9C24-6E3412CABB0D}"/>
    <cellStyle name="Dezimal 2 6 13" xfId="39423" xr:uid="{725D3E88-4456-48F8-8368-CA6836AF11FB}"/>
    <cellStyle name="Dezimal 2 6 2" xfId="11852" xr:uid="{5AD27261-4451-416A-8A2E-F7D5A9ED2C76}"/>
    <cellStyle name="Dezimal 2 6 2 2" xfId="31289" xr:uid="{B8229B45-ECCC-4CDB-AD74-D83C3B793912}"/>
    <cellStyle name="Dezimal 2 6 3" xfId="11853" xr:uid="{1D9CCD20-6AB5-4453-AE0D-F53DC8F14402}"/>
    <cellStyle name="Dezimal 2 6 3 2" xfId="31290" xr:uid="{CD9CEEBF-0E11-43A1-8030-FBB45AEDEFB9}"/>
    <cellStyle name="Dezimal 2 6 4" xfId="11854" xr:uid="{28FEC471-9FB2-4C47-B895-D636F35945F5}"/>
    <cellStyle name="Dezimal 2 6 4 2" xfId="31291" xr:uid="{418458F8-1A8A-47D0-9C47-93B9CB4E7C1D}"/>
    <cellStyle name="Dezimal 2 6 5" xfId="11855" xr:uid="{99E7783F-361C-4ED3-9090-F1AC6C46C88C}"/>
    <cellStyle name="Dezimal 2 6 5 2" xfId="31292" xr:uid="{2AD56D17-B13E-44D4-9187-157E8A8B724B}"/>
    <cellStyle name="Dezimal 2 6 6" xfId="11856" xr:uid="{28E3BE7F-ADBC-40CC-AB19-688E2928E2FC}"/>
    <cellStyle name="Dezimal 2 6 6 2" xfId="31293" xr:uid="{43763DD8-FF4E-41D4-800E-31178C971953}"/>
    <cellStyle name="Dezimal 2 6 7" xfId="11857" xr:uid="{E5D0D680-E967-4689-8260-14E8AA677BD2}"/>
    <cellStyle name="Dezimal 2 6 7 2" xfId="31294" xr:uid="{7D0F0C32-2874-45C1-BDFE-CE80F65844E4}"/>
    <cellStyle name="Dezimal 2 6 8" xfId="11858" xr:uid="{74BAA624-D223-476A-A5C1-380C09D4337C}"/>
    <cellStyle name="Dezimal 2 6 8 2" xfId="31295" xr:uid="{C84EB45A-07C2-4A49-A9BC-58407B0758A3}"/>
    <cellStyle name="Dezimal 2 6 9" xfId="11859" xr:uid="{27AD5A17-ED3F-4655-842E-D7A7D5F09AD2}"/>
    <cellStyle name="Dezimal 2 6 9 2" xfId="31296" xr:uid="{B0CEB5E4-DE1A-4B9C-B6A5-A41C50EF64CF}"/>
    <cellStyle name="Dezimal 2 7" xfId="11860" xr:uid="{A98F70E4-E474-4444-8FA7-D4C84A467E5A}"/>
    <cellStyle name="Dezimal 2 7 10" xfId="11861" xr:uid="{48150753-540F-4CB1-B450-2CA86345183A}"/>
    <cellStyle name="Dezimal 2 7 10 2" xfId="31298" xr:uid="{4071762B-C0A9-4AF6-92B0-B81DF06A87ED}"/>
    <cellStyle name="Dezimal 2 7 11" xfId="11862" xr:uid="{5939D2C6-0DD2-47BD-BBC9-8BFFC831D1BE}"/>
    <cellStyle name="Dezimal 2 7 11 2" xfId="31299" xr:uid="{12CC42B5-ED4A-4A4B-86A5-8696FAFDCBCA}"/>
    <cellStyle name="Dezimal 2 7 12" xfId="31297" xr:uid="{4ED5FD46-131C-44EB-9E85-A20013EED143}"/>
    <cellStyle name="Dezimal 2 7 2" xfId="11863" xr:uid="{2A8AA1ED-76D9-4EAF-BE14-1EED622226EA}"/>
    <cellStyle name="Dezimal 2 7 2 2" xfId="31300" xr:uid="{013A25C5-82B5-4469-BD87-8CD307637FCC}"/>
    <cellStyle name="Dezimal 2 7 3" xfId="11864" xr:uid="{1F6EAE4B-3433-4144-A04C-AEF6186056A1}"/>
    <cellStyle name="Dezimal 2 7 3 2" xfId="31301" xr:uid="{9562BE9E-E954-4250-ADBD-6C56778F2963}"/>
    <cellStyle name="Dezimal 2 7 4" xfId="11865" xr:uid="{C31B3E61-8004-4F6C-B7C5-13340A41AEBB}"/>
    <cellStyle name="Dezimal 2 7 4 2" xfId="31302" xr:uid="{95411DDD-9A89-4C72-8DCD-CB7405EF3FC9}"/>
    <cellStyle name="Dezimal 2 7 5" xfId="11866" xr:uid="{AADC42B7-155A-4613-9F74-BBF1D750CA4D}"/>
    <cellStyle name="Dezimal 2 7 5 2" xfId="31303" xr:uid="{DC5F7F53-1008-40C9-9FD7-D3D5339E93C3}"/>
    <cellStyle name="Dezimal 2 7 6" xfId="11867" xr:uid="{F5C0E4E8-8E7F-4651-BE90-95D83EB787B7}"/>
    <cellStyle name="Dezimal 2 7 6 2" xfId="31304" xr:uid="{CB32BCBC-4970-4147-A0A6-D41AAF0B7701}"/>
    <cellStyle name="Dezimal 2 7 7" xfId="11868" xr:uid="{2DF4BDAE-75AC-4FBA-AEC0-0DE75576F0BB}"/>
    <cellStyle name="Dezimal 2 7 7 2" xfId="31305" xr:uid="{F9B40A80-2A4B-4E19-8798-5A509224813D}"/>
    <cellStyle name="Dezimal 2 7 8" xfId="11869" xr:uid="{2596633B-EFC4-4F13-9216-BA5C7224B268}"/>
    <cellStyle name="Dezimal 2 7 8 2" xfId="31306" xr:uid="{AEEE76E3-B126-4B38-B3ED-A1BB28ABC502}"/>
    <cellStyle name="Dezimal 2 7 9" xfId="11870" xr:uid="{850808E0-6083-459E-BC8D-6F2768741EF2}"/>
    <cellStyle name="Dezimal 2 7 9 2" xfId="31307" xr:uid="{763935D1-FC8E-4B23-B106-328A8C072E33}"/>
    <cellStyle name="Dezimal 2 8" xfId="11871" xr:uid="{D2A355F7-B8A1-4215-8C88-D062D408EECA}"/>
    <cellStyle name="Dezimal 2 8 10" xfId="11872" xr:uid="{F4394369-8D43-4DCE-AB41-6A452A493A1A}"/>
    <cellStyle name="Dezimal 2 8 10 2" xfId="31309" xr:uid="{0A383435-9FDA-4F26-94B5-0BF4D73F5AEB}"/>
    <cellStyle name="Dezimal 2 8 11" xfId="11873" xr:uid="{B94F9D07-010B-447F-817F-C4634996AEEC}"/>
    <cellStyle name="Dezimal 2 8 11 2" xfId="31310" xr:uid="{C8039046-E187-471B-9554-D1A22F4E053E}"/>
    <cellStyle name="Dezimal 2 8 12" xfId="31308" xr:uid="{53F3CB03-A73D-4AFC-A0D4-A3DCC1766CC7}"/>
    <cellStyle name="Dezimal 2 8 2" xfId="11874" xr:uid="{92A5ABE4-1BB9-4605-8BAC-ED6EA7F364F9}"/>
    <cellStyle name="Dezimal 2 8 2 2" xfId="31311" xr:uid="{8AD76BA0-B16B-4404-86B5-5CB96D30E7C2}"/>
    <cellStyle name="Dezimal 2 8 3" xfId="11875" xr:uid="{FA41D428-911C-43E9-A70B-6447BF9A8A23}"/>
    <cellStyle name="Dezimal 2 8 3 2" xfId="31312" xr:uid="{233E902E-CB11-4BAE-94A2-24261329BFA6}"/>
    <cellStyle name="Dezimal 2 8 4" xfId="11876" xr:uid="{1161678A-1598-4972-8B48-E59CBA63AB29}"/>
    <cellStyle name="Dezimal 2 8 4 2" xfId="31313" xr:uid="{A392516A-6C33-4831-A720-B75CD73AA4C1}"/>
    <cellStyle name="Dezimal 2 8 5" xfId="11877" xr:uid="{D916420F-A59C-428F-AFFB-90D398AEC222}"/>
    <cellStyle name="Dezimal 2 8 5 2" xfId="31314" xr:uid="{4D62F0E4-44EA-4213-9968-5DEB184C71AE}"/>
    <cellStyle name="Dezimal 2 8 6" xfId="11878" xr:uid="{8CB9FD08-AE78-4C02-B578-9B8D4FDF6228}"/>
    <cellStyle name="Dezimal 2 8 6 2" xfId="31315" xr:uid="{F18CA36A-6F12-459A-A76C-ABDB43D682A7}"/>
    <cellStyle name="Dezimal 2 8 7" xfId="11879" xr:uid="{217330B6-F3AD-4CF1-A739-E5FCB2607B23}"/>
    <cellStyle name="Dezimal 2 8 7 2" xfId="31316" xr:uid="{9B5DE518-F904-4A30-8B2A-2A25C2777B92}"/>
    <cellStyle name="Dezimal 2 8 8" xfId="11880" xr:uid="{5079B480-169B-4F78-A035-45E46DB18A50}"/>
    <cellStyle name="Dezimal 2 8 8 2" xfId="31317" xr:uid="{95D73584-4FB1-4CCE-BB51-E847AF412EA3}"/>
    <cellStyle name="Dezimal 2 8 9" xfId="11881" xr:uid="{43304B80-6CDA-48E1-9713-8E80F4714FEB}"/>
    <cellStyle name="Dezimal 2 8 9 2" xfId="31318" xr:uid="{18257D9E-1A8D-440F-854D-4AA1D425684C}"/>
    <cellStyle name="Dezimal 2 9" xfId="11882" xr:uid="{B9967020-427A-4E0A-A229-5826DE6C3778}"/>
    <cellStyle name="Dezimal 2 9 10" xfId="11883" xr:uid="{904854F5-5A2E-4B7F-8662-E9D4C447486F}"/>
    <cellStyle name="Dezimal 2 9 10 2" xfId="31320" xr:uid="{65117177-16DF-4BBD-ABDC-EE2A9B16743C}"/>
    <cellStyle name="Dezimal 2 9 11" xfId="11884" xr:uid="{26ED2CCF-8CF9-4796-8D10-28E5FFE03BF0}"/>
    <cellStyle name="Dezimal 2 9 11 2" xfId="31321" xr:uid="{0172F8FE-2902-4C78-B4E8-216B5F897EBB}"/>
    <cellStyle name="Dezimal 2 9 12" xfId="31319" xr:uid="{4B602B74-411D-435C-877E-10A9616C0922}"/>
    <cellStyle name="Dezimal 2 9 2" xfId="11885" xr:uid="{D52A73C0-9C32-4376-B8C1-9868889B62B4}"/>
    <cellStyle name="Dezimal 2 9 2 2" xfId="31322" xr:uid="{E17BC6B8-E5BD-4CE9-A734-513E36E3570C}"/>
    <cellStyle name="Dezimal 2 9 3" xfId="11886" xr:uid="{C24175B1-782C-4D6B-8482-7CFD9BD30F63}"/>
    <cellStyle name="Dezimal 2 9 3 2" xfId="31323" xr:uid="{31F37D05-9B2E-4376-A3F8-9701006FDC35}"/>
    <cellStyle name="Dezimal 2 9 4" xfId="11887" xr:uid="{27EEC46C-B69D-4D01-A658-2157930267C4}"/>
    <cellStyle name="Dezimal 2 9 4 2" xfId="31324" xr:uid="{DF8038B9-99EF-47B2-8364-8D7A06F0A748}"/>
    <cellStyle name="Dezimal 2 9 5" xfId="11888" xr:uid="{5F5E4FAD-D3AD-44A4-9F8D-759A3C6A7167}"/>
    <cellStyle name="Dezimal 2 9 5 2" xfId="31325" xr:uid="{464D2AF4-C0A3-47E7-B70B-E06DEE5F5CE6}"/>
    <cellStyle name="Dezimal 2 9 6" xfId="11889" xr:uid="{72A1A5BD-150B-4309-8D43-EBF20FAF5EA1}"/>
    <cellStyle name="Dezimal 2 9 6 2" xfId="31326" xr:uid="{5B91CCFF-BF8D-413F-B0DF-9528904D64E5}"/>
    <cellStyle name="Dezimal 2 9 7" xfId="11890" xr:uid="{2CE96E11-7D47-43C2-8D6E-DFA54583B587}"/>
    <cellStyle name="Dezimal 2 9 7 2" xfId="31327" xr:uid="{00F1F99E-41AE-4346-ACD9-1C2317B110CA}"/>
    <cellStyle name="Dezimal 2 9 8" xfId="11891" xr:uid="{FE05EDA0-FB78-4714-BBC1-DE3A0DD43C49}"/>
    <cellStyle name="Dezimal 2 9 8 2" xfId="31328" xr:uid="{85F5C7E5-C0F5-466E-8DD5-E4D043E9A052}"/>
    <cellStyle name="Dezimal 2 9 9" xfId="11892" xr:uid="{5CF8E5B1-2C9A-4671-A430-4E5C13BE68B0}"/>
    <cellStyle name="Dezimal 2 9 9 2" xfId="31329" xr:uid="{9A8268C0-6A0D-4AE1-AA29-0A2A8811EF6B}"/>
    <cellStyle name="Dezimal 20" xfId="11893" xr:uid="{99FE53D0-1A09-4C9A-AAD1-3B763B370193}"/>
    <cellStyle name="Dezimal 20 10" xfId="11894" xr:uid="{0D3F98C6-5BF9-462E-942A-DA1800BFA567}"/>
    <cellStyle name="Dezimal 20 10 2" xfId="11895" xr:uid="{229B8992-E910-485D-9055-FDB0B5960486}"/>
    <cellStyle name="Dezimal 20 10 2 2" xfId="31332" xr:uid="{2F91664D-D37B-46E5-98B4-6580227E14B6}"/>
    <cellStyle name="Dezimal 20 10 3" xfId="31331" xr:uid="{0393F831-B3A3-4395-BAC9-AF2BEB698C38}"/>
    <cellStyle name="Dezimal 20 11" xfId="11896" xr:uid="{AEFF8E92-8FD8-4274-A741-3AE178307FA2}"/>
    <cellStyle name="Dezimal 20 11 2" xfId="31333" xr:uid="{9B8A3399-71FA-4BBA-B9BA-F12EA98C228A}"/>
    <cellStyle name="Dezimal 20 12" xfId="31330" xr:uid="{CAAC4A3E-71D3-48A4-8B3A-CF2C92F78011}"/>
    <cellStyle name="Dezimal 20 13" xfId="42195" xr:uid="{871A27F6-A343-41DE-B239-C187912F9B8C}"/>
    <cellStyle name="Dezimal 20 2" xfId="11897" xr:uid="{346A5A54-D31B-4113-9580-FA7289D5BED2}"/>
    <cellStyle name="Dezimal 20 2 2" xfId="11898" xr:uid="{862E70F3-1771-4C04-984C-CE63FF3AE715}"/>
    <cellStyle name="Dezimal 20 2 2 2" xfId="31335" xr:uid="{6BF851C2-595D-4C93-8F34-6D0BC9CC7DB1}"/>
    <cellStyle name="Dezimal 20 2 3" xfId="31334" xr:uid="{3348ACA6-479B-4EB5-831F-735192302CC4}"/>
    <cellStyle name="Dezimal 20 3" xfId="11899" xr:uid="{8210F6EE-009D-40D8-95AC-4EE68D4317BE}"/>
    <cellStyle name="Dezimal 20 3 2" xfId="11900" xr:uid="{9EFC4858-9C6F-437E-9002-2FD33D76DE28}"/>
    <cellStyle name="Dezimal 20 3 2 2" xfId="31337" xr:uid="{A2E866C2-E37E-4F8F-A9CC-5D7AAE37D79F}"/>
    <cellStyle name="Dezimal 20 3 3" xfId="31336" xr:uid="{0A7F8E9F-9F4B-4340-97A4-FE5DDBC8752F}"/>
    <cellStyle name="Dezimal 20 4" xfId="11901" xr:uid="{CF9E6622-5470-4846-9EA5-D2F6547E213F}"/>
    <cellStyle name="Dezimal 20 4 2" xfId="11902" xr:uid="{14CAEB1E-D2F3-4C53-8C1C-ADA99C39E5A1}"/>
    <cellStyle name="Dezimal 20 4 2 2" xfId="31339" xr:uid="{E75E30FA-4630-4C3A-A67F-4021521F2E23}"/>
    <cellStyle name="Dezimal 20 4 3" xfId="31338" xr:uid="{758C0481-D127-496C-81BC-B6F2BD8E4AD5}"/>
    <cellStyle name="Dezimal 20 5" xfId="11903" xr:uid="{37A88701-99C2-4600-820A-95AFF184F961}"/>
    <cellStyle name="Dezimal 20 5 2" xfId="11904" xr:uid="{03B28ACC-63C2-43AD-A2AE-8F9CADEBB55A}"/>
    <cellStyle name="Dezimal 20 5 2 2" xfId="31341" xr:uid="{FAB6C886-DDB4-4687-B058-0CD274DE5BAA}"/>
    <cellStyle name="Dezimal 20 5 3" xfId="31340" xr:uid="{6A651E23-A5A5-47CC-8B02-588B237DC84F}"/>
    <cellStyle name="Dezimal 20 6" xfId="11905" xr:uid="{D9988694-9131-4270-A8F8-38383E41F8AE}"/>
    <cellStyle name="Dezimal 20 6 2" xfId="11906" xr:uid="{259B158D-6A13-4367-A918-90AFE7C6852A}"/>
    <cellStyle name="Dezimal 20 6 2 2" xfId="31343" xr:uid="{42757A40-4D2E-4342-8AB3-EB45B4919342}"/>
    <cellStyle name="Dezimal 20 6 3" xfId="31342" xr:uid="{D3EA082D-4802-49E9-B6DE-6714300D57BF}"/>
    <cellStyle name="Dezimal 20 7" xfId="11907" xr:uid="{0C81C1FE-53ED-4A00-90AE-A0CB1137DD86}"/>
    <cellStyle name="Dezimal 20 7 2" xfId="11908" xr:uid="{ED9ABDB8-E685-4AA0-A01A-87CFE1002B58}"/>
    <cellStyle name="Dezimal 20 7 2 2" xfId="31345" xr:uid="{272ADC28-A4A5-4E96-9B35-1D64D075A505}"/>
    <cellStyle name="Dezimal 20 7 3" xfId="31344" xr:uid="{3CCB8000-BAB6-4519-B423-4D8BA23CFF80}"/>
    <cellStyle name="Dezimal 20 8" xfId="11909" xr:uid="{E9BFD839-7CEB-4517-A432-7896DCBF002F}"/>
    <cellStyle name="Dezimal 20 8 2" xfId="11910" xr:uid="{C4DD9F6A-1EDA-441B-B8E4-5D5D8858A444}"/>
    <cellStyle name="Dezimal 20 8 2 2" xfId="31347" xr:uid="{60E2FB21-8BE1-49F8-B9BB-40C3E3419C31}"/>
    <cellStyle name="Dezimal 20 8 3" xfId="31346" xr:uid="{1FB8A851-9F33-4431-A963-0257DC1FEAC8}"/>
    <cellStyle name="Dezimal 20 9" xfId="11911" xr:uid="{FD1F288E-2ED0-41A8-AE43-AF632105ACDB}"/>
    <cellStyle name="Dezimal 20 9 2" xfId="11912" xr:uid="{78A576D2-276C-4C60-917B-9E8A73BE7629}"/>
    <cellStyle name="Dezimal 20 9 2 2" xfId="31349" xr:uid="{2E465463-9B02-4B51-A6AD-A6C028265190}"/>
    <cellStyle name="Dezimal 20 9 3" xfId="31348" xr:uid="{CBAF4839-7A0F-4059-A800-BEF27E238FF4}"/>
    <cellStyle name="Dezimal 21" xfId="11913" xr:uid="{8C684D41-DC84-4D4F-8701-2FC02999DE8C}"/>
    <cellStyle name="Dezimal 21 10" xfId="11914" xr:uid="{6A9D66EA-5C37-4C62-A656-941A7CA494B2}"/>
    <cellStyle name="Dezimal 21 10 2" xfId="11915" xr:uid="{7947A8BE-A82D-49DA-BFFA-BE30016ED9F3}"/>
    <cellStyle name="Dezimal 21 10 2 2" xfId="31352" xr:uid="{C6BB4861-D925-4CA3-B157-8DF93D666558}"/>
    <cellStyle name="Dezimal 21 10 3" xfId="31351" xr:uid="{4D72F54B-61C2-4942-B6C7-6B5937221031}"/>
    <cellStyle name="Dezimal 21 11" xfId="11916" xr:uid="{72569132-4851-424E-A05E-331974BC4C85}"/>
    <cellStyle name="Dezimal 21 11 2" xfId="31353" xr:uid="{B6F39648-D1DC-4253-8856-4ABE0EFD6578}"/>
    <cellStyle name="Dezimal 21 12" xfId="31350" xr:uid="{D64F9CE9-FC16-41E2-A98B-5882A9E9D4CC}"/>
    <cellStyle name="Dezimal 21 13" xfId="42174" xr:uid="{91A58BD3-8C0B-4A3F-BCCB-79C93C6D35E0}"/>
    <cellStyle name="Dezimal 21 2" xfId="11917" xr:uid="{06F7D440-AE3A-4874-9199-0E62599B0499}"/>
    <cellStyle name="Dezimal 21 2 2" xfId="11918" xr:uid="{8DF59849-A9A5-4E11-8FA9-EF9E115ABE08}"/>
    <cellStyle name="Dezimal 21 2 2 2" xfId="31355" xr:uid="{F082EBAC-FD8E-4E9F-AF62-4945454F198A}"/>
    <cellStyle name="Dezimal 21 2 3" xfId="31354" xr:uid="{EC5885B8-863D-404A-848A-F8F2B34ECAB0}"/>
    <cellStyle name="Dezimal 21 3" xfId="11919" xr:uid="{3F12F744-7A4A-4052-8C20-37C805C2136D}"/>
    <cellStyle name="Dezimal 21 3 2" xfId="11920" xr:uid="{F6D423D4-818B-47CA-8E8F-026FB98BD006}"/>
    <cellStyle name="Dezimal 21 3 2 2" xfId="31357" xr:uid="{085C6132-2BC7-49C3-A5A5-672632A86A01}"/>
    <cellStyle name="Dezimal 21 3 3" xfId="31356" xr:uid="{E7AA3965-1B6B-4FCF-A915-E1D580AD08E1}"/>
    <cellStyle name="Dezimal 21 4" xfId="11921" xr:uid="{6AAEE9F9-5E5D-4DA9-925D-6F73119784FC}"/>
    <cellStyle name="Dezimal 21 4 2" xfId="11922" xr:uid="{E7355872-0863-48C9-87C6-3AB5A3C69F13}"/>
    <cellStyle name="Dezimal 21 4 2 2" xfId="31359" xr:uid="{7C7F21F9-3FFE-486F-A57B-46C830FF58F8}"/>
    <cellStyle name="Dezimal 21 4 3" xfId="31358" xr:uid="{FEDD5000-B844-4398-B156-CAE370C8BCB9}"/>
    <cellStyle name="Dezimal 21 5" xfId="11923" xr:uid="{C1DA610F-093C-4F7E-B7B5-7D935DCA17D6}"/>
    <cellStyle name="Dezimal 21 5 2" xfId="11924" xr:uid="{4FBE4C9A-25F1-4964-ADB5-245821055960}"/>
    <cellStyle name="Dezimal 21 5 2 2" xfId="31361" xr:uid="{5F5A0573-D5B0-41C8-8C99-8BE6C2EBCC82}"/>
    <cellStyle name="Dezimal 21 5 3" xfId="31360" xr:uid="{EFCBA38C-C4CA-42E1-87CC-1F40B1FB56CD}"/>
    <cellStyle name="Dezimal 21 6" xfId="11925" xr:uid="{7F0CAE78-2950-4D8C-A8A2-64878DB7D5B9}"/>
    <cellStyle name="Dezimal 21 6 2" xfId="11926" xr:uid="{6C3569C1-5A40-40D4-9623-0C239806ED6E}"/>
    <cellStyle name="Dezimal 21 6 2 2" xfId="31363" xr:uid="{9B79EFD5-6689-495E-881C-7F111BF4FA8F}"/>
    <cellStyle name="Dezimal 21 6 3" xfId="31362" xr:uid="{AE4D8197-9E85-4CCE-955A-36C1D2BE8A9B}"/>
    <cellStyle name="Dezimal 21 7" xfId="11927" xr:uid="{E5986269-A0CC-4C77-ABDB-18A0DE2B2B49}"/>
    <cellStyle name="Dezimal 21 7 2" xfId="11928" xr:uid="{A03C53BD-6C1B-4327-A798-2CE8F34A6081}"/>
    <cellStyle name="Dezimal 21 7 2 2" xfId="31365" xr:uid="{B294907E-E106-4189-B763-2338D0F5E1AB}"/>
    <cellStyle name="Dezimal 21 7 3" xfId="31364" xr:uid="{8C44AB35-8A69-4E65-8529-427279BF7CF6}"/>
    <cellStyle name="Dezimal 21 8" xfId="11929" xr:uid="{519AE093-292A-4207-A9B9-D83154793748}"/>
    <cellStyle name="Dezimal 21 8 2" xfId="11930" xr:uid="{4DA525A8-E208-4BE2-8A80-DC27C4A67DB8}"/>
    <cellStyle name="Dezimal 21 8 2 2" xfId="31367" xr:uid="{11D079E2-3735-476F-9155-2B26CC4CA1A0}"/>
    <cellStyle name="Dezimal 21 8 3" xfId="31366" xr:uid="{F21C1319-8E43-4F0B-B517-991EF139756D}"/>
    <cellStyle name="Dezimal 21 9" xfId="11931" xr:uid="{31EBED5F-E1E0-4A2C-9864-C61748842067}"/>
    <cellStyle name="Dezimal 21 9 2" xfId="11932" xr:uid="{FCBF41AC-45AD-49B4-A098-CF042844147D}"/>
    <cellStyle name="Dezimal 21 9 2 2" xfId="31369" xr:uid="{9AC3B87B-AA44-4A6A-AADE-97878D67A52A}"/>
    <cellStyle name="Dezimal 21 9 3" xfId="31368" xr:uid="{108988DB-DF00-45C1-A377-042CF4ABE021}"/>
    <cellStyle name="Dezimal 22" xfId="11933" xr:uid="{9109F40A-3C24-46E9-92F9-B8F2976A6F1E}"/>
    <cellStyle name="Dezimal 22 10" xfId="11934" xr:uid="{A1005FB8-634D-4087-9FC1-77AD07B027C3}"/>
    <cellStyle name="Dezimal 22 10 2" xfId="11935" xr:uid="{2B2C9E87-1F01-4C88-AF20-8B410B140381}"/>
    <cellStyle name="Dezimal 22 10 2 2" xfId="31372" xr:uid="{E0FE1BC8-F9B4-40D2-BAB6-87D32FF21415}"/>
    <cellStyle name="Dezimal 22 10 3" xfId="31371" xr:uid="{DF7B1F9E-042C-4656-8CFE-14185CE5A747}"/>
    <cellStyle name="Dezimal 22 11" xfId="11936" xr:uid="{28A5F24B-5C8F-4F70-915D-83DFCFDD5863}"/>
    <cellStyle name="Dezimal 22 11 2" xfId="31373" xr:uid="{D6C14F27-7628-4527-9AEE-61C9CC3DCB64}"/>
    <cellStyle name="Dezimal 22 12" xfId="31370" xr:uid="{6A86C07C-8171-44F7-8353-E54042CF415A}"/>
    <cellStyle name="Dezimal 22 13" xfId="42194" xr:uid="{478043CA-43B6-43C1-97B3-F6F936EFDB44}"/>
    <cellStyle name="Dezimal 22 2" xfId="11937" xr:uid="{71E1384B-3B3C-4765-8460-5D1FC9BEB326}"/>
    <cellStyle name="Dezimal 22 2 2" xfId="11938" xr:uid="{10D38A76-865D-4D03-827D-C8564941BB88}"/>
    <cellStyle name="Dezimal 22 2 2 2" xfId="31375" xr:uid="{B2C9D2E2-E2F8-46C0-BF17-AE2A889293BA}"/>
    <cellStyle name="Dezimal 22 2 3" xfId="31374" xr:uid="{A1CB21CD-0A04-4E67-AC21-D673E071BC45}"/>
    <cellStyle name="Dezimal 22 3" xfId="11939" xr:uid="{94E7A4FE-AC7A-4CF1-8E76-BBCD07CF0867}"/>
    <cellStyle name="Dezimal 22 3 2" xfId="11940" xr:uid="{6F5B9EAF-0700-437C-8E5D-A9A5CE3F9D56}"/>
    <cellStyle name="Dezimal 22 3 2 2" xfId="31377" xr:uid="{505F2DBE-C3F0-4237-8858-588C71EA17AF}"/>
    <cellStyle name="Dezimal 22 3 3" xfId="31376" xr:uid="{CB580038-479B-4AA0-8619-AE92C2CCE176}"/>
    <cellStyle name="Dezimal 22 4" xfId="11941" xr:uid="{6C36045F-B7AF-410F-A991-66AF9DB8FF5E}"/>
    <cellStyle name="Dezimal 22 4 2" xfId="11942" xr:uid="{5CE0A90E-CD19-49E5-94AE-18D5773BA606}"/>
    <cellStyle name="Dezimal 22 4 2 2" xfId="31379" xr:uid="{D2CBF0F3-44C6-4C41-98A0-0FA41AC37F31}"/>
    <cellStyle name="Dezimal 22 4 3" xfId="31378" xr:uid="{A42A2A8E-1DB0-410C-B88F-18CBF81D2A47}"/>
    <cellStyle name="Dezimal 22 5" xfId="11943" xr:uid="{D153D43A-A66B-41E9-8682-D3964E5016B1}"/>
    <cellStyle name="Dezimal 22 5 2" xfId="11944" xr:uid="{4B2E3DB8-C6BD-43EC-8AB0-489D84CACDC5}"/>
    <cellStyle name="Dezimal 22 5 2 2" xfId="31381" xr:uid="{C037BFE2-EDA7-402F-A151-BF179BA2EEE9}"/>
    <cellStyle name="Dezimal 22 5 3" xfId="31380" xr:uid="{19339446-468E-4C1F-A96B-AAF40BA68AC3}"/>
    <cellStyle name="Dezimal 22 6" xfId="11945" xr:uid="{5A14B6C3-F8D5-4699-8C6C-693DE1DAB5D9}"/>
    <cellStyle name="Dezimal 22 6 2" xfId="11946" xr:uid="{3E8B751C-BF81-4FDD-91BE-BC01C96860B9}"/>
    <cellStyle name="Dezimal 22 6 2 2" xfId="31383" xr:uid="{D592E451-60AD-47AF-83CF-4C066B228BE9}"/>
    <cellStyle name="Dezimal 22 6 3" xfId="31382" xr:uid="{C3428A30-8298-44EE-AF9F-3B262F1B1B2B}"/>
    <cellStyle name="Dezimal 22 7" xfId="11947" xr:uid="{71EB4554-D6D1-409A-812B-3D14AC133600}"/>
    <cellStyle name="Dezimal 22 7 2" xfId="11948" xr:uid="{C7BA2727-ED5F-4452-9F02-675EE1C63791}"/>
    <cellStyle name="Dezimal 22 7 2 2" xfId="31385" xr:uid="{5BEF81A3-9B41-47D3-92A8-CF15DBA41746}"/>
    <cellStyle name="Dezimal 22 7 3" xfId="31384" xr:uid="{474821E6-1347-4069-8F3F-C5A47E93A4AD}"/>
    <cellStyle name="Dezimal 22 8" xfId="11949" xr:uid="{3F5DA1EA-5634-433C-A6B2-89F6725E5184}"/>
    <cellStyle name="Dezimal 22 8 2" xfId="11950" xr:uid="{14BDC65D-D36C-40D6-9B84-6DE1A3FA4532}"/>
    <cellStyle name="Dezimal 22 8 2 2" xfId="31387" xr:uid="{AF61D64F-78FC-43E7-8934-BBB152DC2BBC}"/>
    <cellStyle name="Dezimal 22 8 3" xfId="31386" xr:uid="{3A412BEA-6C83-4084-AB7C-1B4744D71271}"/>
    <cellStyle name="Dezimal 22 9" xfId="11951" xr:uid="{F382D2BA-20B5-4F2C-83DC-8897360984F4}"/>
    <cellStyle name="Dezimal 22 9 2" xfId="11952" xr:uid="{B02A9380-02AA-4292-9F64-85DF8C19A9B5}"/>
    <cellStyle name="Dezimal 22 9 2 2" xfId="31389" xr:uid="{CFB40C7C-417D-4E65-8B65-B924B5EA6508}"/>
    <cellStyle name="Dezimal 22 9 3" xfId="31388" xr:uid="{6016A05C-2DAD-4152-9F30-0B10421C7898}"/>
    <cellStyle name="Dezimal 23" xfId="11953" xr:uid="{48F274C8-7D14-4DC5-8EFA-AFF546FC6EAB}"/>
    <cellStyle name="Dezimal 23 10" xfId="11954" xr:uid="{2D16C3B7-92FE-4236-826A-C3E191FE30E3}"/>
    <cellStyle name="Dezimal 23 10 2" xfId="11955" xr:uid="{6726B43F-C359-4F6B-8497-0EF310C231C8}"/>
    <cellStyle name="Dezimal 23 10 2 2" xfId="31392" xr:uid="{BD1C6825-03B7-44BF-A302-A5AA52FC0FB7}"/>
    <cellStyle name="Dezimal 23 10 3" xfId="31391" xr:uid="{5EB43D43-12BD-477A-9562-AA179888E143}"/>
    <cellStyle name="Dezimal 23 11" xfId="11956" xr:uid="{78073C7F-5079-4C0C-940B-2191F74CC87A}"/>
    <cellStyle name="Dezimal 23 11 2" xfId="31393" xr:uid="{D0997EEA-F412-4BBF-9708-50F17D3B9EAF}"/>
    <cellStyle name="Dezimal 23 12" xfId="31390" xr:uid="{52661A89-F8B8-4F19-9136-808B4F30D3F4}"/>
    <cellStyle name="Dezimal 23 13" xfId="42173" xr:uid="{C2EA65B6-4A98-4E08-938A-50B0A32A89DC}"/>
    <cellStyle name="Dezimal 23 2" xfId="11957" xr:uid="{25CE1703-6171-4560-A6F7-ABA70EA45C3A}"/>
    <cellStyle name="Dezimal 23 2 2" xfId="11958" xr:uid="{63A67835-DB9A-4CC8-A6CB-6133360D1006}"/>
    <cellStyle name="Dezimal 23 2 2 2" xfId="31395" xr:uid="{0B212510-A9A8-4B14-B79A-F3B604F991FE}"/>
    <cellStyle name="Dezimal 23 2 3" xfId="31394" xr:uid="{D1B18F79-D5E2-4E56-BBD8-72F6DBE14BFC}"/>
    <cellStyle name="Dezimal 23 3" xfId="11959" xr:uid="{EF0ADE05-C03A-4866-854A-E2D2C6E37E07}"/>
    <cellStyle name="Dezimal 23 3 2" xfId="11960" xr:uid="{8CE2E516-01DD-47B9-816E-4A03728DAADE}"/>
    <cellStyle name="Dezimal 23 3 2 2" xfId="31397" xr:uid="{2898D9DB-1359-4A32-80F1-0D47EDE0DFAB}"/>
    <cellStyle name="Dezimal 23 3 3" xfId="31396" xr:uid="{8391EC62-FCE0-4C9F-B52C-9D28F8612551}"/>
    <cellStyle name="Dezimal 23 4" xfId="11961" xr:uid="{DC60E7AE-D101-4B36-8CA1-33F20D06F758}"/>
    <cellStyle name="Dezimal 23 4 2" xfId="11962" xr:uid="{28BF8CAF-14D3-4D5C-A586-EBFC93C34E24}"/>
    <cellStyle name="Dezimal 23 4 2 2" xfId="31399" xr:uid="{4AB05FC6-6211-486A-A814-B936E1A1EC26}"/>
    <cellStyle name="Dezimal 23 4 3" xfId="31398" xr:uid="{53D869B4-D2F7-4921-8159-E0502F21B417}"/>
    <cellStyle name="Dezimal 23 5" xfId="11963" xr:uid="{47548338-7AD5-4E7B-8B61-AB5C3059681F}"/>
    <cellStyle name="Dezimal 23 5 2" xfId="11964" xr:uid="{8629EC4F-118C-4373-8AF2-B27A4F4E57C3}"/>
    <cellStyle name="Dezimal 23 5 2 2" xfId="31401" xr:uid="{040E0C3C-A72C-4F07-B156-1A89AFDE12C8}"/>
    <cellStyle name="Dezimal 23 5 3" xfId="31400" xr:uid="{3CFC1FDC-73B0-436A-9C86-B5850C5D70EF}"/>
    <cellStyle name="Dezimal 23 6" xfId="11965" xr:uid="{9D56984D-3599-4B5A-836D-DED1891980FA}"/>
    <cellStyle name="Dezimal 23 6 2" xfId="11966" xr:uid="{A670D38C-F849-4281-96A5-F7B03571F1BA}"/>
    <cellStyle name="Dezimal 23 6 2 2" xfId="31403" xr:uid="{7EB49215-0A4F-4ED8-A1AC-6D4FC37D35C5}"/>
    <cellStyle name="Dezimal 23 6 3" xfId="31402" xr:uid="{4D307945-6117-4DB8-BD6C-EB7F6CAE19F5}"/>
    <cellStyle name="Dezimal 23 7" xfId="11967" xr:uid="{47FF9AD0-3493-42FC-8A04-38413FB32436}"/>
    <cellStyle name="Dezimal 23 7 2" xfId="11968" xr:uid="{B1369FE9-0152-4CBB-B368-4C3AF5249871}"/>
    <cellStyle name="Dezimal 23 7 2 2" xfId="31405" xr:uid="{ED35700E-F4EE-462A-8436-850729756502}"/>
    <cellStyle name="Dezimal 23 7 3" xfId="31404" xr:uid="{3A2ABB75-4D69-4C66-B27B-40F5AF6D1AAA}"/>
    <cellStyle name="Dezimal 23 8" xfId="11969" xr:uid="{34E6200E-91E2-475B-9AF1-C770BA63FB61}"/>
    <cellStyle name="Dezimal 23 8 2" xfId="11970" xr:uid="{353FED2B-AC5B-48B4-B593-57B41BF9D211}"/>
    <cellStyle name="Dezimal 23 8 2 2" xfId="31407" xr:uid="{05A5C625-291D-444D-AD00-D557C7AB1827}"/>
    <cellStyle name="Dezimal 23 8 3" xfId="31406" xr:uid="{10333B54-D36F-4006-A8B0-F6FA579FF9C2}"/>
    <cellStyle name="Dezimal 23 9" xfId="11971" xr:uid="{59F72E2A-F06B-4976-B8C4-34A3DA118017}"/>
    <cellStyle name="Dezimal 23 9 2" xfId="11972" xr:uid="{3301F471-BE43-4F07-9B8F-46BE63349D44}"/>
    <cellStyle name="Dezimal 23 9 2 2" xfId="31409" xr:uid="{FDDB0E1F-CBA1-40E2-835E-65740FEC479D}"/>
    <cellStyle name="Dezimal 23 9 3" xfId="31408" xr:uid="{4012E15C-C930-431E-BDF2-C7BFB62001F6}"/>
    <cellStyle name="Dezimal 24" xfId="11973" xr:uid="{DE3C89C6-AC93-412E-B5E4-33353B81789E}"/>
    <cellStyle name="Dezimal 24 10" xfId="11974" xr:uid="{79B628B5-07AA-454B-BFD7-C89B1513B055}"/>
    <cellStyle name="Dezimal 24 10 2" xfId="11975" xr:uid="{F8A10B84-23C7-414C-B2ED-826BE9CB5CCF}"/>
    <cellStyle name="Dezimal 24 10 2 2" xfId="31412" xr:uid="{052D89AC-0399-4738-811E-0A5CAA69B624}"/>
    <cellStyle name="Dezimal 24 10 3" xfId="31411" xr:uid="{EB780A70-725E-4272-B222-5E72095A1921}"/>
    <cellStyle name="Dezimal 24 11" xfId="11976" xr:uid="{785CD06F-116A-4317-A95E-5A7734C450F2}"/>
    <cellStyle name="Dezimal 24 11 2" xfId="31413" xr:uid="{859DA0FB-7570-43AA-8146-49969A94F374}"/>
    <cellStyle name="Dezimal 24 12" xfId="31410" xr:uid="{F0BC41BF-2170-4F8E-92F0-4C13382CE5CE}"/>
    <cellStyle name="Dezimal 24 13" xfId="42172" xr:uid="{40B6E70C-2FFC-410E-A00B-321F5F5DCF69}"/>
    <cellStyle name="Dezimal 24 2" xfId="11977" xr:uid="{1D4EA5AE-EC38-46B6-B35E-402C443B3EFB}"/>
    <cellStyle name="Dezimal 24 2 2" xfId="11978" xr:uid="{0EEFE31C-48E8-4D23-B8D4-F71689A39638}"/>
    <cellStyle name="Dezimal 24 2 2 2" xfId="31415" xr:uid="{137DB45D-344B-4D8E-AFF5-4D96C0423624}"/>
    <cellStyle name="Dezimal 24 2 3" xfId="31414" xr:uid="{CD8F886E-AEC3-470E-9112-50C50F4CD9E5}"/>
    <cellStyle name="Dezimal 24 3" xfId="11979" xr:uid="{3CC907F7-B0AC-45E6-A8D9-05A8F29A907B}"/>
    <cellStyle name="Dezimal 24 3 2" xfId="11980" xr:uid="{D4EB5C6C-F6D9-4A33-ADBE-66E5F681630A}"/>
    <cellStyle name="Dezimal 24 3 2 2" xfId="31417" xr:uid="{A22E1C96-059E-4384-9386-92C5F3280924}"/>
    <cellStyle name="Dezimal 24 3 3" xfId="31416" xr:uid="{5B2DAA5A-1E8F-4C12-BCC7-CF5CC74399D9}"/>
    <cellStyle name="Dezimal 24 4" xfId="11981" xr:uid="{A60BE4D0-2D68-48F9-92B1-50A1DDC187FA}"/>
    <cellStyle name="Dezimal 24 4 2" xfId="11982" xr:uid="{B8600ED1-57FF-4F3A-9F47-7CB1C172C214}"/>
    <cellStyle name="Dezimal 24 4 2 2" xfId="31419" xr:uid="{D8F5662B-7160-46B3-8A6A-2C38C4F90DF9}"/>
    <cellStyle name="Dezimal 24 4 3" xfId="31418" xr:uid="{FE1FBD99-CEF6-4DDF-9A9C-C84568A2FB39}"/>
    <cellStyle name="Dezimal 24 5" xfId="11983" xr:uid="{C062DD36-C501-4C80-9A3F-A261AE65D21E}"/>
    <cellStyle name="Dezimal 24 5 2" xfId="11984" xr:uid="{2BD32249-5DB3-4C70-9EC1-8BCAC39D1020}"/>
    <cellStyle name="Dezimal 24 5 2 2" xfId="31421" xr:uid="{47D376FC-703F-438D-BB88-C9F6460AEE20}"/>
    <cellStyle name="Dezimal 24 5 3" xfId="31420" xr:uid="{44652E6A-AE12-4E5E-9089-CDED06375D3C}"/>
    <cellStyle name="Dezimal 24 6" xfId="11985" xr:uid="{0DFA6D7B-3FE9-4F7B-8894-BFF09EFC5522}"/>
    <cellStyle name="Dezimal 24 6 2" xfId="11986" xr:uid="{C02F94DC-1AD3-4155-A137-B5A9C2963D61}"/>
    <cellStyle name="Dezimal 24 6 2 2" xfId="31423" xr:uid="{D9356377-3678-4FF1-8B5A-B1098B68E02F}"/>
    <cellStyle name="Dezimal 24 6 3" xfId="31422" xr:uid="{87DC90BE-F54A-4131-AE97-197176C702A6}"/>
    <cellStyle name="Dezimal 24 7" xfId="11987" xr:uid="{C68F62B7-0B7C-4654-AD36-72BA51E80407}"/>
    <cellStyle name="Dezimal 24 7 2" xfId="11988" xr:uid="{770E5360-5C4C-4543-AB69-996A72FABB44}"/>
    <cellStyle name="Dezimal 24 7 2 2" xfId="31425" xr:uid="{82EE2114-63AF-4E47-8C4A-3C9CAB529E4F}"/>
    <cellStyle name="Dezimal 24 7 3" xfId="31424" xr:uid="{8ACCC745-709E-4922-B591-C5747477B4B3}"/>
    <cellStyle name="Dezimal 24 8" xfId="11989" xr:uid="{F7B1AF62-4CD4-4C85-BA62-05886EE8A154}"/>
    <cellStyle name="Dezimal 24 8 2" xfId="11990" xr:uid="{669F2135-7CCE-44D5-B722-E5AB1CB40E10}"/>
    <cellStyle name="Dezimal 24 8 2 2" xfId="31427" xr:uid="{0FFBD2E2-623C-48B3-9EBE-BE06A8716E8B}"/>
    <cellStyle name="Dezimal 24 8 3" xfId="31426" xr:uid="{CBAA43BC-3534-4FCE-B66C-DECCF9E8D775}"/>
    <cellStyle name="Dezimal 24 9" xfId="11991" xr:uid="{FC3CACF9-4E59-4AD1-B68F-AD87F2FE27DA}"/>
    <cellStyle name="Dezimal 24 9 2" xfId="11992" xr:uid="{3A0756B2-6A12-416B-9461-3D4645E424C6}"/>
    <cellStyle name="Dezimal 24 9 2 2" xfId="31429" xr:uid="{8BCCBEFF-26E2-43B2-A7AF-7C708104B695}"/>
    <cellStyle name="Dezimal 24 9 3" xfId="31428" xr:uid="{B6EB0B77-19D9-44E4-9486-9258AFD9998C}"/>
    <cellStyle name="Dezimal 25" xfId="11993" xr:uid="{5279220A-F5B5-4316-8F21-718156566556}"/>
    <cellStyle name="Dezimal 25 10" xfId="11994" xr:uid="{522981DB-3369-4618-B2FE-0236B2A78F2C}"/>
    <cellStyle name="Dezimal 25 10 2" xfId="11995" xr:uid="{AF7F18D9-94DA-414A-AEA5-23428A6772B2}"/>
    <cellStyle name="Dezimal 25 10 2 2" xfId="31432" xr:uid="{F09AD976-7B4E-40DF-8F4E-2301CDEE14C0}"/>
    <cellStyle name="Dezimal 25 10 3" xfId="31431" xr:uid="{52097FBA-B30E-413D-9AF3-22E05A080CA1}"/>
    <cellStyle name="Dezimal 25 11" xfId="31430" xr:uid="{2EA29BDD-F738-40A8-9CFF-756A01F9432C}"/>
    <cellStyle name="Dezimal 25 12" xfId="42171" xr:uid="{7AC58A38-8761-49AD-97FE-62722F98B455}"/>
    <cellStyle name="Dezimal 25 2" xfId="11996" xr:uid="{8D3E04E6-A1EA-41CA-B4AF-29229CC5D1E2}"/>
    <cellStyle name="Dezimal 25 2 2" xfId="11997" xr:uid="{8AD3DC28-489E-47B2-9E1E-3E343EC0AE47}"/>
    <cellStyle name="Dezimal 25 2 2 2" xfId="31434" xr:uid="{C7944E5E-44E4-41F9-9074-22F5B4CE75AC}"/>
    <cellStyle name="Dezimal 25 2 3" xfId="31433" xr:uid="{CCF2FACA-0A85-4924-85E0-044814E22A8B}"/>
    <cellStyle name="Dezimal 25 3" xfId="11998" xr:uid="{214C255F-6339-471D-8FE9-1750D284A7F3}"/>
    <cellStyle name="Dezimal 25 3 2" xfId="11999" xr:uid="{BC370771-079B-4B0A-BF54-0711D2ABB9AD}"/>
    <cellStyle name="Dezimal 25 3 2 2" xfId="31436" xr:uid="{1EE34916-4E4A-436B-A16E-DF8173F0AB02}"/>
    <cellStyle name="Dezimal 25 3 3" xfId="31435" xr:uid="{22A429D2-A542-46C3-973D-8C6877B8A5C0}"/>
    <cellStyle name="Dezimal 25 4" xfId="12000" xr:uid="{9D382B71-7E28-4B86-95A9-514C36DD35B4}"/>
    <cellStyle name="Dezimal 25 4 2" xfId="12001" xr:uid="{436C0C53-6EF3-4C2A-B659-9FD484ED3144}"/>
    <cellStyle name="Dezimal 25 4 2 2" xfId="31438" xr:uid="{FF158FC1-05EA-4727-9F36-431B26C2F9BC}"/>
    <cellStyle name="Dezimal 25 4 3" xfId="31437" xr:uid="{EF05379B-048B-4677-AB4C-D53D867BAD19}"/>
    <cellStyle name="Dezimal 25 5" xfId="12002" xr:uid="{09C66DEB-5FC4-4CA6-AD10-C594338B2401}"/>
    <cellStyle name="Dezimal 25 5 2" xfId="12003" xr:uid="{A99AED26-DEFC-4F97-A158-EF541B21F991}"/>
    <cellStyle name="Dezimal 25 5 2 2" xfId="31440" xr:uid="{F72FDFE4-82A5-4E5A-B969-04467B8E1426}"/>
    <cellStyle name="Dezimal 25 5 3" xfId="31439" xr:uid="{31D69554-3EDD-48CA-A2DD-BF10165A22EE}"/>
    <cellStyle name="Dezimal 25 6" xfId="12004" xr:uid="{A244DD67-A18B-4FC2-B6CB-4CC46CD2F5CB}"/>
    <cellStyle name="Dezimal 25 6 2" xfId="12005" xr:uid="{F2A3C3FF-AF41-438C-AD0D-92EBFE230A38}"/>
    <cellStyle name="Dezimal 25 6 2 2" xfId="31442" xr:uid="{7D529C6E-9F90-40EB-8214-08B1BCDFE442}"/>
    <cellStyle name="Dezimal 25 6 3" xfId="31441" xr:uid="{28DEC9EE-E64E-4505-B8BA-65102D9872C6}"/>
    <cellStyle name="Dezimal 25 7" xfId="12006" xr:uid="{CC19E565-BE3E-445F-A93C-00D1A4595C83}"/>
    <cellStyle name="Dezimal 25 7 2" xfId="12007" xr:uid="{6E97E736-2B04-4076-8636-53EAD810C1E2}"/>
    <cellStyle name="Dezimal 25 7 2 2" xfId="31444" xr:uid="{C94F458F-0181-4322-839B-2F917833763B}"/>
    <cellStyle name="Dezimal 25 7 3" xfId="31443" xr:uid="{304CBFF1-7999-4EFD-BB54-74D6BBF07811}"/>
    <cellStyle name="Dezimal 25 8" xfId="12008" xr:uid="{59051DFD-E713-4C7A-ACD8-4BB7DA5203A2}"/>
    <cellStyle name="Dezimal 25 8 2" xfId="12009" xr:uid="{9CC9BC81-DFDD-49E7-8081-AB488E689D78}"/>
    <cellStyle name="Dezimal 25 8 2 2" xfId="31446" xr:uid="{95B3D12A-F8A1-4A46-95C0-A42EF7CC8600}"/>
    <cellStyle name="Dezimal 25 8 3" xfId="31445" xr:uid="{173BD6A9-C183-4D57-86B8-B69891D164EC}"/>
    <cellStyle name="Dezimal 25 9" xfId="12010" xr:uid="{E1B91AD3-6EB3-48DD-B8B0-3A72239E0C3D}"/>
    <cellStyle name="Dezimal 25 9 2" xfId="12011" xr:uid="{248F761D-30F6-49A2-89FD-D554147E3336}"/>
    <cellStyle name="Dezimal 25 9 2 2" xfId="31448" xr:uid="{4ED24717-C432-4B28-9F9D-1369789106EC}"/>
    <cellStyle name="Dezimal 25 9 3" xfId="31447" xr:uid="{C7E319DD-A55C-4CD4-9B2A-70D0AF4D8555}"/>
    <cellStyle name="Dezimal 26" xfId="12012" xr:uid="{561554B6-9C93-437A-AA5C-2EC1C308494D}"/>
    <cellStyle name="Dezimal 26 10" xfId="12013" xr:uid="{75E400AD-4A07-46C3-B651-6A9EBC1A61A5}"/>
    <cellStyle name="Dezimal 26 10 2" xfId="12014" xr:uid="{524281C8-6458-4BCC-BE17-8E82C21774F3}"/>
    <cellStyle name="Dezimal 26 10 2 2" xfId="31451" xr:uid="{2C81B267-E77C-4821-B793-88B2623350A0}"/>
    <cellStyle name="Dezimal 26 10 3" xfId="31450" xr:uid="{306E1F9D-598A-4FD7-861D-A22703F6D333}"/>
    <cellStyle name="Dezimal 26 11" xfId="31449" xr:uid="{52B8F441-31C0-47BE-9D9F-13DACE8AC153}"/>
    <cellStyle name="Dezimal 26 12" xfId="42164" xr:uid="{7EF138E0-B279-422D-B8E2-179072EC4A18}"/>
    <cellStyle name="Dezimal 26 2" xfId="12015" xr:uid="{DFD7A692-BB6F-478B-8D6B-6301A24B2A67}"/>
    <cellStyle name="Dezimal 26 2 2" xfId="12016" xr:uid="{6B8A969D-B61B-41AD-90B6-B4C3BB0DDA09}"/>
    <cellStyle name="Dezimal 26 2 2 2" xfId="31453" xr:uid="{42BD26B9-7659-40DA-9240-AA5C3778F530}"/>
    <cellStyle name="Dezimal 26 2 3" xfId="31452" xr:uid="{603120A5-82D1-400B-9AF6-CE3D243D81B6}"/>
    <cellStyle name="Dezimal 26 3" xfId="12017" xr:uid="{F2533FB8-E5DE-45DF-9E31-3428475EF387}"/>
    <cellStyle name="Dezimal 26 3 2" xfId="12018" xr:uid="{D4B7C0D5-51CE-4CB6-ADBB-3E8FAC68BBB8}"/>
    <cellStyle name="Dezimal 26 3 2 2" xfId="31455" xr:uid="{2B3FE732-0FB1-4F57-B81E-957872D114A0}"/>
    <cellStyle name="Dezimal 26 3 3" xfId="31454" xr:uid="{2F581C4D-0A7E-4C75-B9AC-55CB680C268F}"/>
    <cellStyle name="Dezimal 26 4" xfId="12019" xr:uid="{91CDB1A0-BB24-4647-A784-1195BFEBBECA}"/>
    <cellStyle name="Dezimal 26 4 2" xfId="12020" xr:uid="{9B97EF5A-42B1-4021-8BF8-99E4039FE423}"/>
    <cellStyle name="Dezimal 26 4 2 2" xfId="31457" xr:uid="{0E950587-4C52-4F9C-A281-9C74F2E41E83}"/>
    <cellStyle name="Dezimal 26 4 3" xfId="31456" xr:uid="{BEEB7194-4CFF-4F20-A15B-CCFBC28F791F}"/>
    <cellStyle name="Dezimal 26 5" xfId="12021" xr:uid="{91B2FFB6-9BA9-4EED-908C-991E36C5507C}"/>
    <cellStyle name="Dezimal 26 5 2" xfId="12022" xr:uid="{0C822640-AF38-401D-BE8B-1321664FE79D}"/>
    <cellStyle name="Dezimal 26 5 2 2" xfId="31459" xr:uid="{12AD53AA-9B2F-403C-8793-59EFBE3029F3}"/>
    <cellStyle name="Dezimal 26 5 3" xfId="31458" xr:uid="{933DCD8D-1A00-4CD4-8EAC-D6F3335C66C3}"/>
    <cellStyle name="Dezimal 26 6" xfId="12023" xr:uid="{486873BB-CEEA-4A75-AB20-B97E4D61C6A5}"/>
    <cellStyle name="Dezimal 26 6 2" xfId="12024" xr:uid="{205534B0-9FF0-4B15-9137-9BDF9D618BDA}"/>
    <cellStyle name="Dezimal 26 6 2 2" xfId="31461" xr:uid="{54DA18A0-8704-44FC-A9A7-796B03B50D72}"/>
    <cellStyle name="Dezimal 26 6 3" xfId="31460" xr:uid="{C7A3683B-85E7-4A77-907F-81E7516E63E3}"/>
    <cellStyle name="Dezimal 26 7" xfId="12025" xr:uid="{5114651A-3FCD-4F07-B66E-2B0F507BE607}"/>
    <cellStyle name="Dezimal 26 7 2" xfId="12026" xr:uid="{E2A8B4BD-6231-4E56-95A8-0BDBE113FA04}"/>
    <cellStyle name="Dezimal 26 7 2 2" xfId="31463" xr:uid="{E3FF0CD1-D172-480F-9E27-3E88C2C7DF86}"/>
    <cellStyle name="Dezimal 26 7 3" xfId="31462" xr:uid="{BAFFD0A1-6E11-4941-90A0-9155222BAEA6}"/>
    <cellStyle name="Dezimal 26 8" xfId="12027" xr:uid="{3703E324-1411-496C-A932-69DDB78D025D}"/>
    <cellStyle name="Dezimal 26 8 2" xfId="12028" xr:uid="{37F61620-64EB-4DFF-B695-238D1C615A6F}"/>
    <cellStyle name="Dezimal 26 8 2 2" xfId="31465" xr:uid="{ABCD3BD8-5683-4E61-ADEA-885948F6DFF9}"/>
    <cellStyle name="Dezimal 26 8 3" xfId="31464" xr:uid="{35DFC99E-4774-4E2E-89DB-4E4E691B194E}"/>
    <cellStyle name="Dezimal 26 9" xfId="12029" xr:uid="{1169BFAE-C370-41CE-80F0-2144F138A234}"/>
    <cellStyle name="Dezimal 26 9 2" xfId="12030" xr:uid="{F76EE380-7BEE-4A73-873E-B1B6B2EAB2EE}"/>
    <cellStyle name="Dezimal 26 9 2 2" xfId="31467" xr:uid="{50AF73CC-33F0-4F4E-AE65-2BC3C3C3C278}"/>
    <cellStyle name="Dezimal 26 9 3" xfId="31466" xr:uid="{C469EA0E-BD14-46C0-8D0B-25CF00FF2E89}"/>
    <cellStyle name="Dezimal 27" xfId="30809" xr:uid="{DD7A5D9D-747E-4DC9-AEE8-3F9A04CA92BC}"/>
    <cellStyle name="Dezimal 27 10" xfId="12031" xr:uid="{FE7FB224-F3CA-4601-9835-14DCEF4FCB40}"/>
    <cellStyle name="Dezimal 27 10 2" xfId="12032" xr:uid="{D47B6EA6-F92D-4969-89B6-3F6CC21AD7A8}"/>
    <cellStyle name="Dezimal 27 10 2 2" xfId="31469" xr:uid="{18EF624B-96B5-4299-BCD7-669E929329EB}"/>
    <cellStyle name="Dezimal 27 10 3" xfId="31468" xr:uid="{F7470C84-1FDA-4A42-9637-AB9AE6888AA2}"/>
    <cellStyle name="Dezimal 27 11" xfId="42169" xr:uid="{BCB219FC-3E42-44E6-9FC0-BD9B4DA62D7A}"/>
    <cellStyle name="Dezimal 27 2" xfId="12033" xr:uid="{23C01FEB-1BE4-417E-A2D4-B27F89C26352}"/>
    <cellStyle name="Dezimal 27 2 2" xfId="12034" xr:uid="{DA82640C-D6FA-40A3-B102-4DBE02D8A80D}"/>
    <cellStyle name="Dezimal 27 2 2 2" xfId="31471" xr:uid="{40F52A96-3972-4A8D-B27C-9F679D2FAB16}"/>
    <cellStyle name="Dezimal 27 2 3" xfId="31470" xr:uid="{CC502BB4-0A61-4E65-9E14-A26B44F8E2D7}"/>
    <cellStyle name="Dezimal 27 3" xfId="12035" xr:uid="{EF327B40-59DF-4FDC-B1C6-679688A4BA29}"/>
    <cellStyle name="Dezimal 27 3 2" xfId="12036" xr:uid="{5C1344E8-20B9-491F-8E2B-EC5A1FB76F21}"/>
    <cellStyle name="Dezimal 27 3 2 2" xfId="31473" xr:uid="{4A215256-C077-4D00-9D5F-8CEAB06DEF32}"/>
    <cellStyle name="Dezimal 27 3 3" xfId="31472" xr:uid="{75A0DA9A-E203-45C2-8184-1B134E27156D}"/>
    <cellStyle name="Dezimal 27 4" xfId="12037" xr:uid="{0B141D1A-4D42-46E9-8FF5-E21DD8313986}"/>
    <cellStyle name="Dezimal 27 4 2" xfId="12038" xr:uid="{9ED6351F-5628-4B14-902E-49A5CAF47463}"/>
    <cellStyle name="Dezimal 27 4 2 2" xfId="31475" xr:uid="{351E555C-78DB-4CC9-B0CF-51911EC9B6F7}"/>
    <cellStyle name="Dezimal 27 4 3" xfId="31474" xr:uid="{BAD6B897-C9B5-4A8B-887D-C9E5BE80CCA5}"/>
    <cellStyle name="Dezimal 27 5" xfId="12039" xr:uid="{46DD8DD0-8922-4141-AF3F-D8A63017E01B}"/>
    <cellStyle name="Dezimal 27 5 2" xfId="12040" xr:uid="{F1416D0D-BEDF-4346-9949-2A8206516CB0}"/>
    <cellStyle name="Dezimal 27 5 2 2" xfId="31477" xr:uid="{BA31203E-A548-46BE-9D24-AAE22FF4C668}"/>
    <cellStyle name="Dezimal 27 5 3" xfId="31476" xr:uid="{D0D4FB65-2F95-4F4C-9960-AE2B2982BB23}"/>
    <cellStyle name="Dezimal 27 6" xfId="12041" xr:uid="{11E81976-6E44-4687-B17D-63CA60709735}"/>
    <cellStyle name="Dezimal 27 6 2" xfId="12042" xr:uid="{7E62C230-E0E5-4485-B0CF-9F06771257CC}"/>
    <cellStyle name="Dezimal 27 6 2 2" xfId="31479" xr:uid="{F72F4CF5-77B0-4EA2-AFC0-6C5B856954BD}"/>
    <cellStyle name="Dezimal 27 6 3" xfId="31478" xr:uid="{425F1C7B-E301-4402-B166-61F2F527E7FF}"/>
    <cellStyle name="Dezimal 27 7" xfId="12043" xr:uid="{5441E344-1B71-48F5-90ED-D138F3E21080}"/>
    <cellStyle name="Dezimal 27 7 2" xfId="12044" xr:uid="{3E0EF3E5-50AA-4D57-B791-2A24D289FC8A}"/>
    <cellStyle name="Dezimal 27 7 2 2" xfId="31481" xr:uid="{4ACF7259-BBC0-4A5B-9111-381DD931AA30}"/>
    <cellStyle name="Dezimal 27 7 3" xfId="31480" xr:uid="{B4303F63-5D98-4B2F-ABF6-18275997C025}"/>
    <cellStyle name="Dezimal 27 8" xfId="12045" xr:uid="{D4207273-F38C-48D2-A963-0CDC30E113DB}"/>
    <cellStyle name="Dezimal 27 8 2" xfId="12046" xr:uid="{B7E84DEA-7F7D-434E-A2C0-895E4381021A}"/>
    <cellStyle name="Dezimal 27 8 2 2" xfId="31483" xr:uid="{8C8196DA-F1C0-460F-B01D-C9708A507503}"/>
    <cellStyle name="Dezimal 27 8 3" xfId="31482" xr:uid="{E64AC5AF-4953-4C63-9790-D1C707300B4D}"/>
    <cellStyle name="Dezimal 27 9" xfId="12047" xr:uid="{63AB6A51-A4C1-4145-9F6C-CD1F6AD50F62}"/>
    <cellStyle name="Dezimal 27 9 2" xfId="12048" xr:uid="{EA77434F-12DD-46F4-BDBA-5678F87407C5}"/>
    <cellStyle name="Dezimal 27 9 2 2" xfId="31485" xr:uid="{4B21DA8C-8CB3-4DC0-ACCB-4375DED1FB4F}"/>
    <cellStyle name="Dezimal 27 9 3" xfId="31484" xr:uid="{2B5D0076-96F6-465C-BB66-96740ACC69F9}"/>
    <cellStyle name="Dezimal 28" xfId="12049" xr:uid="{4B997F88-B9D7-43B3-BFB6-8C47A2213F92}"/>
    <cellStyle name="Dezimal 28 10" xfId="12050" xr:uid="{DD8CA0C4-AB71-460E-BA2F-115013641680}"/>
    <cellStyle name="Dezimal 28 10 2" xfId="12051" xr:uid="{5D181139-379F-4B79-932D-9F985104C7DB}"/>
    <cellStyle name="Dezimal 28 10 2 2" xfId="31488" xr:uid="{90FCAAF4-EAFD-40C2-8EC5-066765EF9BAA}"/>
    <cellStyle name="Dezimal 28 10 3" xfId="31487" xr:uid="{C5336A7B-1D0E-415D-9CC4-CD560E586EF2}"/>
    <cellStyle name="Dezimal 28 11" xfId="12052" xr:uid="{1C410A84-972F-4BAD-8C33-424C58064712}"/>
    <cellStyle name="Dezimal 28 11 2" xfId="12053" xr:uid="{16A0E619-132E-4265-A852-8B4C62DE7176}"/>
    <cellStyle name="Dezimal 28 11 2 2" xfId="31490" xr:uid="{021E213F-95D5-4F2E-802D-20342B3E5963}"/>
    <cellStyle name="Dezimal 28 11 3" xfId="31489" xr:uid="{A986C2CA-7243-4D75-AB88-C56341434BAA}"/>
    <cellStyle name="Dezimal 28 12" xfId="12054" xr:uid="{F38B10AA-F64C-44D0-8B49-159A4063C9FD}"/>
    <cellStyle name="Dezimal 28 12 2" xfId="12055" xr:uid="{9523E2CC-8589-4D1E-9FB3-2FEAE94DE348}"/>
    <cellStyle name="Dezimal 28 12 2 2" xfId="31492" xr:uid="{06FA55E5-66E8-48EA-9F90-1E57B4F95ACD}"/>
    <cellStyle name="Dezimal 28 12 3" xfId="31491" xr:uid="{8065B918-6673-44AF-B05F-11150D28DB88}"/>
    <cellStyle name="Dezimal 28 13" xfId="12056" xr:uid="{8578B177-AFBE-4524-BE10-2309586D467F}"/>
    <cellStyle name="Dezimal 28 13 2" xfId="12057" xr:uid="{76B1DBBE-999F-48B2-841C-7B55932058E3}"/>
    <cellStyle name="Dezimal 28 13 2 2" xfId="31494" xr:uid="{D115DD90-A99A-42EB-B6C6-66CB47BFBE1D}"/>
    <cellStyle name="Dezimal 28 13 3" xfId="31493" xr:uid="{EDAF02B4-C924-4B22-AC22-39FB464BD319}"/>
    <cellStyle name="Dezimal 28 14" xfId="12058" xr:uid="{1DC12623-FF57-4D96-8BC9-98BA5AD3468A}"/>
    <cellStyle name="Dezimal 28 14 2" xfId="12059" xr:uid="{D512EC79-6113-4ABA-94DA-27894B89CBE6}"/>
    <cellStyle name="Dezimal 28 14 2 2" xfId="31496" xr:uid="{086EC100-FF6E-4EF6-87EB-599AE832DC81}"/>
    <cellStyle name="Dezimal 28 14 3" xfId="31495" xr:uid="{373D8FF3-B8CC-4DDE-9BD5-221D5D248371}"/>
    <cellStyle name="Dezimal 28 15" xfId="12060" xr:uid="{BBF58ABC-1E73-4A37-80A5-3CF6AFB47818}"/>
    <cellStyle name="Dezimal 28 15 2" xfId="12061" xr:uid="{8AC9DF9F-B760-49B4-8F86-B342FE981F08}"/>
    <cellStyle name="Dezimal 28 15 2 2" xfId="31498" xr:uid="{7ED177A8-9665-4864-AAF1-248ED2DA86E3}"/>
    <cellStyle name="Dezimal 28 15 3" xfId="31497" xr:uid="{B2A84F57-EA3C-4FCD-9905-4409526EB85B}"/>
    <cellStyle name="Dezimal 28 16" xfId="12062" xr:uid="{A9A05874-D55F-4AC8-892C-5BE19632AE52}"/>
    <cellStyle name="Dezimal 28 16 2" xfId="12063" xr:uid="{5CC250F4-E77A-49CB-990C-985C4213F480}"/>
    <cellStyle name="Dezimal 28 16 2 2" xfId="31500" xr:uid="{39EF998F-AE0E-4206-975D-14B544D10ABA}"/>
    <cellStyle name="Dezimal 28 16 3" xfId="31499" xr:uid="{DD543CFA-B842-4C68-87FB-14507A979B81}"/>
    <cellStyle name="Dezimal 28 17" xfId="12064" xr:uid="{902AAB1B-B47C-43C0-B9F9-C4022366BF6A}"/>
    <cellStyle name="Dezimal 28 17 2" xfId="12065" xr:uid="{D0EBBF67-98A0-4710-B32E-53A0F97CF34B}"/>
    <cellStyle name="Dezimal 28 17 2 2" xfId="31502" xr:uid="{52440E1A-F165-4ED7-985C-DFD20D8202B7}"/>
    <cellStyle name="Dezimal 28 17 3" xfId="31501" xr:uid="{0ACC4E17-3B36-4D0F-81B9-C15FAC41BF20}"/>
    <cellStyle name="Dezimal 28 18" xfId="12066" xr:uid="{70B05D8F-2160-4DB3-B035-1CA6DDC5E2E5}"/>
    <cellStyle name="Dezimal 28 18 2" xfId="12067" xr:uid="{D8ED69E1-2953-4439-B3AC-A1CAC8E1522D}"/>
    <cellStyle name="Dezimal 28 18 2 2" xfId="31504" xr:uid="{51CA1F3A-5C30-4AAD-BB72-8E1245273762}"/>
    <cellStyle name="Dezimal 28 18 3" xfId="31503" xr:uid="{352AF890-17A5-44BB-B7FE-DDED971E1443}"/>
    <cellStyle name="Dezimal 28 19" xfId="12068" xr:uid="{09E2D04E-DF1E-4D61-AD76-95CEE716E093}"/>
    <cellStyle name="Dezimal 28 19 2" xfId="12069" xr:uid="{1E65359C-BB71-4A27-8133-3F94D26FFCE2}"/>
    <cellStyle name="Dezimal 28 19 2 2" xfId="31506" xr:uid="{680E85E0-9BAA-4BF8-B8E7-211787CBAEBE}"/>
    <cellStyle name="Dezimal 28 19 3" xfId="31505" xr:uid="{AC0A426F-6DBC-4FB3-9F6C-B31361B9685F}"/>
    <cellStyle name="Dezimal 28 2" xfId="12070" xr:uid="{FFF3F901-8030-478E-A2FD-ACD85C810D7B}"/>
    <cellStyle name="Dezimal 28 2 2" xfId="12071" xr:uid="{2369FAAD-5CC0-4DF1-AF2A-51B079DBF026}"/>
    <cellStyle name="Dezimal 28 2 2 2" xfId="31508" xr:uid="{69311806-E1EE-45D0-8075-B3347D1CE4AE}"/>
    <cellStyle name="Dezimal 28 2 3" xfId="31507" xr:uid="{7099FA57-5511-4A21-B713-7BAD2097D16F}"/>
    <cellStyle name="Dezimal 28 20" xfId="12072" xr:uid="{3EDFB47D-FCBF-48FB-906F-AB93C4E055B8}"/>
    <cellStyle name="Dezimal 28 20 2" xfId="31509" xr:uid="{2C0B055B-8230-49FD-B1D2-EFE44CB3707D}"/>
    <cellStyle name="Dezimal 28 21" xfId="12073" xr:uid="{FAF430F4-A6AC-4861-936F-926F092C7916}"/>
    <cellStyle name="Dezimal 28 21 2" xfId="31510" xr:uid="{A45E4CB3-7710-4E4C-ADB8-D5971CD72F60}"/>
    <cellStyle name="Dezimal 28 22" xfId="12074" xr:uid="{84A5BDBE-30EE-49B6-971B-0432F26B7DA1}"/>
    <cellStyle name="Dezimal 28 22 2" xfId="31511" xr:uid="{53B3A1F5-8456-4F02-B481-F28D23B8E4A5}"/>
    <cellStyle name="Dezimal 28 23" xfId="12075" xr:uid="{04F5EA05-C35C-4F16-B5DB-07CE4E7186E9}"/>
    <cellStyle name="Dezimal 28 23 2" xfId="31512" xr:uid="{D6D92558-2B90-4F87-A612-1B2C47969B68}"/>
    <cellStyle name="Dezimal 28 24" xfId="12076" xr:uid="{2712277C-62AB-49EB-9625-658553E48668}"/>
    <cellStyle name="Dezimal 28 24 2" xfId="31513" xr:uid="{5DAA1BFD-00F4-4A00-9B04-001C45F7FB67}"/>
    <cellStyle name="Dezimal 28 25" xfId="12077" xr:uid="{B2870574-D71C-44EF-9310-53948BB3F359}"/>
    <cellStyle name="Dezimal 28 25 2" xfId="31514" xr:uid="{A826994A-C6F4-4FC7-8E1A-C2C3E3690539}"/>
    <cellStyle name="Dezimal 28 26" xfId="12078" xr:uid="{B9E5A059-C2CD-4C31-9784-3F08785B2632}"/>
    <cellStyle name="Dezimal 28 26 2" xfId="31515" xr:uid="{8CE13A8F-0931-4A18-A227-18E247B7E4A6}"/>
    <cellStyle name="Dezimal 28 27" xfId="12079" xr:uid="{129AF2DA-A522-4E43-9863-7862EF004C58}"/>
    <cellStyle name="Dezimal 28 27 2" xfId="31516" xr:uid="{FAD397AF-C45D-44BF-AD9C-A85E31163A1E}"/>
    <cellStyle name="Dezimal 28 28" xfId="12080" xr:uid="{6BC621B0-25B2-405E-A626-E55CE88359FE}"/>
    <cellStyle name="Dezimal 28 28 2" xfId="31517" xr:uid="{C8AC649D-A24A-4556-AE4F-600B0544AB22}"/>
    <cellStyle name="Dezimal 28 29" xfId="12081" xr:uid="{F08F6605-E3F5-449B-A2C3-F70C68070AC7}"/>
    <cellStyle name="Dezimal 28 29 2" xfId="31518" xr:uid="{64D3A9CC-F2E9-4AFF-9866-E6628EF9CB88}"/>
    <cellStyle name="Dezimal 28 3" xfId="12082" xr:uid="{072C148D-6A28-4B88-98EC-7D41199E90DE}"/>
    <cellStyle name="Dezimal 28 3 2" xfId="12083" xr:uid="{8E1F35DF-FFFC-4D42-ACDD-9C83D3C9BE1E}"/>
    <cellStyle name="Dezimal 28 3 2 2" xfId="31520" xr:uid="{A80A2E6D-29B1-466D-BF73-EF46797AE4EC}"/>
    <cellStyle name="Dezimal 28 3 3" xfId="31519" xr:uid="{C2B97843-0AF6-4D75-8A20-99956CE97696}"/>
    <cellStyle name="Dezimal 28 30" xfId="12084" xr:uid="{F156B6CC-84E3-4014-8293-41349B6A9712}"/>
    <cellStyle name="Dezimal 28 30 2" xfId="31521" xr:uid="{CE255B82-5337-4E15-9B69-51CC12586E75}"/>
    <cellStyle name="Dezimal 28 31" xfId="12085" xr:uid="{D6183DFB-A91C-4124-A28A-5562C6DE09A8}"/>
    <cellStyle name="Dezimal 28 31 2" xfId="31522" xr:uid="{A49F7E9E-C2AA-4B47-B841-471ADF6396D9}"/>
    <cellStyle name="Dezimal 28 32" xfId="12086" xr:uid="{36F5267C-1145-492B-B02F-505FBEAE468A}"/>
    <cellStyle name="Dezimal 28 32 2" xfId="31523" xr:uid="{471C3B7A-B4DB-4E0F-B3D9-184479E52C51}"/>
    <cellStyle name="Dezimal 28 33" xfId="12087" xr:uid="{A021CA85-A8DB-4943-9E0A-684F82DD5297}"/>
    <cellStyle name="Dezimal 28 33 2" xfId="31524" xr:uid="{F67A351E-C5D6-4E01-8B9C-C2D9D4F5DCD5}"/>
    <cellStyle name="Dezimal 28 34" xfId="12088" xr:uid="{90278C9A-3BEB-4E90-9DD8-44814F4CCF84}"/>
    <cellStyle name="Dezimal 28 34 2" xfId="31525" xr:uid="{2046125A-A1D6-4D08-AD0B-D317ED8C9C89}"/>
    <cellStyle name="Dezimal 28 35" xfId="12089" xr:uid="{AD24B1BA-7ED2-42C3-B238-A02ADB40ECB4}"/>
    <cellStyle name="Dezimal 28 35 2" xfId="31526" xr:uid="{B539AA3E-A658-4754-895A-B15B7C447CF5}"/>
    <cellStyle name="Dezimal 28 36" xfId="12090" xr:uid="{676668F3-E079-4DA4-8B48-D0CDBF007ABD}"/>
    <cellStyle name="Dezimal 28 36 2" xfId="31527" xr:uid="{ACA14D77-FBBA-42CD-A5AA-873B692D65F1}"/>
    <cellStyle name="Dezimal 28 37" xfId="12091" xr:uid="{5B05578D-1CF7-4C84-B5C2-1D556D778960}"/>
    <cellStyle name="Dezimal 28 37 2" xfId="31528" xr:uid="{92D1373C-447F-4E7E-9206-A17947C4DD3C}"/>
    <cellStyle name="Dezimal 28 38" xfId="12092" xr:uid="{C8C5DECD-DB23-4968-A482-762D0B3634F5}"/>
    <cellStyle name="Dezimal 28 38 2" xfId="31529" xr:uid="{6DDB982E-A061-463C-B79F-B49A540CD10B}"/>
    <cellStyle name="Dezimal 28 39" xfId="12093" xr:uid="{19F769CE-D1C1-4A9D-B887-F4B8C0E694B6}"/>
    <cellStyle name="Dezimal 28 39 2" xfId="31530" xr:uid="{D081DBA3-3897-4228-8EBE-63952E05E90F}"/>
    <cellStyle name="Dezimal 28 4" xfId="12094" xr:uid="{AB465D23-F5AA-4550-9957-730F04D4F88C}"/>
    <cellStyle name="Dezimal 28 4 2" xfId="12095" xr:uid="{A47BD5CA-43AD-47AD-9C40-032DA2A86872}"/>
    <cellStyle name="Dezimal 28 4 2 2" xfId="31532" xr:uid="{00C92ABF-F6CF-48FF-B560-C0907E464A98}"/>
    <cellStyle name="Dezimal 28 4 3" xfId="31531" xr:uid="{8B3516FA-13D9-4270-8F9F-38CF060E12FE}"/>
    <cellStyle name="Dezimal 28 40" xfId="12096" xr:uid="{E56A3BB1-39F6-447E-BD37-05833388AE2F}"/>
    <cellStyle name="Dezimal 28 40 2" xfId="31533" xr:uid="{4AAA11DE-71AF-438F-8159-66A79070D375}"/>
    <cellStyle name="Dezimal 28 41" xfId="31486" xr:uid="{185ABDA8-3C6E-49FE-854F-5BF05D540C7A}"/>
    <cellStyle name="Dezimal 28 42" xfId="42193" xr:uid="{034CC427-5000-41D1-929D-5AE44226E06D}"/>
    <cellStyle name="Dezimal 28 5" xfId="12097" xr:uid="{B5022400-5F2A-4A2E-986A-25C3A16041E3}"/>
    <cellStyle name="Dezimal 28 5 2" xfId="12098" xr:uid="{E04AC25B-D451-4094-BD2B-469EC17E11B3}"/>
    <cellStyle name="Dezimal 28 5 2 2" xfId="31535" xr:uid="{BBB23978-09EC-43B8-AE89-DD46AFB95FD8}"/>
    <cellStyle name="Dezimal 28 5 3" xfId="31534" xr:uid="{2E298226-4ACD-4C3F-AAD6-37509B7DDC5D}"/>
    <cellStyle name="Dezimal 28 6" xfId="12099" xr:uid="{1E6A39A8-1DC3-430C-9D35-E3744CF3A5E7}"/>
    <cellStyle name="Dezimal 28 6 2" xfId="12100" xr:uid="{F99CA730-674D-4A40-9699-0A1DC7020BB3}"/>
    <cellStyle name="Dezimal 28 6 2 2" xfId="31537" xr:uid="{06D374B7-AE54-4F69-84FB-E3ED6BC1A7A3}"/>
    <cellStyle name="Dezimal 28 6 3" xfId="31536" xr:uid="{9D9A0DAB-8744-44E1-A503-E6FD9DE01082}"/>
    <cellStyle name="Dezimal 28 7" xfId="12101" xr:uid="{A9F954F4-EDAE-49D2-87BD-1E3BE5F0213C}"/>
    <cellStyle name="Dezimal 28 7 2" xfId="12102" xr:uid="{A8A7968C-CCD1-4D0C-A0E5-6882879EF105}"/>
    <cellStyle name="Dezimal 28 7 2 2" xfId="31539" xr:uid="{9B91E261-F89F-461C-A092-8958933E98AE}"/>
    <cellStyle name="Dezimal 28 7 3" xfId="31538" xr:uid="{3DF06078-CF11-43F7-82FF-3642034F7F8D}"/>
    <cellStyle name="Dezimal 28 8" xfId="12103" xr:uid="{F4A34537-346F-4CB3-8EF7-359763DCFB51}"/>
    <cellStyle name="Dezimal 28 8 2" xfId="12104" xr:uid="{D2A154C9-796E-4927-A877-8D861204F77F}"/>
    <cellStyle name="Dezimal 28 8 2 2" xfId="31541" xr:uid="{4A5D2A74-A444-44C2-B19D-D6D9A43FE86D}"/>
    <cellStyle name="Dezimal 28 8 3" xfId="31540" xr:uid="{B4CD8214-17FA-454E-9D5D-79B619AA4423}"/>
    <cellStyle name="Dezimal 28 9" xfId="12105" xr:uid="{D8AFDF23-E1A7-49EC-A49D-5AFA77D5CC77}"/>
    <cellStyle name="Dezimal 28 9 2" xfId="12106" xr:uid="{CDEF88C0-E1FC-4F1E-B30D-F414DEA14D98}"/>
    <cellStyle name="Dezimal 28 9 2 2" xfId="31543" xr:uid="{946C13D1-F8B3-4AC3-8D7A-959E6356B6C0}"/>
    <cellStyle name="Dezimal 28 9 3" xfId="31542" xr:uid="{68CC5EB1-BD8E-4332-80F0-84D15201ED1D}"/>
    <cellStyle name="Dezimal 29" xfId="12107" xr:uid="{C0C33CCD-DC5A-47D2-AB5A-FC816D787E8F}"/>
    <cellStyle name="Dezimal 29 10" xfId="12108" xr:uid="{F55A9855-F98E-42B5-AA47-DFF8CD86E904}"/>
    <cellStyle name="Dezimal 29 10 2" xfId="12109" xr:uid="{958E08CF-2EEC-4689-AB27-D1DF4A8CDF77}"/>
    <cellStyle name="Dezimal 29 10 2 2" xfId="31546" xr:uid="{CD15E2A7-3E9F-4385-9457-6491CFB345CE}"/>
    <cellStyle name="Dezimal 29 10 3" xfId="31545" xr:uid="{E4B91D1B-0458-4043-9E66-B0DB9E1268CB}"/>
    <cellStyle name="Dezimal 29 11" xfId="12110" xr:uid="{38E4901C-B979-41F8-90E2-ACC26618FC6C}"/>
    <cellStyle name="Dezimal 29 11 2" xfId="12111" xr:uid="{7BF68EC9-67BA-42D4-BF10-3D3CAE85B4B2}"/>
    <cellStyle name="Dezimal 29 11 2 2" xfId="31548" xr:uid="{1815E9EA-8011-4069-8CD0-E7CEA95E6DC9}"/>
    <cellStyle name="Dezimal 29 11 3" xfId="31547" xr:uid="{57347A8C-2B1F-4459-9D48-BB8B83C500A5}"/>
    <cellStyle name="Dezimal 29 12" xfId="12112" xr:uid="{B819548D-0FB7-426D-8682-4F410E373562}"/>
    <cellStyle name="Dezimal 29 12 2" xfId="12113" xr:uid="{3CF927A5-A796-4D3F-B9EB-492926786AF0}"/>
    <cellStyle name="Dezimal 29 12 2 2" xfId="31550" xr:uid="{01F30B36-DAB4-4AB1-9F70-BF3D992CA47B}"/>
    <cellStyle name="Dezimal 29 12 3" xfId="31549" xr:uid="{DC11341D-0AEF-4993-A01E-22C8C9782C30}"/>
    <cellStyle name="Dezimal 29 13" xfId="12114" xr:uid="{1CC22D02-494F-4081-A0E2-22AE1A47426A}"/>
    <cellStyle name="Dezimal 29 13 2" xfId="12115" xr:uid="{00DFD6BC-62AF-4399-9241-F05105F5D7A5}"/>
    <cellStyle name="Dezimal 29 13 2 2" xfId="31552" xr:uid="{20EDBF6C-C283-49B4-BF21-3EAC74046430}"/>
    <cellStyle name="Dezimal 29 13 3" xfId="31551" xr:uid="{3424130E-B2D5-4E64-9CD4-CA1FC43DFB78}"/>
    <cellStyle name="Dezimal 29 14" xfId="12116" xr:uid="{88954D3E-7042-45A6-93E4-0EAC538E92B0}"/>
    <cellStyle name="Dezimal 29 14 2" xfId="12117" xr:uid="{CA3FBFF8-8E9B-441E-87EF-2B6B7671E943}"/>
    <cellStyle name="Dezimal 29 14 2 2" xfId="31554" xr:uid="{8F0D3FF6-4117-4ED7-B0E3-32A00714AD66}"/>
    <cellStyle name="Dezimal 29 14 3" xfId="31553" xr:uid="{D6955D4C-FC1B-4B6B-BA11-E21D47A79681}"/>
    <cellStyle name="Dezimal 29 15" xfId="12118" xr:uid="{4F0CB2BA-01E4-474A-8B10-6D1645F145DD}"/>
    <cellStyle name="Dezimal 29 15 2" xfId="12119" xr:uid="{42976DC3-D46F-4BFC-A076-72E92C267272}"/>
    <cellStyle name="Dezimal 29 15 2 2" xfId="31556" xr:uid="{A8D78509-D127-483C-BF7A-9684E677237C}"/>
    <cellStyle name="Dezimal 29 15 3" xfId="31555" xr:uid="{24F43674-8D09-4AE9-A4EC-2DB1B3611D0A}"/>
    <cellStyle name="Dezimal 29 16" xfId="12120" xr:uid="{E833C22D-95BE-4EF1-81F8-4506F8F6C546}"/>
    <cellStyle name="Dezimal 29 16 2" xfId="12121" xr:uid="{4174A315-666E-4048-BA03-CC1A6C6DE321}"/>
    <cellStyle name="Dezimal 29 16 2 2" xfId="31558" xr:uid="{B4489D25-FEF1-409C-A44C-F321E2A13D92}"/>
    <cellStyle name="Dezimal 29 16 3" xfId="31557" xr:uid="{20370ECC-DE92-486B-BC16-D1A03E20254D}"/>
    <cellStyle name="Dezimal 29 17" xfId="12122" xr:uid="{A2142FCD-7701-4FFD-995D-F1FD159C716D}"/>
    <cellStyle name="Dezimal 29 17 2" xfId="12123" xr:uid="{38AC4D64-7107-4D5F-B5CE-69EBFEB7ACCA}"/>
    <cellStyle name="Dezimal 29 17 2 2" xfId="31560" xr:uid="{18DAFC8D-0A65-4452-8FD3-2A020A36E9F0}"/>
    <cellStyle name="Dezimal 29 17 3" xfId="31559" xr:uid="{2D604F78-BFA2-491D-88A1-589B4F9541CD}"/>
    <cellStyle name="Dezimal 29 18" xfId="12124" xr:uid="{6F7AFF23-ACD0-4021-BD4E-2A6D163CA9BE}"/>
    <cellStyle name="Dezimal 29 18 2" xfId="12125" xr:uid="{9E6402AB-28A9-408F-8339-E6347BC5B231}"/>
    <cellStyle name="Dezimal 29 18 2 2" xfId="31562" xr:uid="{A260C736-2749-42BE-841E-4B7AFF2C8281}"/>
    <cellStyle name="Dezimal 29 18 3" xfId="31561" xr:uid="{168A6141-970E-4D25-BD36-36EC18EFBC41}"/>
    <cellStyle name="Dezimal 29 19" xfId="12126" xr:uid="{EE288A5F-360B-4FA1-980A-153ED714AECE}"/>
    <cellStyle name="Dezimal 29 19 2" xfId="12127" xr:uid="{7E1B797D-3BBB-4E47-9A29-4EB3309C5B06}"/>
    <cellStyle name="Dezimal 29 19 2 2" xfId="31564" xr:uid="{B1036E30-1307-4CA7-B742-63BDE9269F6D}"/>
    <cellStyle name="Dezimal 29 19 3" xfId="31563" xr:uid="{CD6D114D-6ABC-44C4-BA61-A76CD13861BE}"/>
    <cellStyle name="Dezimal 29 2" xfId="12128" xr:uid="{23C94949-060D-426C-9633-3F645CD91D6C}"/>
    <cellStyle name="Dezimal 29 2 2" xfId="12129" xr:uid="{89800FB8-829E-4555-9D86-FEAB7A83D967}"/>
    <cellStyle name="Dezimal 29 2 2 2" xfId="31566" xr:uid="{B9B0A3A2-F80F-4FF7-958A-5A89511BDD26}"/>
    <cellStyle name="Dezimal 29 2 3" xfId="31565" xr:uid="{46CD4778-FA69-45BE-B645-074FD0433FFC}"/>
    <cellStyle name="Dezimal 29 20" xfId="12130" xr:uid="{C0640FEE-EA5E-45DC-99BA-8A9508C397B8}"/>
    <cellStyle name="Dezimal 29 20 2" xfId="31567" xr:uid="{63507F8E-DC1A-4163-B2D8-C02ABB82322D}"/>
    <cellStyle name="Dezimal 29 21" xfId="12131" xr:uid="{D7BFDEDC-85CE-4A04-8522-04603E9B3478}"/>
    <cellStyle name="Dezimal 29 21 2" xfId="31568" xr:uid="{57F5CAFC-F9A8-468E-98CF-9F8229ABF4FA}"/>
    <cellStyle name="Dezimal 29 22" xfId="12132" xr:uid="{6881B566-76C8-40B6-ACD4-B4928538BB77}"/>
    <cellStyle name="Dezimal 29 22 2" xfId="31569" xr:uid="{9ABF2604-1DED-4F67-A727-AB20A22BB991}"/>
    <cellStyle name="Dezimal 29 23" xfId="12133" xr:uid="{3F43C239-7D5E-4832-AA03-EEFCC23A904B}"/>
    <cellStyle name="Dezimal 29 23 2" xfId="31570" xr:uid="{1D7C68FB-B21C-49A1-973A-CC6C7F513170}"/>
    <cellStyle name="Dezimal 29 24" xfId="12134" xr:uid="{A26B6E46-DD03-4E6B-AEA9-1E8067519511}"/>
    <cellStyle name="Dezimal 29 24 2" xfId="31571" xr:uid="{0206F345-1DBB-40D1-BEA0-B36B4D155E58}"/>
    <cellStyle name="Dezimal 29 25" xfId="12135" xr:uid="{B37B6FC4-6610-494E-AAA0-546B98C44E53}"/>
    <cellStyle name="Dezimal 29 25 2" xfId="31572" xr:uid="{B6E1B11A-0E2E-4857-A212-60DFA46F7EF5}"/>
    <cellStyle name="Dezimal 29 26" xfId="12136" xr:uid="{77757024-9E81-448C-A69F-B27E6F655DE5}"/>
    <cellStyle name="Dezimal 29 26 2" xfId="31573" xr:uid="{C240C7BD-BA99-4F88-91F8-4A19A885BCA2}"/>
    <cellStyle name="Dezimal 29 27" xfId="12137" xr:uid="{567804C8-6942-4E5B-ABA1-A26F38FB8EFF}"/>
    <cellStyle name="Dezimal 29 27 2" xfId="31574" xr:uid="{CE638104-0CD5-48DC-B967-34C803A3E2CC}"/>
    <cellStyle name="Dezimal 29 28" xfId="12138" xr:uid="{FC971E87-3ADC-4154-9246-C05E344DB878}"/>
    <cellStyle name="Dezimal 29 28 2" xfId="31575" xr:uid="{34E6C1B1-F088-4C46-A4D6-F1755A32B55E}"/>
    <cellStyle name="Dezimal 29 29" xfId="12139" xr:uid="{47F14B52-7312-4A6E-AA4F-6402C17CFD9A}"/>
    <cellStyle name="Dezimal 29 29 2" xfId="31576" xr:uid="{ADAB9465-B118-4ED2-89B5-BB19306359CB}"/>
    <cellStyle name="Dezimal 29 3" xfId="12140" xr:uid="{05B14517-8C27-4ABB-9B8C-619C93C2FCFE}"/>
    <cellStyle name="Dezimal 29 3 2" xfId="12141" xr:uid="{37C6124C-5C06-4C37-8AB2-F98CE9F73706}"/>
    <cellStyle name="Dezimal 29 3 2 2" xfId="31578" xr:uid="{66E19769-A343-4AD6-9836-C4F50FF2F8EB}"/>
    <cellStyle name="Dezimal 29 3 3" xfId="31577" xr:uid="{E4F0EAE1-9D4B-4F74-90F4-127EB9B1E52D}"/>
    <cellStyle name="Dezimal 29 30" xfId="12142" xr:uid="{3D8C6DD0-A251-41D7-AFE0-6753BE2633D5}"/>
    <cellStyle name="Dezimal 29 30 2" xfId="31579" xr:uid="{DC485A5A-6FF1-4B78-918F-9F94118C8BDA}"/>
    <cellStyle name="Dezimal 29 31" xfId="12143" xr:uid="{AD6CEC8B-FCA3-443D-9059-405F556BE58B}"/>
    <cellStyle name="Dezimal 29 31 2" xfId="31580" xr:uid="{986DF70C-03FC-4C26-9F8D-CEFCCC853137}"/>
    <cellStyle name="Dezimal 29 32" xfId="12144" xr:uid="{7EAA94B0-17F5-41F4-AB59-E3319C259AB9}"/>
    <cellStyle name="Dezimal 29 32 2" xfId="31581" xr:uid="{8CFA91C9-7D16-44E8-99DE-5CD19FEB4AD4}"/>
    <cellStyle name="Dezimal 29 33" xfId="12145" xr:uid="{FBB87668-B448-4AC0-84D0-C9CBC5D081FD}"/>
    <cellStyle name="Dezimal 29 33 2" xfId="31582" xr:uid="{1ED9950A-AAEB-40DD-AF8D-5B9C8ED7D395}"/>
    <cellStyle name="Dezimal 29 34" xfId="12146" xr:uid="{8030ACF9-6E2D-4468-9EF7-9C7BAD57132C}"/>
    <cellStyle name="Dezimal 29 34 2" xfId="31583" xr:uid="{14DFAA36-89C6-459A-80B2-81D405701E83}"/>
    <cellStyle name="Dezimal 29 35" xfId="12147" xr:uid="{9193E798-DCC0-4D61-A15F-208FEA1DA9FC}"/>
    <cellStyle name="Dezimal 29 35 2" xfId="31584" xr:uid="{9734B395-45FF-48BD-9ED7-CEE857948028}"/>
    <cellStyle name="Dezimal 29 36" xfId="12148" xr:uid="{76D2FE0C-34D9-43DF-832D-66754D3BF82A}"/>
    <cellStyle name="Dezimal 29 36 2" xfId="31585" xr:uid="{382816B0-3CFC-4847-82FF-8CF86F374931}"/>
    <cellStyle name="Dezimal 29 37" xfId="12149" xr:uid="{76D90714-E127-4CE7-9BB5-C82726380C48}"/>
    <cellStyle name="Dezimal 29 37 2" xfId="31586" xr:uid="{0AA7DC2E-69CF-40A2-8B25-76B9825D0F0F}"/>
    <cellStyle name="Dezimal 29 38" xfId="12150" xr:uid="{23A40DBA-7D9C-4B0D-AFAE-438ED4AD122E}"/>
    <cellStyle name="Dezimal 29 38 2" xfId="31587" xr:uid="{ACBB48E4-A17D-49D9-9F7A-9F8230302D44}"/>
    <cellStyle name="Dezimal 29 39" xfId="12151" xr:uid="{B6981594-6659-41A7-A7CD-ED01480ADB47}"/>
    <cellStyle name="Dezimal 29 39 2" xfId="31588" xr:uid="{9B87529C-1A07-42DA-AF56-3E4EAA5D181C}"/>
    <cellStyle name="Dezimal 29 4" xfId="12152" xr:uid="{DE32095B-6F9B-44DC-9056-A2BC6FF32F03}"/>
    <cellStyle name="Dezimal 29 4 2" xfId="12153" xr:uid="{0C1D9746-5A64-4F2E-B875-5D9E52A3B990}"/>
    <cellStyle name="Dezimal 29 4 2 2" xfId="31590" xr:uid="{AD0E769E-C8D9-4245-9D7B-F18B8D625A08}"/>
    <cellStyle name="Dezimal 29 4 3" xfId="31589" xr:uid="{E9F7FE9C-D8C9-44E6-9C44-B6DD9F2E8924}"/>
    <cellStyle name="Dezimal 29 40" xfId="12154" xr:uid="{F91DD612-5A50-4FD9-8A64-86A5D9C6FA0D}"/>
    <cellStyle name="Dezimal 29 40 2" xfId="31591" xr:uid="{0E50EC9D-815B-4E2C-A9F9-97D52E59629B}"/>
    <cellStyle name="Dezimal 29 41" xfId="31544" xr:uid="{DDDA9822-321E-4B7C-B05B-F281C08D805D}"/>
    <cellStyle name="Dezimal 29 42" xfId="42168" xr:uid="{44F2314D-1A57-4A36-8F6C-422B8DA94942}"/>
    <cellStyle name="Dezimal 29 5" xfId="12155" xr:uid="{24EDA6B2-4F81-49FC-AFDA-93F4AC37AF6A}"/>
    <cellStyle name="Dezimal 29 5 2" xfId="12156" xr:uid="{E7502D2E-D579-433F-A96C-4C371FC448B6}"/>
    <cellStyle name="Dezimal 29 5 2 2" xfId="31593" xr:uid="{33EC4AC8-5336-4EBC-8C94-0FCDA3BDAC74}"/>
    <cellStyle name="Dezimal 29 5 3" xfId="31592" xr:uid="{F5EF30BB-7719-4F3B-8C86-33A0471F38F1}"/>
    <cellStyle name="Dezimal 29 6" xfId="12157" xr:uid="{1F87209E-C03A-4823-A029-346866F5F105}"/>
    <cellStyle name="Dezimal 29 6 2" xfId="12158" xr:uid="{6A469385-57D6-4650-99B0-626C59C4DC34}"/>
    <cellStyle name="Dezimal 29 6 2 2" xfId="31595" xr:uid="{C888275C-1E4C-4FD5-8A37-8CD248926FC5}"/>
    <cellStyle name="Dezimal 29 6 3" xfId="31594" xr:uid="{1094E3FD-251D-4A4F-982A-FBFEF1C931D7}"/>
    <cellStyle name="Dezimal 29 7" xfId="12159" xr:uid="{0750B285-D303-490C-9304-DE2CB5DE85F5}"/>
    <cellStyle name="Dezimal 29 7 2" xfId="12160" xr:uid="{9420BC8A-E533-431A-8793-99CFE84D1665}"/>
    <cellStyle name="Dezimal 29 7 2 2" xfId="31597" xr:uid="{53A90666-9A03-4BB3-B0A6-90338A936B9C}"/>
    <cellStyle name="Dezimal 29 7 3" xfId="31596" xr:uid="{3A339984-0B7E-4995-9F35-EE4FE2D9708D}"/>
    <cellStyle name="Dezimal 29 8" xfId="12161" xr:uid="{29758E2A-0F82-425F-8F7B-644C3499A148}"/>
    <cellStyle name="Dezimal 29 8 2" xfId="12162" xr:uid="{287A1C57-0A63-4D4D-97D0-5E3B372EC3BC}"/>
    <cellStyle name="Dezimal 29 8 2 2" xfId="31599" xr:uid="{7930F2A8-4F76-4EB9-B89D-6D15EBBEF1D5}"/>
    <cellStyle name="Dezimal 29 8 3" xfId="31598" xr:uid="{52BD7E00-8E25-4DB5-BE14-D78CF0A68DC1}"/>
    <cellStyle name="Dezimal 29 9" xfId="12163" xr:uid="{273078FA-2890-49C9-B0FA-5AB402B5DFFC}"/>
    <cellStyle name="Dezimal 29 9 2" xfId="12164" xr:uid="{B684E822-5E32-45A8-8043-83711C95B54E}"/>
    <cellStyle name="Dezimal 29 9 2 2" xfId="31601" xr:uid="{50F37B15-FE31-4E63-A238-B42B5A24D9E8}"/>
    <cellStyle name="Dezimal 29 9 3" xfId="31600" xr:uid="{F9C6208E-F3A9-4C78-BE6D-CEF0E15C7056}"/>
    <cellStyle name="Dezimal 3" xfId="12165" xr:uid="{03059726-FC2F-4140-A531-C190DB9F7AF6}"/>
    <cellStyle name="Dezimal 3 10" xfId="12166" xr:uid="{F235D178-0DE5-408C-8111-DC9201C06273}"/>
    <cellStyle name="Dezimal 3 10 10" xfId="12167" xr:uid="{4ABE32C5-4DB9-4C10-9977-F6C56064E345}"/>
    <cellStyle name="Dezimal 3 10 10 2" xfId="31604" xr:uid="{79872243-E39C-4B4C-A8A2-164490C23C6F}"/>
    <cellStyle name="Dezimal 3 10 11" xfId="12168" xr:uid="{3EA2D86D-097C-4A91-90B4-89DDE12A3014}"/>
    <cellStyle name="Dezimal 3 10 11 2" xfId="31605" xr:uid="{C3104CA8-4DD6-476A-804F-B0849FE36614}"/>
    <cellStyle name="Dezimal 3 10 12" xfId="31603" xr:uid="{CC341639-C652-4949-9FB8-0F60BAB1BBB1}"/>
    <cellStyle name="Dezimal 3 10 2" xfId="12169" xr:uid="{B7CC6BA0-D5CC-4B7F-85CE-59F347F19667}"/>
    <cellStyle name="Dezimal 3 10 2 2" xfId="31606" xr:uid="{556C9FDE-5413-40B8-9CE7-618D374D51FC}"/>
    <cellStyle name="Dezimal 3 10 3" xfId="12170" xr:uid="{A64EA805-A9DD-46E8-A1F1-2A18E4A1214D}"/>
    <cellStyle name="Dezimal 3 10 3 2" xfId="31607" xr:uid="{346DC5F7-1574-4D17-9209-C64AC53101D5}"/>
    <cellStyle name="Dezimal 3 10 4" xfId="12171" xr:uid="{9360C851-31F4-4EB9-ABA9-7E4B4CFE2D4C}"/>
    <cellStyle name="Dezimal 3 10 4 2" xfId="31608" xr:uid="{A2119B55-D7AD-4917-9AED-133F10CFA04B}"/>
    <cellStyle name="Dezimal 3 10 5" xfId="12172" xr:uid="{621A4AFF-53B5-46BD-9FA2-7017C148C9CF}"/>
    <cellStyle name="Dezimal 3 10 5 2" xfId="31609" xr:uid="{11A2B1CB-C910-42A4-BAF1-DEB5B2BDFEE4}"/>
    <cellStyle name="Dezimal 3 10 6" xfId="12173" xr:uid="{D60198E6-FDA2-4AB1-9C42-BA3C26B92353}"/>
    <cellStyle name="Dezimal 3 10 6 2" xfId="31610" xr:uid="{ACD8E034-DDB4-4D11-99D0-F15511D11120}"/>
    <cellStyle name="Dezimal 3 10 7" xfId="12174" xr:uid="{98583B1F-34F1-440D-B3E1-933BB3003E26}"/>
    <cellStyle name="Dezimal 3 10 7 2" xfId="31611" xr:uid="{6A9B00B0-B7D7-43E3-8B08-5FDB5FDA2BD7}"/>
    <cellStyle name="Dezimal 3 10 8" xfId="12175" xr:uid="{77684DC5-0DDE-486C-B573-E7D7F52FF472}"/>
    <cellStyle name="Dezimal 3 10 8 2" xfId="31612" xr:uid="{D74FEAA4-BC05-4492-8922-E5AFFF016801}"/>
    <cellStyle name="Dezimal 3 10 9" xfId="12176" xr:uid="{204EF549-58DF-4576-9744-88EA1EA6F0CF}"/>
    <cellStyle name="Dezimal 3 10 9 2" xfId="31613" xr:uid="{1954D921-12E3-4478-84E7-045EC5C9DC06}"/>
    <cellStyle name="Dezimal 3 11" xfId="12177" xr:uid="{8BC98A19-B93A-4B7F-A30D-9C5A7F9F3CD9}"/>
    <cellStyle name="Dezimal 3 11 2" xfId="12178" xr:uid="{62910F9A-AE7F-4A68-AC2C-12657C7EF275}"/>
    <cellStyle name="Dezimal 3 11 2 2" xfId="31615" xr:uid="{C002DB5D-689A-4BD7-BCBD-67445DD4A910}"/>
    <cellStyle name="Dezimal 3 11 3" xfId="31614" xr:uid="{5DD95285-BEF9-4155-BB87-C4BF031A5F60}"/>
    <cellStyle name="Dezimal 3 12" xfId="12179" xr:uid="{8CD52B3F-0A3D-4472-8B69-1B4E47B268FC}"/>
    <cellStyle name="Dezimal 3 12 2" xfId="12180" xr:uid="{FF9A7654-8A9A-4594-B12B-3B347CE87296}"/>
    <cellStyle name="Dezimal 3 12 2 2" xfId="31617" xr:uid="{DD79DA41-68FE-41DF-A033-9F25551A848C}"/>
    <cellStyle name="Dezimal 3 12 3" xfId="31616" xr:uid="{96945DFC-96AB-400C-83E5-C35B5474763D}"/>
    <cellStyle name="Dezimal 3 13" xfId="12181" xr:uid="{56BBB7FA-9A46-4A0C-B0BC-E8A8A9B05950}"/>
    <cellStyle name="Dezimal 3 13 2" xfId="12182" xr:uid="{95C62AFE-7C42-40A0-B40D-E3102B55DEDD}"/>
    <cellStyle name="Dezimal 3 13 2 2" xfId="31619" xr:uid="{C48B506D-A370-4AAE-8180-3ECC7FD492EE}"/>
    <cellStyle name="Dezimal 3 13 3" xfId="31618" xr:uid="{367C9C7B-3CF9-4AC7-8FA2-CEF805932989}"/>
    <cellStyle name="Dezimal 3 14" xfId="12183" xr:uid="{35E2AD82-B9C7-454C-BC9D-9678487BC3DD}"/>
    <cellStyle name="Dezimal 3 14 2" xfId="12184" xr:uid="{E3516583-9B66-4D29-B8DC-59486ED8F3E6}"/>
    <cellStyle name="Dezimal 3 14 2 2" xfId="31621" xr:uid="{AA2B537E-804D-433E-A089-B36E291D36A5}"/>
    <cellStyle name="Dezimal 3 14 3" xfId="31620" xr:uid="{5D9DFAD8-C03D-4708-855A-AD3F49C14460}"/>
    <cellStyle name="Dezimal 3 15" xfId="12185" xr:uid="{69597341-C3DA-48EF-A462-C089D7C0EC89}"/>
    <cellStyle name="Dezimal 3 15 2" xfId="12186" xr:uid="{0BE05AE5-4923-41C3-8C8A-1F7BB433AEBA}"/>
    <cellStyle name="Dezimal 3 15 2 2" xfId="31623" xr:uid="{AF981562-D4B3-4312-B41C-7F9929AA48C8}"/>
    <cellStyle name="Dezimal 3 15 3" xfId="31622" xr:uid="{DAF8FC45-C588-468E-892A-7A47DA29B25C}"/>
    <cellStyle name="Dezimal 3 16" xfId="12187" xr:uid="{95370798-38C9-472A-8ADD-29F88A19DE53}"/>
    <cellStyle name="Dezimal 3 16 2" xfId="12188" xr:uid="{830A3E7F-E7C2-4B51-AA4C-B19B4EF62F5C}"/>
    <cellStyle name="Dezimal 3 16 2 2" xfId="31625" xr:uid="{7CC77434-A8FD-4438-AF3D-135DEB489977}"/>
    <cellStyle name="Dezimal 3 16 3" xfId="31624" xr:uid="{89F392A7-7639-4F39-AC0D-12301B4D8C15}"/>
    <cellStyle name="Dezimal 3 17" xfId="12189" xr:uid="{DE9A0928-AE9A-4850-830D-26B930A8F563}"/>
    <cellStyle name="Dezimal 3 17 2" xfId="12190" xr:uid="{E32D0C65-EA72-4F58-B06B-1B647128BDD3}"/>
    <cellStyle name="Dezimal 3 17 2 2" xfId="31627" xr:uid="{22BDE3D6-81D7-434D-B315-1E3505BF3159}"/>
    <cellStyle name="Dezimal 3 17 3" xfId="31626" xr:uid="{AEA219E6-CA2E-42AF-A9A9-BB201F471FCC}"/>
    <cellStyle name="Dezimal 3 18" xfId="12191" xr:uid="{E8443764-7424-44D3-9899-0E502A372F9E}"/>
    <cellStyle name="Dezimal 3 18 2" xfId="12192" xr:uid="{1759D0EA-673E-46A8-A060-2A0B3C90C5B6}"/>
    <cellStyle name="Dezimal 3 18 2 2" xfId="31629" xr:uid="{B596FBED-65F6-4202-8D49-B43417137D14}"/>
    <cellStyle name="Dezimal 3 18 3" xfId="31628" xr:uid="{A69DD278-460B-4533-B00B-4A5A821E8566}"/>
    <cellStyle name="Dezimal 3 19" xfId="12193" xr:uid="{B00F93AD-9965-41E9-BC40-32481615B4E3}"/>
    <cellStyle name="Dezimal 3 19 2" xfId="12194" xr:uid="{BB303375-9578-4D32-A919-72E4BEE7F792}"/>
    <cellStyle name="Dezimal 3 19 2 2" xfId="31631" xr:uid="{91BC952D-3756-414C-A5C3-0C752CF571AB}"/>
    <cellStyle name="Dezimal 3 19 3" xfId="31630" xr:uid="{C5056408-E71A-45A7-AA6F-10F6911AE99D}"/>
    <cellStyle name="Dezimal 3 2" xfId="12195" xr:uid="{E9BFE730-D60E-4845-9538-9129E35E4A06}"/>
    <cellStyle name="Dezimal 3 2 10" xfId="12196" xr:uid="{63A01B6C-AFF3-4CE4-BAC6-6E403CE7CD2C}"/>
    <cellStyle name="Dezimal 3 2 10 2" xfId="31633" xr:uid="{1B5010C8-F62A-4A97-9257-6269235D0124}"/>
    <cellStyle name="Dezimal 3 2 11" xfId="12197" xr:uid="{01EE39C9-08E5-41F2-8BA8-3FCF98ECE908}"/>
    <cellStyle name="Dezimal 3 2 11 2" xfId="31634" xr:uid="{604D5E93-A0B2-4E9A-87DD-002E113DED35}"/>
    <cellStyle name="Dezimal 3 2 12" xfId="31632" xr:uid="{A953276E-DA57-46A6-9510-967865F984AD}"/>
    <cellStyle name="Dezimal 3 2 13" xfId="39424" xr:uid="{A20B1367-6917-4D88-91AB-3F57D07DFA65}"/>
    <cellStyle name="Dezimal 3 2 2" xfId="12198" xr:uid="{8B86E61E-E7AE-4186-B18A-755C7FB758E1}"/>
    <cellStyle name="Dezimal 3 2 2 2" xfId="31635" xr:uid="{0F54CFBF-B3DE-4640-998F-61513ED3C9AD}"/>
    <cellStyle name="Dezimal 3 2 3" xfId="12199" xr:uid="{1C9234AB-87D7-4C82-858B-51AA5EDC94C3}"/>
    <cellStyle name="Dezimal 3 2 3 2" xfId="31636" xr:uid="{A942C042-C5FA-40BF-8FD5-583286968829}"/>
    <cellStyle name="Dezimal 3 2 4" xfId="12200" xr:uid="{9F2A43A2-E8ED-445F-93B9-01D84640FC31}"/>
    <cellStyle name="Dezimal 3 2 4 2" xfId="31637" xr:uid="{207B79A9-09E6-4962-85FD-73E99AA98E41}"/>
    <cellStyle name="Dezimal 3 2 5" xfId="12201" xr:uid="{5AE17019-7423-473D-8DFA-BA330F8095A0}"/>
    <cellStyle name="Dezimal 3 2 5 2" xfId="31638" xr:uid="{9607B80F-5E11-4D98-8858-0D995F7D08A7}"/>
    <cellStyle name="Dezimal 3 2 6" xfId="12202" xr:uid="{324D615C-7853-4450-AC3E-6D8ADF6666A7}"/>
    <cellStyle name="Dezimal 3 2 6 2" xfId="31639" xr:uid="{31DBA5F7-38F2-4DEF-A537-710AF67271BF}"/>
    <cellStyle name="Dezimal 3 2 7" xfId="12203" xr:uid="{1C6F9485-B28D-4239-BDEC-6D6DC18F11FB}"/>
    <cellStyle name="Dezimal 3 2 7 2" xfId="31640" xr:uid="{5F846FF6-3A83-4361-B3F7-59FBB0C0308E}"/>
    <cellStyle name="Dezimal 3 2 8" xfId="12204" xr:uid="{D414BF04-3929-4945-951F-F9E30B331F78}"/>
    <cellStyle name="Dezimal 3 2 8 2" xfId="31641" xr:uid="{32E24FF3-1476-4889-9AB5-BF453F4F11D3}"/>
    <cellStyle name="Dezimal 3 2 9" xfId="12205" xr:uid="{9F1D28BA-8412-41C3-88C8-CD5309548CC9}"/>
    <cellStyle name="Dezimal 3 2 9 2" xfId="31642" xr:uid="{6B97BD31-F047-4AED-B67F-55F6D3224058}"/>
    <cellStyle name="Dezimal 3 20" xfId="12206" xr:uid="{B3378FB3-8E38-4873-865F-6934E6D2C05E}"/>
    <cellStyle name="Dezimal 3 20 2" xfId="12207" xr:uid="{96BD7A12-FAF4-4627-AA3A-A7C895C3873C}"/>
    <cellStyle name="Dezimal 3 20 2 2" xfId="31644" xr:uid="{B16D5206-4D02-4500-B930-F8AB7A5513CC}"/>
    <cellStyle name="Dezimal 3 20 3" xfId="31643" xr:uid="{B246540E-72E7-4331-93A8-23AA56E191B8}"/>
    <cellStyle name="Dezimal 3 21" xfId="12208" xr:uid="{0CB4B027-C5CB-46FE-BC84-B5D4B31BFB80}"/>
    <cellStyle name="Dezimal 3 21 2" xfId="12209" xr:uid="{01885643-2D9C-4E9E-8AF4-8F6769FF6917}"/>
    <cellStyle name="Dezimal 3 21 2 2" xfId="31646" xr:uid="{50D83C20-24C0-47D7-B92E-7C992680A123}"/>
    <cellStyle name="Dezimal 3 21 3" xfId="31645" xr:uid="{4A095238-4247-49E7-8B49-C1B4573B0823}"/>
    <cellStyle name="Dezimal 3 22" xfId="12210" xr:uid="{7DBFD526-AD68-4071-B74F-0F64C3D05C61}"/>
    <cellStyle name="Dezimal 3 22 2" xfId="12211" xr:uid="{D8C63A9E-7E9F-48C7-AB0F-BFEA9DDC18DC}"/>
    <cellStyle name="Dezimal 3 22 2 2" xfId="31648" xr:uid="{1D568A36-AF33-4178-B664-E861EEFBAE0A}"/>
    <cellStyle name="Dezimal 3 22 3" xfId="31647" xr:uid="{0455252F-2A4D-4444-B32F-04C6C21C36FF}"/>
    <cellStyle name="Dezimal 3 23" xfId="12212" xr:uid="{44007439-61B3-445B-B0F9-E989A3E50F35}"/>
    <cellStyle name="Dezimal 3 23 2" xfId="12213" xr:uid="{1952542B-C344-42D9-8918-81109E45774F}"/>
    <cellStyle name="Dezimal 3 23 2 2" xfId="31650" xr:uid="{EEF69AB7-A04C-40B0-81B9-6078DA4BFA0A}"/>
    <cellStyle name="Dezimal 3 23 3" xfId="31649" xr:uid="{CAD1B410-9683-4C23-942E-047B443C5EC8}"/>
    <cellStyle name="Dezimal 3 24" xfId="12214" xr:uid="{23AACCFA-F6C0-4C08-9B8A-BA9DD65C49EF}"/>
    <cellStyle name="Dezimal 3 24 2" xfId="12215" xr:uid="{F4ED11BC-BAAD-4F2C-969B-848D055C89F6}"/>
    <cellStyle name="Dezimal 3 24 2 2" xfId="31652" xr:uid="{877D805E-40DD-4551-AF0E-9D1532D4E80F}"/>
    <cellStyle name="Dezimal 3 24 3" xfId="31651" xr:uid="{2C18A9E2-363E-4263-8462-E12A47821E17}"/>
    <cellStyle name="Dezimal 3 25" xfId="12216" xr:uid="{B081516F-C479-4CEB-BDC0-FA1BE8B13247}"/>
    <cellStyle name="Dezimal 3 25 2" xfId="12217" xr:uid="{A47B0B69-41AB-43D4-BE6C-A87EAFE90C2D}"/>
    <cellStyle name="Dezimal 3 25 2 2" xfId="31654" xr:uid="{50698F10-10A0-4A21-8BAB-E045BF1B1AD1}"/>
    <cellStyle name="Dezimal 3 25 3" xfId="31653" xr:uid="{9203915A-4619-4CDF-9D2D-B6674AFFB8C1}"/>
    <cellStyle name="Dezimal 3 26" xfId="12218" xr:uid="{8F08A94E-6B1C-4958-8FD5-5DF3D5EBC550}"/>
    <cellStyle name="Dezimal 3 26 2" xfId="12219" xr:uid="{D7DAD3DC-6573-408F-98EB-D04F6FF986E6}"/>
    <cellStyle name="Dezimal 3 26 2 2" xfId="31656" xr:uid="{9B78D52B-89F7-4B95-B1FB-E460D92CF485}"/>
    <cellStyle name="Dezimal 3 26 3" xfId="31655" xr:uid="{9FB91CFA-ADB7-4498-BB4A-729B37AA8399}"/>
    <cellStyle name="Dezimal 3 27" xfId="12220" xr:uid="{4380CD43-ADAB-4A4A-9607-08D3131A1220}"/>
    <cellStyle name="Dezimal 3 27 2" xfId="12221" xr:uid="{E0764D6B-0E55-41D3-AE49-BD22C3285366}"/>
    <cellStyle name="Dezimal 3 27 2 2" xfId="31658" xr:uid="{20AACB6B-49D9-4612-B07F-EBF4CDECCDC3}"/>
    <cellStyle name="Dezimal 3 27 3" xfId="31657" xr:uid="{C75BDE0E-6FE9-4B25-A304-6261A4C16F6A}"/>
    <cellStyle name="Dezimal 3 28" xfId="12222" xr:uid="{BB05AF2D-646C-4A7E-8C87-6707D1C99436}"/>
    <cellStyle name="Dezimal 3 28 2" xfId="12223" xr:uid="{D25C7AB9-9DE7-4D4D-AB02-65ABE7CE7F03}"/>
    <cellStyle name="Dezimal 3 28 2 2" xfId="31660" xr:uid="{6E4A217B-C00F-4507-AD7E-A9D916C82191}"/>
    <cellStyle name="Dezimal 3 28 3" xfId="31659" xr:uid="{FBB79610-C83E-4139-92D8-07A4139EA15C}"/>
    <cellStyle name="Dezimal 3 29" xfId="12224" xr:uid="{533748D5-8514-4493-BF9E-21F6AAA69BE2}"/>
    <cellStyle name="Dezimal 3 29 2" xfId="31661" xr:uid="{B3D7AA7D-2BEE-417F-8F5E-4A0EE303FEA0}"/>
    <cellStyle name="Dezimal 3 3" xfId="12225" xr:uid="{722D8EC3-29FF-414E-8CEB-6B1AA6FBAF17}"/>
    <cellStyle name="Dezimal 3 3 10" xfId="12226" xr:uid="{12686EE3-541D-4396-8AA1-F1EAE3FC97B3}"/>
    <cellStyle name="Dezimal 3 3 10 2" xfId="31663" xr:uid="{93E4634D-3AD9-4530-88BF-C924964F5675}"/>
    <cellStyle name="Dezimal 3 3 11" xfId="12227" xr:uid="{FBFA8779-EC1E-4D56-AEF7-A4D74B08F54F}"/>
    <cellStyle name="Dezimal 3 3 11 2" xfId="31664" xr:uid="{A3174C33-F9D2-4275-9370-86D260A5E48A}"/>
    <cellStyle name="Dezimal 3 3 12" xfId="31662" xr:uid="{4C36B615-DF45-4FEC-B83B-5533C6404066}"/>
    <cellStyle name="Dezimal 3 3 13" xfId="39425" xr:uid="{F7D21003-2C29-4A72-8770-2F8D1893BC45}"/>
    <cellStyle name="Dezimal 3 3 2" xfId="12228" xr:uid="{1BC9DF37-1C16-463F-A831-D1176C2F8548}"/>
    <cellStyle name="Dezimal 3 3 2 2" xfId="31665" xr:uid="{B71A6F0C-236A-4905-9F17-7C6B0E05EF50}"/>
    <cellStyle name="Dezimal 3 3 3" xfId="12229" xr:uid="{49A707B4-36F1-4A88-A33D-573DB10031EC}"/>
    <cellStyle name="Dezimal 3 3 3 2" xfId="31666" xr:uid="{F11EEE50-3E12-4982-AC68-E33E5BAC9C18}"/>
    <cellStyle name="Dezimal 3 3 4" xfId="12230" xr:uid="{83ED4302-DEF3-41FF-AB2D-4AA4D8DB035F}"/>
    <cellStyle name="Dezimal 3 3 4 2" xfId="31667" xr:uid="{9C1B8BFA-6680-41FF-97A5-C6EB9C6F2F4A}"/>
    <cellStyle name="Dezimal 3 3 5" xfId="12231" xr:uid="{EA72F960-D5D1-468E-94B6-438A54FC8C04}"/>
    <cellStyle name="Dezimal 3 3 5 2" xfId="31668" xr:uid="{8DB9E454-6EBD-4D9A-9718-6D60CA9253C0}"/>
    <cellStyle name="Dezimal 3 3 6" xfId="12232" xr:uid="{B85FE6DF-C205-40A2-90B9-30053109189A}"/>
    <cellStyle name="Dezimal 3 3 6 2" xfId="31669" xr:uid="{D4A2B8B8-66CA-410B-88CD-03DB67219BE5}"/>
    <cellStyle name="Dezimal 3 3 7" xfId="12233" xr:uid="{71177802-D7B4-4382-A9BA-626DD4B7751F}"/>
    <cellStyle name="Dezimal 3 3 7 2" xfId="31670" xr:uid="{B9A89C6B-E286-4539-AE98-EC6A52765AD7}"/>
    <cellStyle name="Dezimal 3 3 8" xfId="12234" xr:uid="{B0CF387A-EBBB-4E6C-80EE-A1EFDAFFB7E3}"/>
    <cellStyle name="Dezimal 3 3 8 2" xfId="31671" xr:uid="{7F8DF960-09E8-4649-8B04-CEB9578DE87D}"/>
    <cellStyle name="Dezimal 3 3 9" xfId="12235" xr:uid="{DA413DCD-783D-4976-8CCC-FCFAB480C78D}"/>
    <cellStyle name="Dezimal 3 3 9 2" xfId="31672" xr:uid="{BD63A9CA-5E90-4A49-BDC8-02E5BFEDE041}"/>
    <cellStyle name="Dezimal 3 30" xfId="31602" xr:uid="{C86565AA-258C-407C-B940-88630CF60B99}"/>
    <cellStyle name="Dezimal 3 31" xfId="39417" xr:uid="{04420F92-5112-4CFA-9450-D83002E95104}"/>
    <cellStyle name="Dezimal 3 4" xfId="12236" xr:uid="{6904B36D-0D5D-4EDE-812E-51D5CB170955}"/>
    <cellStyle name="Dezimal 3 4 10" xfId="12237" xr:uid="{AF410BAC-0F97-4B02-A1A5-7B9125B24252}"/>
    <cellStyle name="Dezimal 3 4 10 2" xfId="31674" xr:uid="{3BA2EF4C-2996-48EA-981D-ACE20B966C31}"/>
    <cellStyle name="Dezimal 3 4 11" xfId="12238" xr:uid="{B5226FD3-B381-40B5-BF44-34EE32A393B4}"/>
    <cellStyle name="Dezimal 3 4 11 2" xfId="31675" xr:uid="{691B3F65-E9EF-47F5-8433-2972D2325F31}"/>
    <cellStyle name="Dezimal 3 4 12" xfId="31673" xr:uid="{2FBC128D-9B95-441B-9B33-1B5C60F7B0F1}"/>
    <cellStyle name="Dezimal 3 4 13" xfId="42192" xr:uid="{1E95EBE1-D955-4558-A726-258D488944C0}"/>
    <cellStyle name="Dezimal 3 4 2" xfId="12239" xr:uid="{1D74C77F-3C64-4EBB-BC08-68DF542AF157}"/>
    <cellStyle name="Dezimal 3 4 2 2" xfId="31676" xr:uid="{AA881D67-176F-45A0-8DB5-7B1BBD79C16B}"/>
    <cellStyle name="Dezimal 3 4 3" xfId="12240" xr:uid="{8569ECA5-6DEF-4F9A-9900-3A1BF7C9AAC7}"/>
    <cellStyle name="Dezimal 3 4 3 2" xfId="31677" xr:uid="{B66D0417-490A-450C-85E2-E20DFEA7FF6F}"/>
    <cellStyle name="Dezimal 3 4 4" xfId="12241" xr:uid="{F08ACF6F-0550-4CD9-A565-3C28512280F0}"/>
    <cellStyle name="Dezimal 3 4 4 2" xfId="31678" xr:uid="{DD7B41E3-FDEB-4A61-A248-26516A64C47E}"/>
    <cellStyle name="Dezimal 3 4 5" xfId="12242" xr:uid="{E4231986-7C54-4E5C-A7E2-09D48F04CB90}"/>
    <cellStyle name="Dezimal 3 4 5 2" xfId="31679" xr:uid="{1175F8FF-E86F-4960-90FA-EA83A9B515D5}"/>
    <cellStyle name="Dezimal 3 4 6" xfId="12243" xr:uid="{EF39CF83-176C-42B5-9B80-9FABCA5B9E76}"/>
    <cellStyle name="Dezimal 3 4 6 2" xfId="31680" xr:uid="{3AFAAD48-6F31-4B78-8BEF-392BF18B9381}"/>
    <cellStyle name="Dezimal 3 4 7" xfId="12244" xr:uid="{F32C7D0F-B989-44B2-9BC9-38254C3E293E}"/>
    <cellStyle name="Dezimal 3 4 7 2" xfId="31681" xr:uid="{5A828A6A-C5CA-4EF9-AB84-7A74B8A0680F}"/>
    <cellStyle name="Dezimal 3 4 8" xfId="12245" xr:uid="{41D8C193-D8C7-4F50-BABC-60C9E1BC7078}"/>
    <cellStyle name="Dezimal 3 4 8 2" xfId="31682" xr:uid="{CCDEFD3C-56EE-448F-8180-E2D11960C465}"/>
    <cellStyle name="Dezimal 3 4 9" xfId="12246" xr:uid="{109FAC7A-BD4F-402D-89FE-D2B7BED96EAA}"/>
    <cellStyle name="Dezimal 3 4 9 2" xfId="31683" xr:uid="{8F5DD848-5006-4D3D-99AA-055CC5452D16}"/>
    <cellStyle name="Dezimal 3 5" xfId="12247" xr:uid="{C9FA6A38-6E2E-49F3-9118-874C43179028}"/>
    <cellStyle name="Dezimal 3 5 10" xfId="12248" xr:uid="{A6B2C9B7-53BB-47F7-BD12-72EC0AE2924D}"/>
    <cellStyle name="Dezimal 3 5 10 2" xfId="31685" xr:uid="{5A8B42F5-CBE6-4576-8ABB-3828ABB001AE}"/>
    <cellStyle name="Dezimal 3 5 11" xfId="12249" xr:uid="{344FF1AF-D2C5-43CF-AC03-96D8AB9132D6}"/>
    <cellStyle name="Dezimal 3 5 11 2" xfId="31686" xr:uid="{879B3EAE-82B8-466D-ADFE-079AF2855680}"/>
    <cellStyle name="Dezimal 3 5 12" xfId="31684" xr:uid="{17357BC7-116E-4D0B-A749-B3C396478B8F}"/>
    <cellStyle name="Dezimal 3 5 2" xfId="12250" xr:uid="{B4B224C6-E035-4003-9B48-45A2F0427693}"/>
    <cellStyle name="Dezimal 3 5 2 2" xfId="31687" xr:uid="{05293321-92A3-4A53-9006-7FE1CDE63FE0}"/>
    <cellStyle name="Dezimal 3 5 3" xfId="12251" xr:uid="{2F23BC66-9BA4-44C3-9130-E1D0BB7E300A}"/>
    <cellStyle name="Dezimal 3 5 3 2" xfId="31688" xr:uid="{6DCAF92C-002F-4F46-A2E0-E1AB85654F9F}"/>
    <cellStyle name="Dezimal 3 5 4" xfId="12252" xr:uid="{A5C3050F-D48B-454F-9A4A-A3B6369C18C4}"/>
    <cellStyle name="Dezimal 3 5 4 2" xfId="31689" xr:uid="{07C634F7-4C7E-4A10-9F7C-9A5EF22E0439}"/>
    <cellStyle name="Dezimal 3 5 5" xfId="12253" xr:uid="{27E88660-BC8E-449C-8EA1-0A5F6D1CB9C4}"/>
    <cellStyle name="Dezimal 3 5 5 2" xfId="31690" xr:uid="{963F21CE-A794-4CB7-B580-104320F51828}"/>
    <cellStyle name="Dezimal 3 5 6" xfId="12254" xr:uid="{DA7F2789-F1DC-4F6A-A021-F92518B41141}"/>
    <cellStyle name="Dezimal 3 5 6 2" xfId="31691" xr:uid="{4B8A0D0B-15CB-48C6-B86B-9F378CCB86DC}"/>
    <cellStyle name="Dezimal 3 5 7" xfId="12255" xr:uid="{33533697-5509-44EC-98B8-2A732AE5B908}"/>
    <cellStyle name="Dezimal 3 5 7 2" xfId="31692" xr:uid="{98B38365-3BF4-44FE-AD86-3D6FDFB9977B}"/>
    <cellStyle name="Dezimal 3 5 8" xfId="12256" xr:uid="{612897EB-C57F-46C8-A769-3539BFF87DC2}"/>
    <cellStyle name="Dezimal 3 5 8 2" xfId="31693" xr:uid="{DD030900-C844-4181-A04A-2B515017C89C}"/>
    <cellStyle name="Dezimal 3 5 9" xfId="12257" xr:uid="{A573965C-53FF-4157-9357-CE34B0F6CEE2}"/>
    <cellStyle name="Dezimal 3 5 9 2" xfId="31694" xr:uid="{38A4CFDC-8DD0-40F2-A50C-2CA9B1CFD39A}"/>
    <cellStyle name="Dezimal 3 6" xfId="12258" xr:uid="{B6E9CFD6-36C5-4A08-88AD-3090F0541C18}"/>
    <cellStyle name="Dezimal 3 6 10" xfId="12259" xr:uid="{3D824E9D-744B-44DC-8B23-B86BAD1F5F02}"/>
    <cellStyle name="Dezimal 3 6 10 2" xfId="31696" xr:uid="{75073D42-744A-4DDC-84B4-790A4EE7E10E}"/>
    <cellStyle name="Dezimal 3 6 11" xfId="12260" xr:uid="{063483F1-543A-48AB-A5BE-77E840C19BE2}"/>
    <cellStyle name="Dezimal 3 6 11 2" xfId="31697" xr:uid="{9365818D-BD3B-4965-8122-5932B39F1CAE}"/>
    <cellStyle name="Dezimal 3 6 12" xfId="31695" xr:uid="{FF865760-97E1-4881-906A-363D5BCB7F2A}"/>
    <cellStyle name="Dezimal 3 6 2" xfId="12261" xr:uid="{F395387B-FE8B-4FB3-84D3-E7941CE6FEAD}"/>
    <cellStyle name="Dezimal 3 6 2 2" xfId="31698" xr:uid="{3788D4B9-BB23-430A-9A81-7BCEDD9E930E}"/>
    <cellStyle name="Dezimal 3 6 3" xfId="12262" xr:uid="{EC9C0CD3-4580-4D0C-B59D-A38AA07A2465}"/>
    <cellStyle name="Dezimal 3 6 3 2" xfId="31699" xr:uid="{065FA600-A107-4007-9C71-CDE0AF3D0ECA}"/>
    <cellStyle name="Dezimal 3 6 4" xfId="12263" xr:uid="{A32BBC2E-B471-4584-8A77-1AAFBD0987BC}"/>
    <cellStyle name="Dezimal 3 6 4 2" xfId="31700" xr:uid="{8F9C1F0B-C1F7-42C7-9791-85020B90E328}"/>
    <cellStyle name="Dezimal 3 6 5" xfId="12264" xr:uid="{1C19DCD9-DAA3-4407-A522-BB1871F18AC9}"/>
    <cellStyle name="Dezimal 3 6 5 2" xfId="31701" xr:uid="{B694BB9A-C657-47CE-B6BB-7F7F865E7B40}"/>
    <cellStyle name="Dezimal 3 6 6" xfId="12265" xr:uid="{A83F1A7B-27A9-424A-90C6-ADA2849884FD}"/>
    <cellStyle name="Dezimal 3 6 6 2" xfId="31702" xr:uid="{33613D3D-70D9-4982-BB1D-6D1F09E7BAE1}"/>
    <cellStyle name="Dezimal 3 6 7" xfId="12266" xr:uid="{9988CC84-210C-4F1E-ABF7-B94627F755DB}"/>
    <cellStyle name="Dezimal 3 6 7 2" xfId="31703" xr:uid="{4EE1B00C-FC34-4BEE-9BA9-937B71C1155F}"/>
    <cellStyle name="Dezimal 3 6 8" xfId="12267" xr:uid="{C15284F3-B621-4399-9828-ACF6D333119D}"/>
    <cellStyle name="Dezimal 3 6 8 2" xfId="31704" xr:uid="{ED53ACA6-183C-42C3-AFD4-A8D85E893336}"/>
    <cellStyle name="Dezimal 3 6 9" xfId="12268" xr:uid="{6EF359ED-2C07-43E4-BD2F-1232BB54ADA8}"/>
    <cellStyle name="Dezimal 3 6 9 2" xfId="31705" xr:uid="{DD8269B7-BF99-4D9C-B79C-D6D29C9A2B38}"/>
    <cellStyle name="Dezimal 3 7" xfId="12269" xr:uid="{D79BCB10-ABAF-4004-BBF0-36F13AF8757D}"/>
    <cellStyle name="Dezimal 3 7 10" xfId="12270" xr:uid="{4D1E831C-45E2-4371-9702-2EEAA906455F}"/>
    <cellStyle name="Dezimal 3 7 10 2" xfId="31707" xr:uid="{3AE85A2A-0506-49E0-8403-A6CFFA4E81EE}"/>
    <cellStyle name="Dezimal 3 7 11" xfId="12271" xr:uid="{721EC0D8-9144-4257-8FA7-D300A95949A5}"/>
    <cellStyle name="Dezimal 3 7 11 2" xfId="31708" xr:uid="{7230BA60-BE57-4481-A180-E6623E0F8D32}"/>
    <cellStyle name="Dezimal 3 7 12" xfId="31706" xr:uid="{EF393A39-A608-4D56-99B8-0F63857F3B0F}"/>
    <cellStyle name="Dezimal 3 7 2" xfId="12272" xr:uid="{E6A8BB61-F02F-4ADB-8D32-C15FFB93E13B}"/>
    <cellStyle name="Dezimal 3 7 2 2" xfId="31709" xr:uid="{0EBD9272-EECE-48A5-9CB2-3895B190D520}"/>
    <cellStyle name="Dezimal 3 7 3" xfId="12273" xr:uid="{C5699D6A-5F15-4229-BA51-D57CE73A0CDE}"/>
    <cellStyle name="Dezimal 3 7 3 2" xfId="31710" xr:uid="{672C60B8-59FB-449D-852B-9EF84C1F7A10}"/>
    <cellStyle name="Dezimal 3 7 4" xfId="12274" xr:uid="{745BD2C2-ECF3-4690-9B5D-6AEA50E583B9}"/>
    <cellStyle name="Dezimal 3 7 4 2" xfId="31711" xr:uid="{B5C236F2-CC43-40B8-9BC4-3CE9365EAF2F}"/>
    <cellStyle name="Dezimal 3 7 5" xfId="12275" xr:uid="{C566C2C9-101F-4AE8-87A5-7C4D2CFCF2D6}"/>
    <cellStyle name="Dezimal 3 7 5 2" xfId="31712" xr:uid="{3F5FC49C-0635-4656-82D0-62DF040A853A}"/>
    <cellStyle name="Dezimal 3 7 6" xfId="12276" xr:uid="{D98B969A-5BFE-4AD6-8391-279FCDB1EDD4}"/>
    <cellStyle name="Dezimal 3 7 6 2" xfId="31713" xr:uid="{342C7A9C-D578-4CD0-B318-3838909584F6}"/>
    <cellStyle name="Dezimal 3 7 7" xfId="12277" xr:uid="{1F6A419D-96D6-473E-BB54-654650DAC02D}"/>
    <cellStyle name="Dezimal 3 7 7 2" xfId="31714" xr:uid="{2ED2CA4D-4F02-45AD-BCD1-D82A971AD315}"/>
    <cellStyle name="Dezimal 3 7 8" xfId="12278" xr:uid="{1587040C-460B-447B-A389-896DE6BFD813}"/>
    <cellStyle name="Dezimal 3 7 8 2" xfId="31715" xr:uid="{19871190-0216-49D5-B8B7-3FA0B90A8047}"/>
    <cellStyle name="Dezimal 3 7 9" xfId="12279" xr:uid="{60950497-F522-4B24-98E6-51EB48F7C600}"/>
    <cellStyle name="Dezimal 3 7 9 2" xfId="31716" xr:uid="{6D6D4477-4AAA-4719-A92D-E92E6C6A5715}"/>
    <cellStyle name="Dezimal 3 8" xfId="12280" xr:uid="{2CBD5683-A421-447C-BEED-66C755762015}"/>
    <cellStyle name="Dezimal 3 8 10" xfId="12281" xr:uid="{9E80F810-A80B-4C66-AF3E-C9ADBE663197}"/>
    <cellStyle name="Dezimal 3 8 10 2" xfId="31718" xr:uid="{E0624E70-11B5-4776-AF43-CB0DDC788E12}"/>
    <cellStyle name="Dezimal 3 8 11" xfId="12282" xr:uid="{23F0E050-83A4-492B-A03A-76C70BA122CB}"/>
    <cellStyle name="Dezimal 3 8 11 2" xfId="31719" xr:uid="{1D4F9E14-1747-4314-99AE-044C7B6C9F1E}"/>
    <cellStyle name="Dezimal 3 8 12" xfId="31717" xr:uid="{BAB58259-C638-4391-A6DD-ADBD59FD2F42}"/>
    <cellStyle name="Dezimal 3 8 2" xfId="12283" xr:uid="{09B5E638-3A70-475E-9E25-FCEC8606B734}"/>
    <cellStyle name="Dezimal 3 8 2 2" xfId="31720" xr:uid="{4194EC39-FC96-4C85-B27F-5304EB1A23BB}"/>
    <cellStyle name="Dezimal 3 8 3" xfId="12284" xr:uid="{8EF00EC9-734F-42C6-AABF-F7182F919C89}"/>
    <cellStyle name="Dezimal 3 8 3 2" xfId="31721" xr:uid="{92507A1B-F0DF-491C-B1DA-A99C734A774D}"/>
    <cellStyle name="Dezimal 3 8 4" xfId="12285" xr:uid="{880999C4-0849-4D75-9CE1-230185B7BC00}"/>
    <cellStyle name="Dezimal 3 8 4 2" xfId="31722" xr:uid="{91ADD4B3-4D21-4F83-A928-8B2E9327A4E3}"/>
    <cellStyle name="Dezimal 3 8 5" xfId="12286" xr:uid="{9C7387FB-662D-4F83-A4A9-EB311EEAABAF}"/>
    <cellStyle name="Dezimal 3 8 5 2" xfId="31723" xr:uid="{50EBFAFD-8865-4B71-95DE-9266F72428E8}"/>
    <cellStyle name="Dezimal 3 8 6" xfId="12287" xr:uid="{BA80F086-995A-4578-9C2A-12AAFD71C9A7}"/>
    <cellStyle name="Dezimal 3 8 6 2" xfId="31724" xr:uid="{C7F54042-B946-40E1-BAB8-B8D264F45558}"/>
    <cellStyle name="Dezimal 3 8 7" xfId="12288" xr:uid="{B9B7DD1C-A656-4B81-966B-8AD898F649E0}"/>
    <cellStyle name="Dezimal 3 8 7 2" xfId="31725" xr:uid="{A1A1762C-930A-48C9-96B9-FEA7A5614F46}"/>
    <cellStyle name="Dezimal 3 8 8" xfId="12289" xr:uid="{E0F0C7A4-ED0A-4B81-BA55-15104172141E}"/>
    <cellStyle name="Dezimal 3 8 8 2" xfId="31726" xr:uid="{ECF9C8A6-74B3-40DE-9DB6-C4B93848105A}"/>
    <cellStyle name="Dezimal 3 8 9" xfId="12290" xr:uid="{36C70447-B24E-4BEB-85CA-BDA51A8DCDB3}"/>
    <cellStyle name="Dezimal 3 8 9 2" xfId="31727" xr:uid="{934EFA7B-2B2B-49D6-88B2-3AF91C9418FB}"/>
    <cellStyle name="Dezimal 3 9" xfId="12291" xr:uid="{3B905E5B-AD06-4F9F-94A8-9D0FD5C83B79}"/>
    <cellStyle name="Dezimal 3 9 10" xfId="12292" xr:uid="{426C9124-746C-44CD-BBBE-DDC54E1CDBEA}"/>
    <cellStyle name="Dezimal 3 9 10 2" xfId="31729" xr:uid="{B972A3BA-1D05-4C0F-8C49-B3A05BF8128C}"/>
    <cellStyle name="Dezimal 3 9 11" xfId="12293" xr:uid="{29BF7FE2-AE27-442C-9333-D4D36C277BB6}"/>
    <cellStyle name="Dezimal 3 9 11 2" xfId="31730" xr:uid="{B92CC668-51FD-471B-9C0A-8AE454434B46}"/>
    <cellStyle name="Dezimal 3 9 12" xfId="31728" xr:uid="{C0375ED8-FADF-46B9-8D5D-EA0A125321EC}"/>
    <cellStyle name="Dezimal 3 9 2" xfId="12294" xr:uid="{6FEB947D-EC23-4E0B-9762-01D3CA091E17}"/>
    <cellStyle name="Dezimal 3 9 2 2" xfId="31731" xr:uid="{E075C96B-8005-4964-A91C-65AE084670B9}"/>
    <cellStyle name="Dezimal 3 9 3" xfId="12295" xr:uid="{D7F3E7AD-337E-4BCB-8EE4-7262549D420D}"/>
    <cellStyle name="Dezimal 3 9 3 2" xfId="31732" xr:uid="{12EC53F8-2E08-4BAE-B432-2FDD5C287364}"/>
    <cellStyle name="Dezimal 3 9 4" xfId="12296" xr:uid="{BF423BDE-6BAC-44F8-BA7A-2B4B0D68CFA9}"/>
    <cellStyle name="Dezimal 3 9 4 2" xfId="31733" xr:uid="{EC67D96C-7E64-4B90-94AE-B780096C132B}"/>
    <cellStyle name="Dezimal 3 9 5" xfId="12297" xr:uid="{0E724967-74BF-4D9D-A284-2C6F53CF6F0E}"/>
    <cellStyle name="Dezimal 3 9 5 2" xfId="31734" xr:uid="{C5C897B2-0D8C-47C3-AAD6-D77A750C88E5}"/>
    <cellStyle name="Dezimal 3 9 6" xfId="12298" xr:uid="{4D85F69B-5D9A-4820-813D-80E8A7A9FB15}"/>
    <cellStyle name="Dezimal 3 9 6 2" xfId="31735" xr:uid="{A31546A4-1842-414A-9152-F99B40673EF0}"/>
    <cellStyle name="Dezimal 3 9 7" xfId="12299" xr:uid="{510797F4-7739-42D4-9CC7-BCF5E28E1F32}"/>
    <cellStyle name="Dezimal 3 9 7 2" xfId="31736" xr:uid="{A043D66C-DF4D-4ADA-95FB-2CF2EFF88F3A}"/>
    <cellStyle name="Dezimal 3 9 8" xfId="12300" xr:uid="{FA1A40EB-A556-49E3-8392-F07865215543}"/>
    <cellStyle name="Dezimal 3 9 8 2" xfId="31737" xr:uid="{D4078883-937D-40CF-82AB-F52367B8E020}"/>
    <cellStyle name="Dezimal 3 9 9" xfId="12301" xr:uid="{3BBFF347-C71E-4FB2-8B41-579EE706678B}"/>
    <cellStyle name="Dezimal 3 9 9 2" xfId="31738" xr:uid="{2FD2EBEE-20DC-48B2-82A3-CBE0BB8D5269}"/>
    <cellStyle name="Dezimal 30" xfId="12302" xr:uid="{F64EC8A1-FDC3-415E-ACFE-83629FB6676A}"/>
    <cellStyle name="Dezimal 30 10" xfId="12303" xr:uid="{CE462F18-1E83-42B9-8EEE-0141D5DE42B8}"/>
    <cellStyle name="Dezimal 30 10 2" xfId="12304" xr:uid="{60197E1F-34BA-4297-BDF3-9CCAA57D2AE5}"/>
    <cellStyle name="Dezimal 30 10 2 2" xfId="31741" xr:uid="{38446BB4-D9ED-4C3D-ADD7-2450F105B92D}"/>
    <cellStyle name="Dezimal 30 10 3" xfId="31740" xr:uid="{60F32A58-D9F6-4117-82C0-02B5D17D200E}"/>
    <cellStyle name="Dezimal 30 11" xfId="12305" xr:uid="{D46B7067-3AA5-49C0-BF57-C7DAD0BFE1E5}"/>
    <cellStyle name="Dezimal 30 11 2" xfId="12306" xr:uid="{E84B3387-9066-44E1-B19A-738D4F792806}"/>
    <cellStyle name="Dezimal 30 11 2 2" xfId="31743" xr:uid="{7842038B-A129-4758-8C60-9BD97937815A}"/>
    <cellStyle name="Dezimal 30 11 3" xfId="31742" xr:uid="{A22BCC3F-D5B7-43CE-97D8-EA6B2190C8D5}"/>
    <cellStyle name="Dezimal 30 12" xfId="12307" xr:uid="{ED3A7990-ABC2-407A-826B-A5EF66B619B2}"/>
    <cellStyle name="Dezimal 30 12 2" xfId="12308" xr:uid="{4B3D039C-F748-4C09-B424-4933D75F4F6E}"/>
    <cellStyle name="Dezimal 30 12 2 2" xfId="31745" xr:uid="{19B9DF74-21AE-4E01-802F-A016714DC90E}"/>
    <cellStyle name="Dezimal 30 12 3" xfId="31744" xr:uid="{123948AD-3856-4615-89C6-870BD9FD6EB8}"/>
    <cellStyle name="Dezimal 30 13" xfId="12309" xr:uid="{4CC14FDB-0760-4913-8EF9-228EBB9C096C}"/>
    <cellStyle name="Dezimal 30 13 2" xfId="12310" xr:uid="{6A275E5C-6475-4BD7-A1E9-6867F69EE899}"/>
    <cellStyle name="Dezimal 30 13 2 2" xfId="31747" xr:uid="{07709B45-DAD1-4C37-A8F4-454A1E739C2E}"/>
    <cellStyle name="Dezimal 30 13 3" xfId="31746" xr:uid="{927740F0-34FD-46C5-98C4-B1C64A98C4A2}"/>
    <cellStyle name="Dezimal 30 14" xfId="12311" xr:uid="{1CE6FC2B-A7FA-4DCF-884F-114664C45B9E}"/>
    <cellStyle name="Dezimal 30 14 2" xfId="12312" xr:uid="{078D3846-D4B2-447A-991E-873D742E289B}"/>
    <cellStyle name="Dezimal 30 14 2 2" xfId="31749" xr:uid="{6026910E-6590-4596-A68B-8872765231FD}"/>
    <cellStyle name="Dezimal 30 14 3" xfId="31748" xr:uid="{DFC3F30E-0FFF-4DF2-A4CD-9FA72766919B}"/>
    <cellStyle name="Dezimal 30 15" xfId="12313" xr:uid="{750E9296-5A2A-43EF-989F-F49A52FDA132}"/>
    <cellStyle name="Dezimal 30 15 2" xfId="12314" xr:uid="{D0D17828-5956-4943-B389-AD9992A7678B}"/>
    <cellStyle name="Dezimal 30 15 2 2" xfId="31751" xr:uid="{9E6F64DE-8294-4B59-9923-E8EC0BF83556}"/>
    <cellStyle name="Dezimal 30 15 3" xfId="31750" xr:uid="{ACE6D9A9-9D22-485A-9A68-474357DBF0AE}"/>
    <cellStyle name="Dezimal 30 16" xfId="12315" xr:uid="{4676446A-3989-4CFC-B36A-D2141856EE41}"/>
    <cellStyle name="Dezimal 30 16 2" xfId="12316" xr:uid="{7060746D-5FEF-4D33-B1A7-2D8C3E617F44}"/>
    <cellStyle name="Dezimal 30 16 2 2" xfId="31753" xr:uid="{BF107D0B-FF9F-47A9-A776-68B997CA1E87}"/>
    <cellStyle name="Dezimal 30 16 3" xfId="31752" xr:uid="{4354C05E-F456-46EF-BD44-CD0969BA0E7B}"/>
    <cellStyle name="Dezimal 30 17" xfId="12317" xr:uid="{BD037CF0-6C86-45FC-86E7-1A50705EB27C}"/>
    <cellStyle name="Dezimal 30 17 2" xfId="12318" xr:uid="{9AF057C2-B74E-4B1D-A2B4-2FE774A38F13}"/>
    <cellStyle name="Dezimal 30 17 2 2" xfId="31755" xr:uid="{D5492F63-FBC2-49BB-90F6-54D5E31BAE49}"/>
    <cellStyle name="Dezimal 30 17 3" xfId="31754" xr:uid="{056D573B-B0C5-45DF-8329-E8EFD9250224}"/>
    <cellStyle name="Dezimal 30 18" xfId="12319" xr:uid="{127AD5F2-A688-46B7-B6BF-C042DC1140FA}"/>
    <cellStyle name="Dezimal 30 18 2" xfId="12320" xr:uid="{748B3577-6558-4134-B6B0-7E7452934C61}"/>
    <cellStyle name="Dezimal 30 18 2 2" xfId="31757" xr:uid="{7957031F-F24D-4510-A9FA-BB07383D7F65}"/>
    <cellStyle name="Dezimal 30 18 3" xfId="31756" xr:uid="{978C89D7-17A8-426C-A20E-D33F88CBCFB1}"/>
    <cellStyle name="Dezimal 30 19" xfId="12321" xr:uid="{0D02B281-5CB7-424E-918A-826213EF7E1D}"/>
    <cellStyle name="Dezimal 30 19 2" xfId="12322" xr:uid="{38AD8394-0DAF-44BC-8438-E38B57CC8EC4}"/>
    <cellStyle name="Dezimal 30 19 2 2" xfId="31759" xr:uid="{CDE5021C-06B1-4BD3-9FA3-DC3FC48AF80A}"/>
    <cellStyle name="Dezimal 30 19 3" xfId="31758" xr:uid="{FA31B966-A8BB-4771-ACE4-FC9563CA2EFB}"/>
    <cellStyle name="Dezimal 30 2" xfId="12323" xr:uid="{6114C0FD-E662-4C6F-A765-390F7A9F43EA}"/>
    <cellStyle name="Dezimal 30 2 2" xfId="12324" xr:uid="{63E1DF9B-0D7D-4D27-887C-943D48563BE2}"/>
    <cellStyle name="Dezimal 30 2 2 2" xfId="31761" xr:uid="{0BE3C644-D8E5-4176-B57C-E334C6C6C328}"/>
    <cellStyle name="Dezimal 30 2 3" xfId="31760" xr:uid="{130711F1-7324-4898-822D-EB342A7217ED}"/>
    <cellStyle name="Dezimal 30 20" xfId="12325" xr:uid="{A08C313D-E48E-4187-AD38-6925FFC75E10}"/>
    <cellStyle name="Dezimal 30 20 2" xfId="31762" xr:uid="{40614F74-668B-4D01-AD0E-50A530BA483B}"/>
    <cellStyle name="Dezimal 30 21" xfId="12326" xr:uid="{2BC40015-CFCF-4DF9-B95F-C086C4D0CE1F}"/>
    <cellStyle name="Dezimal 30 21 2" xfId="31763" xr:uid="{9BDB5084-C3A9-4C72-9A64-C92AE90D4FF8}"/>
    <cellStyle name="Dezimal 30 22" xfId="12327" xr:uid="{3FEBD833-6C34-47E8-886A-0750CA1CE067}"/>
    <cellStyle name="Dezimal 30 22 2" xfId="31764" xr:uid="{5F0CD45C-9695-47BC-9557-CFB066FB966C}"/>
    <cellStyle name="Dezimal 30 23" xfId="12328" xr:uid="{FE95543A-6C29-45C6-9885-9A17E94177DB}"/>
    <cellStyle name="Dezimal 30 23 2" xfId="31765" xr:uid="{B655C5C3-DAF7-42BD-88CB-2FEDACD66CE0}"/>
    <cellStyle name="Dezimal 30 24" xfId="12329" xr:uid="{FC454561-75C3-495F-A90B-BE3A2DE54528}"/>
    <cellStyle name="Dezimal 30 24 2" xfId="31766" xr:uid="{7319C632-2A99-4BB1-9A59-FACDE06A5ABE}"/>
    <cellStyle name="Dezimal 30 25" xfId="12330" xr:uid="{FE0FD1F2-87FA-42B3-A2A7-14ABDF299838}"/>
    <cellStyle name="Dezimal 30 25 2" xfId="31767" xr:uid="{2EFD774A-8AD6-47F1-8490-79B12594E72B}"/>
    <cellStyle name="Dezimal 30 26" xfId="12331" xr:uid="{62DED62A-E5BD-4F43-BB63-7AE34690C839}"/>
    <cellStyle name="Dezimal 30 26 2" xfId="31768" xr:uid="{09548178-603E-4C73-8AE5-8E87C4FA5469}"/>
    <cellStyle name="Dezimal 30 27" xfId="12332" xr:uid="{05A0B02C-FB5D-4DF1-AE5C-23774A6EAED0}"/>
    <cellStyle name="Dezimal 30 27 2" xfId="31769" xr:uid="{93F231B5-38C8-46BB-BE3B-F43C96AAAE0C}"/>
    <cellStyle name="Dezimal 30 28" xfId="12333" xr:uid="{287C18DF-20A6-4F13-B69F-4EEA4EC6AF23}"/>
    <cellStyle name="Dezimal 30 28 2" xfId="31770" xr:uid="{630BD344-254A-46BC-A9FC-CB8F87F44E0C}"/>
    <cellStyle name="Dezimal 30 29" xfId="12334" xr:uid="{3C3CDA43-DF2B-4F50-AEA6-CB290514DF38}"/>
    <cellStyle name="Dezimal 30 29 2" xfId="31771" xr:uid="{92361CB5-4D5E-436A-BFD4-16643E9F2845}"/>
    <cellStyle name="Dezimal 30 3" xfId="12335" xr:uid="{842FE0A1-38ED-4915-9E8D-C77CF2174198}"/>
    <cellStyle name="Dezimal 30 3 2" xfId="12336" xr:uid="{CEB6DD95-88ED-4721-AAD1-CBF190A3FCA1}"/>
    <cellStyle name="Dezimal 30 3 2 2" xfId="31773" xr:uid="{75A3B39B-CC0E-44EF-9189-91B4B2E04950}"/>
    <cellStyle name="Dezimal 30 3 3" xfId="31772" xr:uid="{71DF0201-9F2E-4DA9-98BA-6413E078440F}"/>
    <cellStyle name="Dezimal 30 30" xfId="12337" xr:uid="{A6867060-D58D-4BEF-9A00-86862B55DDB4}"/>
    <cellStyle name="Dezimal 30 30 2" xfId="31774" xr:uid="{861B9F06-DD08-4810-906C-AC81487A5F97}"/>
    <cellStyle name="Dezimal 30 31" xfId="12338" xr:uid="{8F8C2B1F-681F-48D8-9661-0351044D1D1D}"/>
    <cellStyle name="Dezimal 30 31 2" xfId="31775" xr:uid="{71F55258-1219-40C9-AB41-CF9E3313E7BE}"/>
    <cellStyle name="Dezimal 30 32" xfId="12339" xr:uid="{08305B1B-5FA7-4736-BE59-DE36D4031D83}"/>
    <cellStyle name="Dezimal 30 32 2" xfId="31776" xr:uid="{E46A5DA0-6E12-4B2D-AA36-BA481BBEB9E3}"/>
    <cellStyle name="Dezimal 30 33" xfId="12340" xr:uid="{311A29B4-55E8-4BDE-8D89-BC92618E6018}"/>
    <cellStyle name="Dezimal 30 33 2" xfId="31777" xr:uid="{3F3008FE-6A5F-4D3F-A501-B5FE8DC0F08B}"/>
    <cellStyle name="Dezimal 30 34" xfId="12341" xr:uid="{8732AB9E-21C0-4E43-9669-6D1C8D64298E}"/>
    <cellStyle name="Dezimal 30 34 2" xfId="31778" xr:uid="{B5BC8D11-3BB7-46FB-AAA6-CB3713AA1752}"/>
    <cellStyle name="Dezimal 30 35" xfId="12342" xr:uid="{669A049E-EBA1-45B7-BE34-50F4F99CD27F}"/>
    <cellStyle name="Dezimal 30 35 2" xfId="31779" xr:uid="{464B6699-B0E6-439E-AFA9-D9CABAA3AF8E}"/>
    <cellStyle name="Dezimal 30 36" xfId="12343" xr:uid="{F818C401-2273-4C02-B5B5-4AC456E9FD09}"/>
    <cellStyle name="Dezimal 30 36 2" xfId="31780" xr:uid="{D442F8C1-9377-4569-8291-7B577A58B0EB}"/>
    <cellStyle name="Dezimal 30 37" xfId="12344" xr:uid="{72D742A5-101D-407D-9F47-787A7506E28F}"/>
    <cellStyle name="Dezimal 30 37 2" xfId="31781" xr:uid="{AD3F8B65-DC83-478A-8EEC-419900C9C7D7}"/>
    <cellStyle name="Dezimal 30 38" xfId="12345" xr:uid="{EEED986A-564D-4A46-A671-A4B663FE50E0}"/>
    <cellStyle name="Dezimal 30 38 2" xfId="31782" xr:uid="{EF520C82-6A56-490B-BC10-93814A19537E}"/>
    <cellStyle name="Dezimal 30 39" xfId="12346" xr:uid="{CEA483D6-44E0-4081-9FA1-CEBE2F621236}"/>
    <cellStyle name="Dezimal 30 39 2" xfId="31783" xr:uid="{47D8A46E-D423-4213-817E-5ED485456661}"/>
    <cellStyle name="Dezimal 30 4" xfId="12347" xr:uid="{4896C8ED-6BEF-49EB-93B3-A4AC3E208F8C}"/>
    <cellStyle name="Dezimal 30 4 2" xfId="12348" xr:uid="{C369BD5F-9226-4C53-B1B6-7A9F7CC5E641}"/>
    <cellStyle name="Dezimal 30 4 2 2" xfId="31785" xr:uid="{FEE79FFF-C694-48C4-BA84-5EE64F9D5C5D}"/>
    <cellStyle name="Dezimal 30 4 3" xfId="31784" xr:uid="{F82FA7A6-0D45-422C-8CE6-69D8E977A91D}"/>
    <cellStyle name="Dezimal 30 40" xfId="12349" xr:uid="{12720C31-9AF6-4358-9BAB-261EBA8E7D7F}"/>
    <cellStyle name="Dezimal 30 40 2" xfId="31786" xr:uid="{A882EEED-A253-455F-8F3F-1EA485567E72}"/>
    <cellStyle name="Dezimal 30 41" xfId="31739" xr:uid="{DDABDEA3-7D9B-47B6-8B15-B341C99FDFE6}"/>
    <cellStyle name="Dezimal 30 42" xfId="42167" xr:uid="{19D39586-F50B-4711-92AD-A55B8A7B253D}"/>
    <cellStyle name="Dezimal 30 5" xfId="12350" xr:uid="{92BAA178-572A-4B88-A61B-5040886E93AD}"/>
    <cellStyle name="Dezimal 30 5 2" xfId="12351" xr:uid="{0B87CA07-6C97-4D52-BD20-8F435BFA0073}"/>
    <cellStyle name="Dezimal 30 5 2 2" xfId="31788" xr:uid="{9220F0FC-21E1-4160-8353-BE883B22070E}"/>
    <cellStyle name="Dezimal 30 5 3" xfId="31787" xr:uid="{82FFD608-C494-4827-BA31-04D71C4656BF}"/>
    <cellStyle name="Dezimal 30 6" xfId="12352" xr:uid="{8C259873-6EA2-4431-A224-80161E46E717}"/>
    <cellStyle name="Dezimal 30 6 2" xfId="12353" xr:uid="{BD9FA28C-9158-4134-A8A6-318E94A8512D}"/>
    <cellStyle name="Dezimal 30 6 2 2" xfId="31790" xr:uid="{C38F443F-C333-4D7F-A769-45675D327377}"/>
    <cellStyle name="Dezimal 30 6 3" xfId="31789" xr:uid="{1115B42F-2134-4BD1-86FD-369BED2A4A11}"/>
    <cellStyle name="Dezimal 30 7" xfId="12354" xr:uid="{282BD086-CBBE-43D9-92BB-EBF61E3FC3C9}"/>
    <cellStyle name="Dezimal 30 7 2" xfId="12355" xr:uid="{E2B24016-8FE2-4103-A8C4-484A13C6AF68}"/>
    <cellStyle name="Dezimal 30 7 2 2" xfId="31792" xr:uid="{BC817691-5C27-49F4-879F-6454D7F3B856}"/>
    <cellStyle name="Dezimal 30 7 3" xfId="31791" xr:uid="{B2CB6036-7B15-42DC-B264-FD4112978D9A}"/>
    <cellStyle name="Dezimal 30 8" xfId="12356" xr:uid="{6898C388-357B-47DC-9796-DD38FFC5A830}"/>
    <cellStyle name="Dezimal 30 8 2" xfId="12357" xr:uid="{E9C1F402-384C-44F9-A624-FCBC3F73A941}"/>
    <cellStyle name="Dezimal 30 8 2 2" xfId="31794" xr:uid="{482A065F-E89F-4305-BE09-A499B1FBBFCC}"/>
    <cellStyle name="Dezimal 30 8 3" xfId="31793" xr:uid="{BBF7DF70-5496-4A35-999D-8E1FD7548BD0}"/>
    <cellStyle name="Dezimal 30 9" xfId="12358" xr:uid="{BA487987-89E6-43A9-85D8-377E06096142}"/>
    <cellStyle name="Dezimal 30 9 2" xfId="12359" xr:uid="{52BB9F14-EB87-4339-A1A9-83B1418988DF}"/>
    <cellStyle name="Dezimal 30 9 2 2" xfId="31796" xr:uid="{D4EBB6F4-ED6E-4800-BFAD-485D06CD4C5C}"/>
    <cellStyle name="Dezimal 30 9 3" xfId="31795" xr:uid="{E39E336B-A26C-455C-8A7B-DC0044D8E326}"/>
    <cellStyle name="Dezimal 31" xfId="12360" xr:uid="{36F21EF3-05DA-4A78-AA38-C71B003F5AFC}"/>
    <cellStyle name="Dezimal 31 10" xfId="12361" xr:uid="{83963062-2AF4-4D1C-B20D-C4585377C020}"/>
    <cellStyle name="Dezimal 31 10 2" xfId="12362" xr:uid="{59A73107-765E-4073-BE08-9DF53BC5C43D}"/>
    <cellStyle name="Dezimal 31 10 2 2" xfId="31799" xr:uid="{001C6E6E-DE53-42F2-8724-EE9A2940384B}"/>
    <cellStyle name="Dezimal 31 10 3" xfId="31798" xr:uid="{B156C9C8-56B0-457D-BEA9-2CA0DC5C0FE9}"/>
    <cellStyle name="Dezimal 31 11" xfId="12363" xr:uid="{EB36CD15-EB0B-4E88-A4F7-D15F637CF833}"/>
    <cellStyle name="Dezimal 31 11 2" xfId="12364" xr:uid="{A7892A10-50E2-4CF7-9B2A-2B92E4B713CF}"/>
    <cellStyle name="Dezimal 31 11 2 2" xfId="31801" xr:uid="{0460B50C-CE29-4738-9C65-245FF37810F6}"/>
    <cellStyle name="Dezimal 31 11 3" xfId="31800" xr:uid="{C50E778A-EB89-4224-8CAB-B08D057BA262}"/>
    <cellStyle name="Dezimal 31 12" xfId="12365" xr:uid="{F9848078-CF5D-4094-9AD5-F358FAC63315}"/>
    <cellStyle name="Dezimal 31 12 2" xfId="12366" xr:uid="{97CFA8F3-1191-4F72-A8FF-DB98D7007C94}"/>
    <cellStyle name="Dezimal 31 12 2 2" xfId="31803" xr:uid="{50B61E2F-F8E0-4B19-8F6F-968FF604AD40}"/>
    <cellStyle name="Dezimal 31 12 3" xfId="31802" xr:uid="{241D1BBC-EBA8-47EF-8A86-98DA63067C94}"/>
    <cellStyle name="Dezimal 31 13" xfId="12367" xr:uid="{18D8E0C5-D98B-4D3B-AE40-1A70E285DFA8}"/>
    <cellStyle name="Dezimal 31 13 2" xfId="12368" xr:uid="{2B36C18A-636A-4316-80C9-064354C7D4F1}"/>
    <cellStyle name="Dezimal 31 13 2 2" xfId="31805" xr:uid="{890CC624-B5AE-4FA5-9841-737036B61EE5}"/>
    <cellStyle name="Dezimal 31 13 3" xfId="31804" xr:uid="{87AB3913-7A88-4967-804A-706BDA3F9545}"/>
    <cellStyle name="Dezimal 31 14" xfId="12369" xr:uid="{45675C12-57C4-47CF-9CCC-CD07DD30263D}"/>
    <cellStyle name="Dezimal 31 14 2" xfId="12370" xr:uid="{BED00C5D-2A8E-4586-A145-C7AF0095A31E}"/>
    <cellStyle name="Dezimal 31 14 2 2" xfId="31807" xr:uid="{CBEA03BB-DFC3-4378-B2FF-2C1F51BBED71}"/>
    <cellStyle name="Dezimal 31 14 3" xfId="31806" xr:uid="{7B407EBF-BBCB-4AE0-9808-C2DFBDFD9CD8}"/>
    <cellStyle name="Dezimal 31 15" xfId="12371" xr:uid="{23CDF5B4-E876-493A-965B-E08F003CA4DA}"/>
    <cellStyle name="Dezimal 31 15 2" xfId="12372" xr:uid="{8B0AA068-5736-42A0-B159-C5080D953F3C}"/>
    <cellStyle name="Dezimal 31 15 2 2" xfId="31809" xr:uid="{9A01079F-BDDD-4CC7-A095-D86E298238C4}"/>
    <cellStyle name="Dezimal 31 15 3" xfId="31808" xr:uid="{734C91E3-2CC2-4B35-BBE3-0D9E5432695F}"/>
    <cellStyle name="Dezimal 31 16" xfId="12373" xr:uid="{F9E1DB80-2C04-440C-AD55-8B526A491B41}"/>
    <cellStyle name="Dezimal 31 16 2" xfId="12374" xr:uid="{4ED99802-CA32-4DC9-A100-4C69DC31E27D}"/>
    <cellStyle name="Dezimal 31 16 2 2" xfId="31811" xr:uid="{F4A286EE-4E9E-4640-AA81-8E6BA94F0D9B}"/>
    <cellStyle name="Dezimal 31 16 3" xfId="31810" xr:uid="{1FEB5E93-1CB5-482A-A459-873D5DDF63B3}"/>
    <cellStyle name="Dezimal 31 17" xfId="12375" xr:uid="{230EA714-9E92-47CD-B019-2B9543FC6A51}"/>
    <cellStyle name="Dezimal 31 17 2" xfId="12376" xr:uid="{E252E729-42B2-4D8D-BCC0-48E6E34FB29A}"/>
    <cellStyle name="Dezimal 31 17 2 2" xfId="31813" xr:uid="{8F6F5084-D1D3-4FCE-BE00-1E37B7CE0971}"/>
    <cellStyle name="Dezimal 31 17 3" xfId="31812" xr:uid="{B47F09B6-3F2D-4CF2-ACCA-32D6B4628EFA}"/>
    <cellStyle name="Dezimal 31 18" xfId="12377" xr:uid="{94418BDD-780B-4A23-86A6-BAD06E0DD27A}"/>
    <cellStyle name="Dezimal 31 18 2" xfId="12378" xr:uid="{92EF27FB-7DB2-45A3-960E-307EAE6974B7}"/>
    <cellStyle name="Dezimal 31 18 2 2" xfId="31815" xr:uid="{F9CCA08E-B68F-4852-818B-68AE96BD2011}"/>
    <cellStyle name="Dezimal 31 18 3" xfId="31814" xr:uid="{6E380D7C-3EE0-4E29-977C-D7CD17ACECCE}"/>
    <cellStyle name="Dezimal 31 19" xfId="12379" xr:uid="{017B46C3-318F-490E-9E14-72A362DBE240}"/>
    <cellStyle name="Dezimal 31 19 2" xfId="12380" xr:uid="{B3EE8DD0-27D3-469A-B029-6F88AA03FFF0}"/>
    <cellStyle name="Dezimal 31 19 2 2" xfId="31817" xr:uid="{BB8D33A4-276C-41A3-9782-93494A7FDF8F}"/>
    <cellStyle name="Dezimal 31 19 3" xfId="31816" xr:uid="{6127A6D3-09DA-4698-9828-2B6BDE8CC913}"/>
    <cellStyle name="Dezimal 31 2" xfId="12381" xr:uid="{4D0FA0B3-1AD0-4968-80B8-ABE8B28A8990}"/>
    <cellStyle name="Dezimal 31 2 2" xfId="12382" xr:uid="{6C3F4DDA-6965-4BA5-8C20-FDBC29E60958}"/>
    <cellStyle name="Dezimal 31 2 2 2" xfId="31819" xr:uid="{57CD94D7-1D15-495A-9C5E-6FA5D3935773}"/>
    <cellStyle name="Dezimal 31 2 3" xfId="31818" xr:uid="{B9F8A757-0A5F-4152-86A5-199B9BB26271}"/>
    <cellStyle name="Dezimal 31 20" xfId="12383" xr:uid="{F62E320F-9024-4B8A-8251-33B618A38DB1}"/>
    <cellStyle name="Dezimal 31 20 2" xfId="31820" xr:uid="{8953F0FD-72F7-4B7A-B190-711214C236BD}"/>
    <cellStyle name="Dezimal 31 21" xfId="12384" xr:uid="{0F3961CB-D357-4D00-AB53-6F16A995AEFE}"/>
    <cellStyle name="Dezimal 31 21 2" xfId="31821" xr:uid="{A1E7462A-8CEB-4232-A378-B07467B91D5B}"/>
    <cellStyle name="Dezimal 31 22" xfId="12385" xr:uid="{1D397458-7B48-426A-9DCA-EC64FA46A164}"/>
    <cellStyle name="Dezimal 31 22 2" xfId="31822" xr:uid="{C4203478-7739-42CB-B5A7-31BB17635683}"/>
    <cellStyle name="Dezimal 31 23" xfId="12386" xr:uid="{B9A41C71-B355-4623-8943-78FD5FEA6F30}"/>
    <cellStyle name="Dezimal 31 23 2" xfId="31823" xr:uid="{BBDB26B3-20A2-40CC-8794-0F9712941895}"/>
    <cellStyle name="Dezimal 31 24" xfId="12387" xr:uid="{DED767F9-FD90-4199-A83F-E30DA8F9FAE2}"/>
    <cellStyle name="Dezimal 31 24 2" xfId="31824" xr:uid="{B89A60B8-92CE-4237-8D8A-1430770309CC}"/>
    <cellStyle name="Dezimal 31 25" xfId="12388" xr:uid="{8DE616E7-97D0-4795-A4D8-4D1C1B3FD2F2}"/>
    <cellStyle name="Dezimal 31 25 2" xfId="31825" xr:uid="{0AC47DBA-2D48-46DF-931E-C8B584751DD1}"/>
    <cellStyle name="Dezimal 31 26" xfId="12389" xr:uid="{1A0269A7-E1EB-4394-A28C-D0ED02B0C536}"/>
    <cellStyle name="Dezimal 31 26 2" xfId="31826" xr:uid="{AF49593F-2193-4B09-BBD6-3541A14EF661}"/>
    <cellStyle name="Dezimal 31 27" xfId="12390" xr:uid="{99E63E2A-3334-4084-8C43-CDBA6B0AC035}"/>
    <cellStyle name="Dezimal 31 27 2" xfId="31827" xr:uid="{A3482955-8064-43C1-8195-376ACC71C7B4}"/>
    <cellStyle name="Dezimal 31 28" xfId="12391" xr:uid="{08CECECB-030C-42C0-91A2-BDE332D31710}"/>
    <cellStyle name="Dezimal 31 28 2" xfId="31828" xr:uid="{039BD9A4-4638-4B02-A6DE-AE7115DFA1B6}"/>
    <cellStyle name="Dezimal 31 29" xfId="12392" xr:uid="{08EF5A30-CDF8-4552-8A45-72528F8A5918}"/>
    <cellStyle name="Dezimal 31 29 2" xfId="31829" xr:uid="{4F670898-61AF-4A33-A4E3-B5A00969E6F9}"/>
    <cellStyle name="Dezimal 31 3" xfId="12393" xr:uid="{A0990F7F-DCBE-4B42-B140-DBCC4DC5D847}"/>
    <cellStyle name="Dezimal 31 3 2" xfId="12394" xr:uid="{A7699B2C-72B6-420B-B6F2-8B44B78B6910}"/>
    <cellStyle name="Dezimal 31 3 2 2" xfId="31831" xr:uid="{D7F3C608-A3AA-45E8-9FDA-6415A8B7C393}"/>
    <cellStyle name="Dezimal 31 3 3" xfId="31830" xr:uid="{695508BD-11A2-4646-A1AF-E38E1638D2B4}"/>
    <cellStyle name="Dezimal 31 30" xfId="12395" xr:uid="{ACDBB224-1D4A-41F9-93FB-18A998B3245B}"/>
    <cellStyle name="Dezimal 31 30 2" xfId="31832" xr:uid="{180F1590-7A77-4E28-8FBC-E9B1594F198E}"/>
    <cellStyle name="Dezimal 31 31" xfId="12396" xr:uid="{558CD9F0-0692-4DD0-9383-288CED0BDD56}"/>
    <cellStyle name="Dezimal 31 31 2" xfId="31833" xr:uid="{8B62D35D-840C-458E-AB17-37FAE33EE584}"/>
    <cellStyle name="Dezimal 31 32" xfId="12397" xr:uid="{EA62F144-5FFB-4BBF-AEA9-1D590162451C}"/>
    <cellStyle name="Dezimal 31 32 2" xfId="31834" xr:uid="{FCCBE5F1-90AB-40D7-8375-641FB9F959AF}"/>
    <cellStyle name="Dezimal 31 33" xfId="12398" xr:uid="{E1BB7179-96A9-46BE-8CB2-AAD2D8D806E6}"/>
    <cellStyle name="Dezimal 31 33 2" xfId="31835" xr:uid="{9EE51BCD-047C-42F0-85DF-F810E3B29AA1}"/>
    <cellStyle name="Dezimal 31 34" xfId="12399" xr:uid="{28AEBA3E-0BE7-46BA-843C-C9303453D147}"/>
    <cellStyle name="Dezimal 31 34 2" xfId="31836" xr:uid="{57098813-C9A1-48B6-BA95-23E9DC2448C5}"/>
    <cellStyle name="Dezimal 31 35" xfId="12400" xr:uid="{AAB2B6AF-C29C-43AA-AF18-5A8BF5082976}"/>
    <cellStyle name="Dezimal 31 35 2" xfId="31837" xr:uid="{6E03432C-699F-4F91-AC58-E1FD1199F494}"/>
    <cellStyle name="Dezimal 31 36" xfId="12401" xr:uid="{03E7845F-74EB-4196-8B3A-8E63EF429DD6}"/>
    <cellStyle name="Dezimal 31 36 2" xfId="31838" xr:uid="{9C1587C4-9922-483E-99EA-E7D660D3FDFC}"/>
    <cellStyle name="Dezimal 31 37" xfId="12402" xr:uid="{5DB8A8EB-3E8B-4174-961A-E5EEDF320B70}"/>
    <cellStyle name="Dezimal 31 37 2" xfId="31839" xr:uid="{9ECDC41C-E944-4E6C-B6AE-400BBC1C1FDD}"/>
    <cellStyle name="Dezimal 31 38" xfId="12403" xr:uid="{32E6ED0A-648A-4027-866C-D6B19CDF8625}"/>
    <cellStyle name="Dezimal 31 38 2" xfId="31840" xr:uid="{672E3B5B-53B7-4FA4-8C57-3365674DFCCA}"/>
    <cellStyle name="Dezimal 31 39" xfId="12404" xr:uid="{92433587-A147-41A2-82C4-071402C17CE3}"/>
    <cellStyle name="Dezimal 31 39 2" xfId="31841" xr:uid="{1D1D128C-ECB9-4361-8876-BCDA4FD47082}"/>
    <cellStyle name="Dezimal 31 4" xfId="12405" xr:uid="{CDADB788-480B-407D-B9F4-11DA419E493F}"/>
    <cellStyle name="Dezimal 31 4 2" xfId="12406" xr:uid="{8036B483-ED26-4660-BF64-855A420470DB}"/>
    <cellStyle name="Dezimal 31 4 2 2" xfId="31843" xr:uid="{C747F319-5033-40F7-83E0-F72370AD0B87}"/>
    <cellStyle name="Dezimal 31 4 3" xfId="31842" xr:uid="{00C23C00-EE6F-4D4E-9839-8892C5AE5814}"/>
    <cellStyle name="Dezimal 31 40" xfId="12407" xr:uid="{4C91F30E-20BD-43B2-AA9D-774913C3D288}"/>
    <cellStyle name="Dezimal 31 40 2" xfId="31844" xr:uid="{9A18AE52-2409-4D58-A1DD-1BEF0C384931}"/>
    <cellStyle name="Dezimal 31 41" xfId="31797" xr:uid="{EB464C57-3F20-4AA5-A6C0-4F1E757BE0C8}"/>
    <cellStyle name="Dezimal 31 5" xfId="12408" xr:uid="{61C26FEE-9E8B-4684-8539-51996955B795}"/>
    <cellStyle name="Dezimal 31 5 2" xfId="12409" xr:uid="{71049CE1-79E5-42C3-9896-2AB203209846}"/>
    <cellStyle name="Dezimal 31 5 2 2" xfId="31846" xr:uid="{3DC77759-CA23-43FD-8506-F31D8B2D589F}"/>
    <cellStyle name="Dezimal 31 5 3" xfId="31845" xr:uid="{91DC7AB5-EA05-4628-9E0A-6729CC872CCF}"/>
    <cellStyle name="Dezimal 31 6" xfId="12410" xr:uid="{4B100AEA-2985-4DD0-8CD7-87AEAB303E33}"/>
    <cellStyle name="Dezimal 31 6 2" xfId="12411" xr:uid="{DCC76DF1-CFA4-4FE2-842E-9DEEFAB1E050}"/>
    <cellStyle name="Dezimal 31 6 2 2" xfId="31848" xr:uid="{D448B776-D95D-4E10-B1E3-93F228D290C7}"/>
    <cellStyle name="Dezimal 31 6 3" xfId="31847" xr:uid="{B4083375-68E7-4CAE-9272-E5B5666E7EC4}"/>
    <cellStyle name="Dezimal 31 7" xfId="12412" xr:uid="{DE8BE8BD-485B-40CA-BCE8-02E17945FF65}"/>
    <cellStyle name="Dezimal 31 7 2" xfId="12413" xr:uid="{DCA06F32-2176-4A18-B447-084C07813F26}"/>
    <cellStyle name="Dezimal 31 7 2 2" xfId="31850" xr:uid="{64C2C11D-3FC7-4EFD-94F9-62535198A5CC}"/>
    <cellStyle name="Dezimal 31 7 3" xfId="31849" xr:uid="{089D86A1-48A1-4BBA-BC32-F4386A5BB39A}"/>
    <cellStyle name="Dezimal 31 8" xfId="12414" xr:uid="{962DA249-3438-4908-BCC7-FD30EE3EFBBB}"/>
    <cellStyle name="Dezimal 31 8 2" xfId="12415" xr:uid="{88C04CF0-256C-4EFB-837C-D75BC46E773B}"/>
    <cellStyle name="Dezimal 31 8 2 2" xfId="31852" xr:uid="{088BAADB-B682-4808-A7F7-D53E2AAD9537}"/>
    <cellStyle name="Dezimal 31 8 3" xfId="31851" xr:uid="{7E1D4908-2B7D-46F9-9462-FCDA3E9DEDAD}"/>
    <cellStyle name="Dezimal 31 9" xfId="12416" xr:uid="{C74BF783-DC22-4529-A7C2-FD034AD268DC}"/>
    <cellStyle name="Dezimal 31 9 2" xfId="12417" xr:uid="{AC21DDE6-D18C-46BF-B387-47D31567425E}"/>
    <cellStyle name="Dezimal 31 9 2 2" xfId="31854" xr:uid="{818C9908-F82D-4192-8948-51C1ED7B48E0}"/>
    <cellStyle name="Dezimal 31 9 3" xfId="31853" xr:uid="{A12058A6-BC39-498A-AB0B-15715E4AA010}"/>
    <cellStyle name="Dezimal 32" xfId="12418" xr:uid="{6AB59C81-4EA5-4C63-B8F1-50EF270310CC}"/>
    <cellStyle name="Dezimal 32 10" xfId="12419" xr:uid="{9CD99D44-764F-42BB-86A7-FF52A27B1A9B}"/>
    <cellStyle name="Dezimal 32 10 2" xfId="12420" xr:uid="{24EE6AA6-C135-4FDB-A335-92DAECC43A11}"/>
    <cellStyle name="Dezimal 32 10 2 2" xfId="31857" xr:uid="{BA107B64-2CD8-487C-A05B-D8538E1A14F8}"/>
    <cellStyle name="Dezimal 32 10 3" xfId="31856" xr:uid="{3E5BA3EF-E89B-4822-BE5B-4F5F9B4D0310}"/>
    <cellStyle name="Dezimal 32 11" xfId="12421" xr:uid="{56A984C0-9AA7-4875-B68E-E3B8ACD32546}"/>
    <cellStyle name="Dezimal 32 11 2" xfId="12422" xr:uid="{CD33B02A-88D8-4E33-89BE-2D1086FDB426}"/>
    <cellStyle name="Dezimal 32 11 2 2" xfId="31859" xr:uid="{3A418A91-5CB7-4E55-9E6E-FC7E546B4FED}"/>
    <cellStyle name="Dezimal 32 11 3" xfId="31858" xr:uid="{FF929440-3E60-43F7-9DEA-AC17046B7B6D}"/>
    <cellStyle name="Dezimal 32 12" xfId="12423" xr:uid="{C31C686E-2338-45C0-BAD7-BE61D6935BBA}"/>
    <cellStyle name="Dezimal 32 12 2" xfId="12424" xr:uid="{67EFC7C6-8FB8-453F-816C-8F0446344DE1}"/>
    <cellStyle name="Dezimal 32 12 2 2" xfId="31861" xr:uid="{B8343FFD-1185-4F8F-B5D8-AE19FEC9B43D}"/>
    <cellStyle name="Dezimal 32 12 3" xfId="31860" xr:uid="{FAB6B0CE-FF28-4817-966F-C85A0A162D87}"/>
    <cellStyle name="Dezimal 32 13" xfId="12425" xr:uid="{E6916406-E820-4DC2-9586-B6DE8C7AF775}"/>
    <cellStyle name="Dezimal 32 13 2" xfId="12426" xr:uid="{F8D3FA9D-9704-49B2-8A18-5545941298FC}"/>
    <cellStyle name="Dezimal 32 13 2 2" xfId="31863" xr:uid="{0531ED18-6302-4B1D-B9F1-518EEDFDB8A1}"/>
    <cellStyle name="Dezimal 32 13 3" xfId="31862" xr:uid="{646A93AA-52EA-4654-AD1E-168630F565D1}"/>
    <cellStyle name="Dezimal 32 14" xfId="12427" xr:uid="{BCC0C94A-0951-41DC-B9A0-4B344458957A}"/>
    <cellStyle name="Dezimal 32 14 2" xfId="12428" xr:uid="{682B2975-8B33-4235-BF89-4F484039156A}"/>
    <cellStyle name="Dezimal 32 14 2 2" xfId="31865" xr:uid="{BBEC1B2D-E91C-43E3-B82F-FAFFD8A5178D}"/>
    <cellStyle name="Dezimal 32 14 3" xfId="31864" xr:uid="{2A193422-D99F-4DCE-9DAF-96D3A9A74323}"/>
    <cellStyle name="Dezimal 32 15" xfId="12429" xr:uid="{1B96FADC-7813-4136-B27A-6134F3E7BB8D}"/>
    <cellStyle name="Dezimal 32 15 2" xfId="12430" xr:uid="{AD33FB01-13D4-425C-8543-6279754FB83C}"/>
    <cellStyle name="Dezimal 32 15 2 2" xfId="31867" xr:uid="{062CD233-304A-4B3E-8D14-107298C43E51}"/>
    <cellStyle name="Dezimal 32 15 3" xfId="31866" xr:uid="{55C52AED-369D-437B-AB3B-6BD292953207}"/>
    <cellStyle name="Dezimal 32 16" xfId="12431" xr:uid="{B1B8010D-313B-4334-AD0D-E23B1FD8569F}"/>
    <cellStyle name="Dezimal 32 16 2" xfId="12432" xr:uid="{FDBE54DA-DCCA-4435-B802-D5EB5513C820}"/>
    <cellStyle name="Dezimal 32 16 2 2" xfId="31869" xr:uid="{EC2FD81F-FF29-4B97-935A-D82B583154E2}"/>
    <cellStyle name="Dezimal 32 16 3" xfId="31868" xr:uid="{2CF219F5-C519-40A0-880C-47910815A3C9}"/>
    <cellStyle name="Dezimal 32 17" xfId="12433" xr:uid="{3640D6F6-6851-48E8-8E14-B43F19873D6F}"/>
    <cellStyle name="Dezimal 32 17 2" xfId="12434" xr:uid="{D8C74FDC-0067-4E19-AC86-FF7E78BDCB4B}"/>
    <cellStyle name="Dezimal 32 17 2 2" xfId="31871" xr:uid="{BA566E45-3FF5-492B-83A3-3083FEE0D6DB}"/>
    <cellStyle name="Dezimal 32 17 3" xfId="31870" xr:uid="{1BB6DBD0-DD3D-4651-B013-B9155684A670}"/>
    <cellStyle name="Dezimal 32 18" xfId="12435" xr:uid="{A8882F03-B4C7-48A1-A3A6-FA815513DA20}"/>
    <cellStyle name="Dezimal 32 18 2" xfId="12436" xr:uid="{C416F86D-A351-4188-8647-985C268074EF}"/>
    <cellStyle name="Dezimal 32 18 2 2" xfId="31873" xr:uid="{0FE0ED4C-E56C-469A-98C6-2C2AF5AFFDB0}"/>
    <cellStyle name="Dezimal 32 18 3" xfId="31872" xr:uid="{82FA9B1A-5E85-4A59-98A7-5ED414CF5B63}"/>
    <cellStyle name="Dezimal 32 19" xfId="12437" xr:uid="{8191DEAC-6ABA-4F08-B8C8-C614CC329671}"/>
    <cellStyle name="Dezimal 32 19 2" xfId="12438" xr:uid="{5A05F87A-EA6F-4481-BB8E-4B2041053AEC}"/>
    <cellStyle name="Dezimal 32 19 2 2" xfId="31875" xr:uid="{7BF851F4-E18A-4776-AA37-1612432E7C98}"/>
    <cellStyle name="Dezimal 32 19 3" xfId="31874" xr:uid="{A797BBA6-5928-4262-96BD-1836225F5AB2}"/>
    <cellStyle name="Dezimal 32 2" xfId="12439" xr:uid="{0C7B3EBD-A536-4FB2-AD5F-9EADC2C2A406}"/>
    <cellStyle name="Dezimal 32 2 2" xfId="12440" xr:uid="{7C628A4F-7990-4E04-9559-68C74DF604DA}"/>
    <cellStyle name="Dezimal 32 2 2 2" xfId="31877" xr:uid="{AF0C7F8D-8CA3-419A-AEBB-B608A294B37D}"/>
    <cellStyle name="Dezimal 32 2 3" xfId="31876" xr:uid="{7AC9925F-4D41-4826-A304-F905EA7A2106}"/>
    <cellStyle name="Dezimal 32 20" xfId="12441" xr:uid="{A6FF2412-0C35-480B-8CED-1543CA20513D}"/>
    <cellStyle name="Dezimal 32 20 2" xfId="31878" xr:uid="{053A49B4-385A-45EE-9F01-95825B0678EE}"/>
    <cellStyle name="Dezimal 32 21" xfId="12442" xr:uid="{8D4C7A30-B321-4CD6-87C3-C2B8D117EF49}"/>
    <cellStyle name="Dezimal 32 21 2" xfId="31879" xr:uid="{DF1A05EA-488C-49E6-9E2C-54FFE0CF89D2}"/>
    <cellStyle name="Dezimal 32 22" xfId="12443" xr:uid="{E9D0E7E2-75F4-4B42-8224-6BE95A33B931}"/>
    <cellStyle name="Dezimal 32 22 2" xfId="31880" xr:uid="{6A672FAB-FC75-4651-8182-B71E46D982DD}"/>
    <cellStyle name="Dezimal 32 23" xfId="12444" xr:uid="{86A9B220-4196-4E21-8E9C-04C9C33C9338}"/>
    <cellStyle name="Dezimal 32 23 2" xfId="31881" xr:uid="{A5D3F3C9-1256-47F1-971F-2D4221A0D63F}"/>
    <cellStyle name="Dezimal 32 24" xfId="12445" xr:uid="{8899C668-03F3-4F6B-BC2A-C01B6E2EDF91}"/>
    <cellStyle name="Dezimal 32 24 2" xfId="31882" xr:uid="{F55E6D55-6397-4F8F-9944-8107AA396290}"/>
    <cellStyle name="Dezimal 32 25" xfId="12446" xr:uid="{B0C8973F-0CFF-4D91-B29A-72362D7A7469}"/>
    <cellStyle name="Dezimal 32 25 2" xfId="31883" xr:uid="{D1A7B00A-0F03-42C4-9166-1B18BB254C2C}"/>
    <cellStyle name="Dezimal 32 26" xfId="12447" xr:uid="{DAF306E2-4EBF-45EA-A8A2-8248D1ADB205}"/>
    <cellStyle name="Dezimal 32 26 2" xfId="31884" xr:uid="{EA53AD5D-5C81-4EA2-819B-D32BCD68400D}"/>
    <cellStyle name="Dezimal 32 27" xfId="12448" xr:uid="{D050A6F9-052F-4A5D-A075-E1BFE8C83959}"/>
    <cellStyle name="Dezimal 32 27 2" xfId="31885" xr:uid="{F736DF14-56A5-4974-96D8-B71FCD0FC5EB}"/>
    <cellStyle name="Dezimal 32 28" xfId="12449" xr:uid="{6F9F970F-3EA9-4C5C-9739-BB68FA421C2B}"/>
    <cellStyle name="Dezimal 32 28 2" xfId="31886" xr:uid="{B9DCB522-A73E-479A-B073-23621F316149}"/>
    <cellStyle name="Dezimal 32 29" xfId="12450" xr:uid="{EF0C6FEF-6CCE-45BF-B1D2-1D726A6827A4}"/>
    <cellStyle name="Dezimal 32 29 2" xfId="31887" xr:uid="{187EF394-6281-44B0-9C2C-F5F8B8462ECE}"/>
    <cellStyle name="Dezimal 32 3" xfId="12451" xr:uid="{E4E9904F-C0A8-4583-9326-4E02C1185023}"/>
    <cellStyle name="Dezimal 32 3 2" xfId="12452" xr:uid="{7C980F33-77CA-45E9-8E48-F4A0EF3A33AF}"/>
    <cellStyle name="Dezimal 32 3 2 2" xfId="31889" xr:uid="{2B274EF7-A1CA-4D4E-8285-5751DD2EB934}"/>
    <cellStyle name="Dezimal 32 3 3" xfId="31888" xr:uid="{77B9A582-92B7-4359-AEAC-3E1A2E64CCF4}"/>
    <cellStyle name="Dezimal 32 30" xfId="12453" xr:uid="{5F8609D8-5C7D-486A-BEBA-D70C771DE06F}"/>
    <cellStyle name="Dezimal 32 30 2" xfId="31890" xr:uid="{85E1164A-C787-4A68-B268-884EE1493420}"/>
    <cellStyle name="Dezimal 32 31" xfId="12454" xr:uid="{693E32D6-E8BB-4341-A043-2BBAC8D9EA81}"/>
    <cellStyle name="Dezimal 32 31 2" xfId="31891" xr:uid="{F0CBDB2A-9A5A-4584-BD7D-5AF99A2F9078}"/>
    <cellStyle name="Dezimal 32 32" xfId="12455" xr:uid="{7E0EE613-E05A-42F9-B9CC-9546B7581FA5}"/>
    <cellStyle name="Dezimal 32 32 2" xfId="31892" xr:uid="{C84DD0A3-EBB1-4892-8A95-540F115169E7}"/>
    <cellStyle name="Dezimal 32 33" xfId="12456" xr:uid="{076E5C34-87F1-4979-B6FF-B7AF1922E0C9}"/>
    <cellStyle name="Dezimal 32 33 2" xfId="31893" xr:uid="{BCDCB1B5-87F2-4130-BDDD-F479F3913A40}"/>
    <cellStyle name="Dezimal 32 34" xfId="12457" xr:uid="{FA54D47E-A3B8-47F3-A0E5-547955EE3998}"/>
    <cellStyle name="Dezimal 32 34 2" xfId="31894" xr:uid="{155F2369-38B9-4E68-BA10-12CEDE54E8F8}"/>
    <cellStyle name="Dezimal 32 35" xfId="12458" xr:uid="{F8812E0B-74CE-417D-B892-6C49C6D3BBC6}"/>
    <cellStyle name="Dezimal 32 35 2" xfId="31895" xr:uid="{6ADB6930-4A6E-4998-B673-75F0E881DEA7}"/>
    <cellStyle name="Dezimal 32 36" xfId="12459" xr:uid="{08EF34A0-1EA0-491F-8C71-1632AF731CDC}"/>
    <cellStyle name="Dezimal 32 36 2" xfId="31896" xr:uid="{9B1FE4B9-71E4-4A02-8FD8-F2ED865D6F42}"/>
    <cellStyle name="Dezimal 32 37" xfId="12460" xr:uid="{E75A0857-6C74-4AFF-B5E6-0FD402FEB096}"/>
    <cellStyle name="Dezimal 32 37 2" xfId="31897" xr:uid="{A8C5D7AF-141B-4465-ACE7-FA57A0F33E8F}"/>
    <cellStyle name="Dezimal 32 38" xfId="12461" xr:uid="{61071416-F7EE-4727-8476-6A3783BBEF94}"/>
    <cellStyle name="Dezimal 32 38 2" xfId="31898" xr:uid="{F2A4BB8C-ACD8-4C6C-90AD-3CE2A255189E}"/>
    <cellStyle name="Dezimal 32 39" xfId="12462" xr:uid="{A7BE747E-E63D-4130-AC5C-C19A80B69C66}"/>
    <cellStyle name="Dezimal 32 39 2" xfId="31899" xr:uid="{DBCD68EB-3101-47DA-B28A-A751DE35F89F}"/>
    <cellStyle name="Dezimal 32 4" xfId="12463" xr:uid="{0591A1B9-A347-4DEA-AC22-C64486ACE9AE}"/>
    <cellStyle name="Dezimal 32 4 2" xfId="12464" xr:uid="{1DCCD064-3D6B-4F16-B6EF-BE5A23F2818A}"/>
    <cellStyle name="Dezimal 32 4 2 2" xfId="31901" xr:uid="{2EA5A169-B9D8-4DF5-830E-09ECFB48A0FB}"/>
    <cellStyle name="Dezimal 32 4 3" xfId="31900" xr:uid="{C824D579-2F73-4994-98E9-362F9610410B}"/>
    <cellStyle name="Dezimal 32 40" xfId="12465" xr:uid="{70D594B0-0917-400A-ACFC-41CBC713A53C}"/>
    <cellStyle name="Dezimal 32 40 2" xfId="31902" xr:uid="{8D09FA9E-55A5-46DC-8AC9-17EEED667428}"/>
    <cellStyle name="Dezimal 32 41" xfId="31855" xr:uid="{CDC23BB7-41DA-45B5-ADC2-6D8AC204EFB7}"/>
    <cellStyle name="Dezimal 32 5" xfId="12466" xr:uid="{2218465B-E0FE-4FC8-A36D-352FDCDD4580}"/>
    <cellStyle name="Dezimal 32 5 2" xfId="12467" xr:uid="{4BE723D7-4DBD-401A-A514-3B6B328ED106}"/>
    <cellStyle name="Dezimal 32 5 2 2" xfId="31904" xr:uid="{EAE48BE2-A001-43B0-873E-303A79FBC1FC}"/>
    <cellStyle name="Dezimal 32 5 3" xfId="31903" xr:uid="{56E04230-4CEE-4593-9821-9CD01421D5EB}"/>
    <cellStyle name="Dezimal 32 6" xfId="12468" xr:uid="{9C000C71-F5E8-429B-9FE7-5927391D2D69}"/>
    <cellStyle name="Dezimal 32 6 2" xfId="12469" xr:uid="{98FDE9BC-84D7-41C9-80E7-BF9A525A6C4A}"/>
    <cellStyle name="Dezimal 32 6 2 2" xfId="31906" xr:uid="{2DA1A1C3-DD32-4EE7-92A8-39B7E35BEE5E}"/>
    <cellStyle name="Dezimal 32 6 3" xfId="31905" xr:uid="{8A84627E-5599-4E91-B8D1-4DC79CC45573}"/>
    <cellStyle name="Dezimal 32 7" xfId="12470" xr:uid="{DBC7C8EA-20E6-47CB-9412-889783EFA783}"/>
    <cellStyle name="Dezimal 32 7 2" xfId="12471" xr:uid="{9154FBDC-E6CD-4128-808E-7FD93BB68FED}"/>
    <cellStyle name="Dezimal 32 7 2 2" xfId="31908" xr:uid="{B95E33FF-2D09-4197-B874-353A23073248}"/>
    <cellStyle name="Dezimal 32 7 3" xfId="31907" xr:uid="{C5C02645-76ED-4D4B-A158-D8AC8F7AE944}"/>
    <cellStyle name="Dezimal 32 8" xfId="12472" xr:uid="{7BE2CDDB-D426-4141-BA32-06B0B48381D6}"/>
    <cellStyle name="Dezimal 32 8 2" xfId="12473" xr:uid="{F6B1890D-8A75-4B5B-911C-4BE14C5C1449}"/>
    <cellStyle name="Dezimal 32 8 2 2" xfId="31910" xr:uid="{844BB0C4-F20F-4DDC-A085-304BF3F66EDC}"/>
    <cellStyle name="Dezimal 32 8 3" xfId="31909" xr:uid="{B933DFF4-DADA-4294-9F1A-645009F40FCF}"/>
    <cellStyle name="Dezimal 32 9" xfId="12474" xr:uid="{BE4939BF-8F80-4326-8C92-FDC8D28EF0AD}"/>
    <cellStyle name="Dezimal 32 9 2" xfId="12475" xr:uid="{4525D21C-3C27-4CBD-A380-50CAC2DE6818}"/>
    <cellStyle name="Dezimal 32 9 2 2" xfId="31912" xr:uid="{92FF6350-E826-405B-B5CE-EF30D4F5B645}"/>
    <cellStyle name="Dezimal 32 9 3" xfId="31911" xr:uid="{090E1355-FD88-4767-8315-1C896E7DBB4C}"/>
    <cellStyle name="Dezimal 33" xfId="12476" xr:uid="{69BF84A2-B4CD-4AB2-9BE3-2A400DC44198}"/>
    <cellStyle name="Dezimal 33 10" xfId="12477" xr:uid="{AFE48A66-1B63-40CF-86B6-C87F8D830479}"/>
    <cellStyle name="Dezimal 33 10 2" xfId="12478" xr:uid="{D13E24B0-8930-4587-B7E5-F18F0D46C6B7}"/>
    <cellStyle name="Dezimal 33 10 2 2" xfId="31915" xr:uid="{243EBC48-F9E4-4964-95AC-7472BCB1FEFC}"/>
    <cellStyle name="Dezimal 33 10 3" xfId="31914" xr:uid="{F44A9F0B-F459-49F9-A27E-2E8AFE2AC395}"/>
    <cellStyle name="Dezimal 33 11" xfId="12479" xr:uid="{E56D03AD-3190-4F70-870E-E464B19EEE01}"/>
    <cellStyle name="Dezimal 33 11 2" xfId="12480" xr:uid="{9C32028D-0BE0-4B53-B6E0-CB3E682D55B5}"/>
    <cellStyle name="Dezimal 33 11 2 2" xfId="31917" xr:uid="{E316CF81-EE07-495A-B538-17C2379C7DF4}"/>
    <cellStyle name="Dezimal 33 11 3" xfId="31916" xr:uid="{C8CE96E5-BE10-4FBD-A624-7B1A80F1D045}"/>
    <cellStyle name="Dezimal 33 12" xfId="12481" xr:uid="{54D4B9CF-47DF-4BDF-90B4-8CA7DB4DB12C}"/>
    <cellStyle name="Dezimal 33 12 2" xfId="12482" xr:uid="{E2C00BF2-EF63-4FED-83B6-2870E636ED3F}"/>
    <cellStyle name="Dezimal 33 12 2 2" xfId="31919" xr:uid="{2D1F388A-34FE-437F-AA4C-B6574D537790}"/>
    <cellStyle name="Dezimal 33 12 3" xfId="31918" xr:uid="{83CBF59E-F32B-422E-98B9-D3B1B55CD05C}"/>
    <cellStyle name="Dezimal 33 13" xfId="12483" xr:uid="{7BA98B51-47BA-401C-B75D-8A414649F889}"/>
    <cellStyle name="Dezimal 33 13 2" xfId="12484" xr:uid="{88C6FCBC-42AB-495E-A649-823F4C477ED1}"/>
    <cellStyle name="Dezimal 33 13 2 2" xfId="31921" xr:uid="{02ACE5E5-971B-4CA3-AC63-D98DB9AC4216}"/>
    <cellStyle name="Dezimal 33 13 3" xfId="31920" xr:uid="{1A273E21-8D38-42EF-8903-E532111DE983}"/>
    <cellStyle name="Dezimal 33 14" xfId="12485" xr:uid="{9779D49E-5C35-4E1E-9387-3C82E3459E9C}"/>
    <cellStyle name="Dezimal 33 14 2" xfId="12486" xr:uid="{D96A6A7D-FB4E-4FC0-BBDC-915F4E97417D}"/>
    <cellStyle name="Dezimal 33 14 2 2" xfId="31923" xr:uid="{E3D1DEB5-42A5-41D5-B9D6-27E8D38E37DA}"/>
    <cellStyle name="Dezimal 33 14 3" xfId="31922" xr:uid="{7364C7F3-225D-4222-86C6-FB95B4F6D5C6}"/>
    <cellStyle name="Dezimal 33 15" xfId="12487" xr:uid="{B161CBEE-07FA-41AE-BED0-692A029655C9}"/>
    <cellStyle name="Dezimal 33 15 2" xfId="12488" xr:uid="{DACFC441-3B03-4669-91B4-64B19CFAD21D}"/>
    <cellStyle name="Dezimal 33 15 2 2" xfId="31925" xr:uid="{61AD1FDF-1D93-40DF-929D-F630D88B2CB3}"/>
    <cellStyle name="Dezimal 33 15 3" xfId="31924" xr:uid="{75E7B70F-5ECF-498F-B639-11314EA5F801}"/>
    <cellStyle name="Dezimal 33 16" xfId="12489" xr:uid="{708E0948-412D-4D31-935E-0191E20B86F5}"/>
    <cellStyle name="Dezimal 33 16 2" xfId="12490" xr:uid="{36E8DE04-26A8-4C30-9DC2-E6F21E17DE20}"/>
    <cellStyle name="Dezimal 33 16 2 2" xfId="31927" xr:uid="{AE7C8CF7-7A14-4DBA-BE3F-23ECC103D3ED}"/>
    <cellStyle name="Dezimal 33 16 3" xfId="31926" xr:uid="{3016960E-72A2-43DB-AECF-9D1D17AC7027}"/>
    <cellStyle name="Dezimal 33 17" xfId="12491" xr:uid="{A96DF514-5BB8-4995-B0F7-E050A7B934AB}"/>
    <cellStyle name="Dezimal 33 17 2" xfId="12492" xr:uid="{C5A3B983-C31F-4486-A112-B84C2A5E7A1B}"/>
    <cellStyle name="Dezimal 33 17 2 2" xfId="31929" xr:uid="{DA2DBB43-50C6-4D5E-913A-773521C8C908}"/>
    <cellStyle name="Dezimal 33 17 3" xfId="31928" xr:uid="{66F85B87-E764-4CBE-8372-D37BF0DB3119}"/>
    <cellStyle name="Dezimal 33 18" xfId="12493" xr:uid="{ABE5D258-58AC-4867-B0CB-640CC72AFC5E}"/>
    <cellStyle name="Dezimal 33 18 2" xfId="12494" xr:uid="{C87D869B-1307-4DB5-815D-CF97FAE8CCC6}"/>
    <cellStyle name="Dezimal 33 18 2 2" xfId="31931" xr:uid="{058052FE-6CF9-4C7E-9761-961FDB57EA95}"/>
    <cellStyle name="Dezimal 33 18 3" xfId="31930" xr:uid="{6EEC39FE-0444-468A-AF68-9AE035D3CF55}"/>
    <cellStyle name="Dezimal 33 19" xfId="12495" xr:uid="{9C295F92-8AA4-4826-B8A0-3FC2DC702FD3}"/>
    <cellStyle name="Dezimal 33 19 2" xfId="12496" xr:uid="{0E8CE5A0-DAF8-4D95-ACFF-3E925258E3F6}"/>
    <cellStyle name="Dezimal 33 19 2 2" xfId="31933" xr:uid="{3537958C-90B3-4D60-903A-EBCAF5CDE89F}"/>
    <cellStyle name="Dezimal 33 19 3" xfId="31932" xr:uid="{DCC9FB5A-0195-48D0-910C-7EF14AE356CD}"/>
    <cellStyle name="Dezimal 33 2" xfId="12497" xr:uid="{C3A3516D-0228-403A-8031-1F859DC902A3}"/>
    <cellStyle name="Dezimal 33 2 2" xfId="12498" xr:uid="{3F68DF39-26C6-4C1B-91A1-E84E32404F7E}"/>
    <cellStyle name="Dezimal 33 2 2 2" xfId="31935" xr:uid="{005F7FAB-1582-458B-99A1-68793BF95F9C}"/>
    <cellStyle name="Dezimal 33 2 3" xfId="31934" xr:uid="{144A4E5C-35AB-4BAB-B230-ADA115ADFE76}"/>
    <cellStyle name="Dezimal 33 20" xfId="12499" xr:uid="{727E7DF2-704C-4107-AE7C-1655FA1DE4BB}"/>
    <cellStyle name="Dezimal 33 20 2" xfId="31936" xr:uid="{949DAB1C-13D7-451E-8C65-7E55A33714D2}"/>
    <cellStyle name="Dezimal 33 21" xfId="12500" xr:uid="{450FDAD9-6263-4AA0-8708-4E0C2F697CD9}"/>
    <cellStyle name="Dezimal 33 21 2" xfId="31937" xr:uid="{B8BD7A67-8927-4B77-AC9C-3A23B365E64A}"/>
    <cellStyle name="Dezimal 33 22" xfId="12501" xr:uid="{6BF831F6-E9AE-44FC-AF5F-7036BA2ECF7C}"/>
    <cellStyle name="Dezimal 33 22 2" xfId="31938" xr:uid="{16D12A97-7223-4C4D-92C9-3005ACDD8E2F}"/>
    <cellStyle name="Dezimal 33 23" xfId="12502" xr:uid="{A0F1ACB2-CD7B-47A0-B2AF-2A01F6F5BC3F}"/>
    <cellStyle name="Dezimal 33 23 2" xfId="31939" xr:uid="{9DE85615-29C3-4CFE-8447-39CE54905C74}"/>
    <cellStyle name="Dezimal 33 24" xfId="12503" xr:uid="{4CA1B8E4-D7ED-4E6D-9A70-295CB9B6D573}"/>
    <cellStyle name="Dezimal 33 24 2" xfId="31940" xr:uid="{1271FD34-C20D-459A-BC8C-5831EB6502C2}"/>
    <cellStyle name="Dezimal 33 25" xfId="12504" xr:uid="{4840787C-BA42-4921-84C9-F39223D7361B}"/>
    <cellStyle name="Dezimal 33 25 2" xfId="31941" xr:uid="{77785D30-0F69-4E0B-A584-E165489F5B06}"/>
    <cellStyle name="Dezimal 33 26" xfId="12505" xr:uid="{79BA0D31-F1D4-4E13-BA1E-A22DBBF8CC89}"/>
    <cellStyle name="Dezimal 33 26 2" xfId="31942" xr:uid="{E3A15A0B-CE5C-406E-9A32-2FD839BEAC4B}"/>
    <cellStyle name="Dezimal 33 27" xfId="12506" xr:uid="{563FEE3D-CCFF-442C-9EA4-6811152B9C8E}"/>
    <cellStyle name="Dezimal 33 27 2" xfId="31943" xr:uid="{E7CE9E3C-FC72-4696-BBCB-CABC015F8539}"/>
    <cellStyle name="Dezimal 33 28" xfId="12507" xr:uid="{8F2EF1C3-BB9C-42F6-B764-7F56C4AF0721}"/>
    <cellStyle name="Dezimal 33 28 2" xfId="31944" xr:uid="{FAD6B212-BF62-4386-9237-873FB8FF2A99}"/>
    <cellStyle name="Dezimal 33 29" xfId="12508" xr:uid="{E2998261-FC86-4078-A3D2-6121D5FF1008}"/>
    <cellStyle name="Dezimal 33 29 2" xfId="31945" xr:uid="{0F225D96-9D81-4198-89CB-ACEEA91C29BD}"/>
    <cellStyle name="Dezimal 33 3" xfId="12509" xr:uid="{48AA29C1-DB99-4965-9D66-03551469C5F5}"/>
    <cellStyle name="Dezimal 33 3 2" xfId="12510" xr:uid="{AD53B1F1-5249-4F0F-960E-2F1E7E8905B8}"/>
    <cellStyle name="Dezimal 33 3 2 2" xfId="31947" xr:uid="{421DF081-2088-4C80-BD49-FC2876039057}"/>
    <cellStyle name="Dezimal 33 3 3" xfId="31946" xr:uid="{C5BE05E0-C522-42F3-A534-15235207A8D2}"/>
    <cellStyle name="Dezimal 33 30" xfId="12511" xr:uid="{FAB4886B-E27B-410B-9FD1-83DCBE878325}"/>
    <cellStyle name="Dezimal 33 30 2" xfId="31948" xr:uid="{EAD1EAAC-EF3F-4037-8730-B6A7C7F2F379}"/>
    <cellStyle name="Dezimal 33 31" xfId="12512" xr:uid="{171A6A2D-8DD4-485A-8323-5690D7E8739E}"/>
    <cellStyle name="Dezimal 33 31 2" xfId="31949" xr:uid="{7A17D14D-831F-4B0C-8C7E-4C8A58C81582}"/>
    <cellStyle name="Dezimal 33 32" xfId="12513" xr:uid="{03DF2A10-E476-4669-9098-271021984E7E}"/>
    <cellStyle name="Dezimal 33 32 2" xfId="31950" xr:uid="{2311CD9B-B5BC-440D-BD36-4108744EF1AA}"/>
    <cellStyle name="Dezimal 33 33" xfId="12514" xr:uid="{266F3999-BB53-4F6F-A02F-11892C7B3F68}"/>
    <cellStyle name="Dezimal 33 33 2" xfId="31951" xr:uid="{EA6CAEE0-CEFE-4050-9C48-9C78CD6D5B97}"/>
    <cellStyle name="Dezimal 33 34" xfId="12515" xr:uid="{E76C1A24-EFA3-4220-8CBC-74DD28ED98CF}"/>
    <cellStyle name="Dezimal 33 34 2" xfId="31952" xr:uid="{E504063E-DFED-4307-8D98-ED9635CEDF52}"/>
    <cellStyle name="Dezimal 33 35" xfId="12516" xr:uid="{1D22A741-BBA7-4BE4-B275-1C7F787C5F94}"/>
    <cellStyle name="Dezimal 33 35 2" xfId="31953" xr:uid="{2490413D-A6C4-4DAD-AAAF-85E5BFA77EE5}"/>
    <cellStyle name="Dezimal 33 36" xfId="12517" xr:uid="{A32D485D-851E-47AE-9382-C177F2D90D2F}"/>
    <cellStyle name="Dezimal 33 36 2" xfId="31954" xr:uid="{AE11AA1D-DB1F-4A53-9B12-EC5CF796E52F}"/>
    <cellStyle name="Dezimal 33 37" xfId="12518" xr:uid="{72EFF63D-3ECC-461D-988C-85620E3E6C32}"/>
    <cellStyle name="Dezimal 33 37 2" xfId="31955" xr:uid="{1C16E139-4E04-47F4-AD37-51B6E2794240}"/>
    <cellStyle name="Dezimal 33 38" xfId="12519" xr:uid="{6363EB84-F120-4AEB-9497-545A2D82602C}"/>
    <cellStyle name="Dezimal 33 38 2" xfId="31956" xr:uid="{B993BB2B-256A-4EA2-8C7D-F481EAE99139}"/>
    <cellStyle name="Dezimal 33 39" xfId="12520" xr:uid="{B917CED3-87B8-4F10-92AB-2053D9D35F43}"/>
    <cellStyle name="Dezimal 33 39 2" xfId="31957" xr:uid="{16C99531-B5FF-4AF2-89E6-9F8B1480DEF4}"/>
    <cellStyle name="Dezimal 33 4" xfId="12521" xr:uid="{EA1B56EA-3C1E-4EFD-B6AF-9DCCCA90F4AD}"/>
    <cellStyle name="Dezimal 33 4 2" xfId="12522" xr:uid="{E189185D-1067-4B88-AB87-7F90FC49B503}"/>
    <cellStyle name="Dezimal 33 4 2 2" xfId="31959" xr:uid="{884E8467-0CC3-48D8-8DB3-BEFEB0CDDF1A}"/>
    <cellStyle name="Dezimal 33 4 3" xfId="31958" xr:uid="{354BE1D8-692C-4F57-AD5A-526B920B2368}"/>
    <cellStyle name="Dezimal 33 40" xfId="12523" xr:uid="{086BEF47-E425-45BD-A451-0581CFDB844F}"/>
    <cellStyle name="Dezimal 33 40 2" xfId="31960" xr:uid="{53122EFB-FB04-4DF5-B792-2693DB37C8A8}"/>
    <cellStyle name="Dezimal 33 41" xfId="31913" xr:uid="{BEEC3F16-08E2-4F1C-92CD-51AE74599D68}"/>
    <cellStyle name="Dezimal 33 5" xfId="12524" xr:uid="{34781181-6916-421B-B2A5-1E3D4A3E7C6E}"/>
    <cellStyle name="Dezimal 33 5 2" xfId="12525" xr:uid="{AD5A38A7-20ED-4A0E-917E-39CD451982CC}"/>
    <cellStyle name="Dezimal 33 5 2 2" xfId="31962" xr:uid="{AF1CCBEA-CE09-4A9F-9DC2-278868375B1B}"/>
    <cellStyle name="Dezimal 33 5 3" xfId="31961" xr:uid="{B1200F77-9372-4118-85BC-FB4BF068C832}"/>
    <cellStyle name="Dezimal 33 6" xfId="12526" xr:uid="{DBBE121C-16EA-41DA-86F4-2B73A07F2CC9}"/>
    <cellStyle name="Dezimal 33 6 2" xfId="12527" xr:uid="{9E0F9690-371D-4D6D-9A83-988732641371}"/>
    <cellStyle name="Dezimal 33 6 2 2" xfId="31964" xr:uid="{F9799CED-4CF0-4CFF-864F-9DF30AD033D5}"/>
    <cellStyle name="Dezimal 33 6 3" xfId="31963" xr:uid="{9B4AC8C6-0E74-43F1-8495-FC52D7229E19}"/>
    <cellStyle name="Dezimal 33 7" xfId="12528" xr:uid="{CF446E80-E2CB-40F2-BBDE-2B2F6B198A90}"/>
    <cellStyle name="Dezimal 33 7 2" xfId="12529" xr:uid="{4AEB1BCD-DC11-45F6-8256-CC328C30900F}"/>
    <cellStyle name="Dezimal 33 7 2 2" xfId="31966" xr:uid="{E0315D95-4DAE-462F-A657-687BCF1D46CE}"/>
    <cellStyle name="Dezimal 33 7 3" xfId="31965" xr:uid="{1EE1F947-0A25-498F-924C-3E49A95E0851}"/>
    <cellStyle name="Dezimal 33 8" xfId="12530" xr:uid="{4A3FAF8A-0C46-4269-B5E4-6A643D9681E6}"/>
    <cellStyle name="Dezimal 33 8 2" xfId="12531" xr:uid="{4F2A3EC6-972C-46EA-B559-CE8BED752A98}"/>
    <cellStyle name="Dezimal 33 8 2 2" xfId="31968" xr:uid="{789FB6DC-7548-44F9-8F38-1E0A94C72434}"/>
    <cellStyle name="Dezimal 33 8 3" xfId="31967" xr:uid="{7914D702-DDFE-4BBD-9050-DCC15F76B935}"/>
    <cellStyle name="Dezimal 33 9" xfId="12532" xr:uid="{9D19BF5A-2636-47F1-BC6E-661476165E51}"/>
    <cellStyle name="Dezimal 33 9 2" xfId="12533" xr:uid="{DA3ADAF3-C6BF-4147-B98B-33974187A0EF}"/>
    <cellStyle name="Dezimal 33 9 2 2" xfId="31970" xr:uid="{DD6788ED-019F-4D6A-8794-308F91601FBD}"/>
    <cellStyle name="Dezimal 33 9 3" xfId="31969" xr:uid="{C85E2CEC-446A-4698-9FC8-62A8AD4DEBA6}"/>
    <cellStyle name="Dezimal 34" xfId="12534" xr:uid="{9BCFB8AF-AA88-43A4-BAFE-7B3063790D68}"/>
    <cellStyle name="Dezimal 34 10" xfId="12535" xr:uid="{69B5C0D2-DD6C-4056-B27A-8A4FD2A67FD2}"/>
    <cellStyle name="Dezimal 34 10 2" xfId="12536" xr:uid="{7CEE1F2F-A0AE-42BB-9462-95FACCB328A4}"/>
    <cellStyle name="Dezimal 34 10 2 2" xfId="31973" xr:uid="{384D74D1-BB1D-4EB2-A229-E4A15D1D5D27}"/>
    <cellStyle name="Dezimal 34 10 3" xfId="31972" xr:uid="{34565975-6F9E-4E3A-89DC-5B369EB0859D}"/>
    <cellStyle name="Dezimal 34 11" xfId="12537" xr:uid="{5AA6FE4A-0987-4846-9331-4B2BE2D298DF}"/>
    <cellStyle name="Dezimal 34 11 2" xfId="12538" xr:uid="{C6140082-3188-48AA-AC61-09C116D37DCE}"/>
    <cellStyle name="Dezimal 34 11 2 2" xfId="31975" xr:uid="{7CD167DF-AA47-475F-BF3A-3C0C8981FDAD}"/>
    <cellStyle name="Dezimal 34 11 3" xfId="31974" xr:uid="{FA5F2EFB-5A9D-4E42-843D-7734C6742FE4}"/>
    <cellStyle name="Dezimal 34 12" xfId="12539" xr:uid="{5D734D1F-F960-4048-A776-0C423C866D98}"/>
    <cellStyle name="Dezimal 34 12 2" xfId="12540" xr:uid="{D7DC86D7-DAC9-4D81-A705-A54E45D2BDFF}"/>
    <cellStyle name="Dezimal 34 12 2 2" xfId="31977" xr:uid="{BF932A0C-9E24-45D7-9376-24AA5940092E}"/>
    <cellStyle name="Dezimal 34 12 3" xfId="31976" xr:uid="{590652A8-1DCC-4032-AE14-34661528BFB2}"/>
    <cellStyle name="Dezimal 34 13" xfId="12541" xr:uid="{004BA63F-2A53-4F2A-AE28-9BFAFCC3C463}"/>
    <cellStyle name="Dezimal 34 13 2" xfId="12542" xr:uid="{CA1980E6-4C43-4F41-9AE9-59E2C8F56F0D}"/>
    <cellStyle name="Dezimal 34 13 2 2" xfId="31979" xr:uid="{372BE83C-769A-4D98-882F-EF4F7F6B37BB}"/>
    <cellStyle name="Dezimal 34 13 3" xfId="31978" xr:uid="{D3B4DFC7-56F5-4128-8C2D-E264428E761D}"/>
    <cellStyle name="Dezimal 34 14" xfId="12543" xr:uid="{85F131DE-C040-4498-BD2A-01FFE9432B59}"/>
    <cellStyle name="Dezimal 34 14 2" xfId="12544" xr:uid="{BFB55F85-D922-4E06-ADCC-8E79C6ECD8CE}"/>
    <cellStyle name="Dezimal 34 14 2 2" xfId="31981" xr:uid="{AB0701C0-837C-4930-AB1F-5FFC2A93BB84}"/>
    <cellStyle name="Dezimal 34 14 3" xfId="31980" xr:uid="{5B77AF66-2D5E-4A46-978F-5DF05B7C3423}"/>
    <cellStyle name="Dezimal 34 15" xfId="12545" xr:uid="{61F344F0-41EB-41EF-990B-5EB05517BCC2}"/>
    <cellStyle name="Dezimal 34 15 2" xfId="12546" xr:uid="{37464310-2C8D-4176-B929-806ABA2C953F}"/>
    <cellStyle name="Dezimal 34 15 2 2" xfId="31983" xr:uid="{2F4363F8-9B4A-439F-BE87-7C96A3184C26}"/>
    <cellStyle name="Dezimal 34 15 3" xfId="31982" xr:uid="{10249609-5B6F-45A9-AB8A-9D34C83480A2}"/>
    <cellStyle name="Dezimal 34 16" xfId="12547" xr:uid="{EE69D796-1D96-4E03-9125-CE07EB7DABA3}"/>
    <cellStyle name="Dezimal 34 16 2" xfId="12548" xr:uid="{6ACF4F02-BE70-4AA7-9C81-D3E60DBCC674}"/>
    <cellStyle name="Dezimal 34 16 2 2" xfId="31985" xr:uid="{E42C5D66-BC4C-424D-BF4B-52F91CD3E41E}"/>
    <cellStyle name="Dezimal 34 16 3" xfId="31984" xr:uid="{1CFAB177-E14F-4941-A087-3FBDAF9E4C29}"/>
    <cellStyle name="Dezimal 34 17" xfId="12549" xr:uid="{9182BF7D-5F3D-46BD-8FE7-F980A6BA0E19}"/>
    <cellStyle name="Dezimal 34 17 2" xfId="12550" xr:uid="{859301C1-3408-4DA7-90F0-DB992BD5110C}"/>
    <cellStyle name="Dezimal 34 17 2 2" xfId="31987" xr:uid="{E4B11A08-2BF5-4232-AE12-7A759CEC93F5}"/>
    <cellStyle name="Dezimal 34 17 3" xfId="31986" xr:uid="{0E38975D-7E9B-45C7-9DCF-DE0FC1C1D530}"/>
    <cellStyle name="Dezimal 34 18" xfId="12551" xr:uid="{2C0FAEE2-8010-4066-AA9D-385A667EFE16}"/>
    <cellStyle name="Dezimal 34 18 2" xfId="12552" xr:uid="{C7BB5BA7-76DA-4217-943E-E160419F5A1A}"/>
    <cellStyle name="Dezimal 34 18 2 2" xfId="31989" xr:uid="{E898C9A4-2778-424C-9427-498F5C3AB71C}"/>
    <cellStyle name="Dezimal 34 18 3" xfId="31988" xr:uid="{DAC2F438-594E-4A9A-ABE2-73FE4A8ACD26}"/>
    <cellStyle name="Dezimal 34 19" xfId="12553" xr:uid="{480928CC-0BCE-477F-BEDD-2A7AF87B11DD}"/>
    <cellStyle name="Dezimal 34 19 2" xfId="12554" xr:uid="{BB8C805D-35C4-4C90-822B-A93EF6B54A57}"/>
    <cellStyle name="Dezimal 34 19 2 2" xfId="31991" xr:uid="{D3221721-0F0A-421A-99EB-D2E0FF84DC88}"/>
    <cellStyle name="Dezimal 34 19 3" xfId="31990" xr:uid="{4FBF6E75-76DF-4F0A-B0EC-C48CCD495713}"/>
    <cellStyle name="Dezimal 34 2" xfId="12555" xr:uid="{849C464A-647A-4E18-80EE-20C0D5BBC52B}"/>
    <cellStyle name="Dezimal 34 2 2" xfId="12556" xr:uid="{9C9ACA4B-158A-4E44-9366-EA5644CB5EDE}"/>
    <cellStyle name="Dezimal 34 2 2 2" xfId="31993" xr:uid="{3B364A36-1E96-4440-B371-F168C550C52F}"/>
    <cellStyle name="Dezimal 34 2 3" xfId="31992" xr:uid="{3D260CF3-638C-4F31-8159-F8B4F56A982E}"/>
    <cellStyle name="Dezimal 34 20" xfId="12557" xr:uid="{E006300D-0A9C-43EF-B798-4AE6B05E7A8C}"/>
    <cellStyle name="Dezimal 34 20 2" xfId="31994" xr:uid="{972FD319-BABD-43E1-AB19-73AB9ED6304C}"/>
    <cellStyle name="Dezimal 34 21" xfId="12558" xr:uid="{BF3CEDDA-8280-4D57-B451-AD79B84C9B0F}"/>
    <cellStyle name="Dezimal 34 21 2" xfId="31995" xr:uid="{5765FDAA-D1C2-4009-BB5F-E241C2760DE3}"/>
    <cellStyle name="Dezimal 34 22" xfId="12559" xr:uid="{8A25521C-1512-4B61-AFE4-97C17ED68B85}"/>
    <cellStyle name="Dezimal 34 22 2" xfId="31996" xr:uid="{95553467-F95A-40E5-938D-0C8F0F5D6B67}"/>
    <cellStyle name="Dezimal 34 23" xfId="12560" xr:uid="{0AC29C58-1F23-451D-81E0-56DFBF0027CE}"/>
    <cellStyle name="Dezimal 34 23 2" xfId="31997" xr:uid="{C4A06756-F1E0-4634-A0D3-18C8B1393DFE}"/>
    <cellStyle name="Dezimal 34 24" xfId="12561" xr:uid="{60BD52B4-1CD9-482C-BA74-918190C45B59}"/>
    <cellStyle name="Dezimal 34 24 2" xfId="31998" xr:uid="{3FFAFE70-53AC-46A9-8CBC-41CF7877C4B2}"/>
    <cellStyle name="Dezimal 34 25" xfId="12562" xr:uid="{F491126C-5D8D-4C8E-BE15-63465687A4F8}"/>
    <cellStyle name="Dezimal 34 25 2" xfId="31999" xr:uid="{81090F72-AA5B-469C-AEE2-D6D1934A5218}"/>
    <cellStyle name="Dezimal 34 26" xfId="12563" xr:uid="{DBF8CF41-35DA-43DB-88BD-C6A28B8B610D}"/>
    <cellStyle name="Dezimal 34 26 2" xfId="32000" xr:uid="{24E2A272-8B48-43E8-85EB-6EF3A76670BD}"/>
    <cellStyle name="Dezimal 34 27" xfId="12564" xr:uid="{66161E40-76F3-4CC7-A03A-7F334AC0607A}"/>
    <cellStyle name="Dezimal 34 27 2" xfId="32001" xr:uid="{C03062EF-2DED-4A53-B33D-1CA8BDDE3609}"/>
    <cellStyle name="Dezimal 34 28" xfId="12565" xr:uid="{78BB4A57-6E3D-4287-AD13-F3F882034324}"/>
    <cellStyle name="Dezimal 34 28 2" xfId="32002" xr:uid="{0AF91118-5172-4C12-AE7B-A8B615F17CC1}"/>
    <cellStyle name="Dezimal 34 29" xfId="12566" xr:uid="{4BC2B3E2-2E64-4F23-8A0B-A1D84FFF4A77}"/>
    <cellStyle name="Dezimal 34 29 2" xfId="32003" xr:uid="{319CE48C-456B-42E7-B877-D3ABDF24B452}"/>
    <cellStyle name="Dezimal 34 3" xfId="12567" xr:uid="{F1C7E7E2-28F5-4875-9BF8-4D4E5DFA6257}"/>
    <cellStyle name="Dezimal 34 3 2" xfId="12568" xr:uid="{05E3E361-9AC9-4248-9688-CBEE19182F49}"/>
    <cellStyle name="Dezimal 34 3 2 2" xfId="32005" xr:uid="{8EE81442-4A86-4060-98C9-9182472136D3}"/>
    <cellStyle name="Dezimal 34 3 3" xfId="32004" xr:uid="{95AFDB55-5079-4E2D-950B-E2EE6EEAF71F}"/>
    <cellStyle name="Dezimal 34 30" xfId="12569" xr:uid="{33BE5147-FF7D-4CC9-B62D-52B7FCB9580F}"/>
    <cellStyle name="Dezimal 34 30 2" xfId="32006" xr:uid="{70AACF9B-7A07-41E9-9C74-E23387BE0A69}"/>
    <cellStyle name="Dezimal 34 31" xfId="12570" xr:uid="{39E73441-3FD5-473D-996F-7071CF4BA310}"/>
    <cellStyle name="Dezimal 34 31 2" xfId="32007" xr:uid="{2800F466-39F3-4339-BE46-EB7696248A87}"/>
    <cellStyle name="Dezimal 34 32" xfId="12571" xr:uid="{79365083-B522-4DDA-A583-886DADC2EF40}"/>
    <cellStyle name="Dezimal 34 32 2" xfId="32008" xr:uid="{E00D7050-5E22-40AC-9ADE-0F82FB5A12FE}"/>
    <cellStyle name="Dezimal 34 33" xfId="12572" xr:uid="{00AD9FDA-8598-4646-BA8F-4FB9497F5F24}"/>
    <cellStyle name="Dezimal 34 33 2" xfId="32009" xr:uid="{F27F19CC-DBCF-4A15-BE9C-0D616D00C8BB}"/>
    <cellStyle name="Dezimal 34 34" xfId="12573" xr:uid="{EF5EA254-378E-4F21-98F3-012EB7C50E9A}"/>
    <cellStyle name="Dezimal 34 34 2" xfId="32010" xr:uid="{A50C1712-BCA4-4953-9B94-D50C33E3DA7F}"/>
    <cellStyle name="Dezimal 34 35" xfId="12574" xr:uid="{CF230822-1447-4321-BF4B-2673DAB8020C}"/>
    <cellStyle name="Dezimal 34 35 2" xfId="32011" xr:uid="{E01DA94B-1739-4FB3-8833-AE06577C1313}"/>
    <cellStyle name="Dezimal 34 36" xfId="12575" xr:uid="{2ACDC36D-A23B-497A-B15B-81561F2D85AB}"/>
    <cellStyle name="Dezimal 34 36 2" xfId="32012" xr:uid="{C247EE18-EED9-43C4-B7D1-3E7D4C88676D}"/>
    <cellStyle name="Dezimal 34 37" xfId="12576" xr:uid="{8F41DAA5-DEE1-4265-9440-70998B59E65B}"/>
    <cellStyle name="Dezimal 34 37 2" xfId="32013" xr:uid="{155CF28F-4475-4700-8798-8136F64D09BB}"/>
    <cellStyle name="Dezimal 34 38" xfId="12577" xr:uid="{A5128DF8-37BB-4A6D-A1F1-CCCE9A22E214}"/>
    <cellStyle name="Dezimal 34 38 2" xfId="32014" xr:uid="{38384CDA-3EAE-4AB4-9429-A2F98A02DFF1}"/>
    <cellStyle name="Dezimal 34 39" xfId="12578" xr:uid="{B42BC160-3675-43C6-9B01-DA7864E4966A}"/>
    <cellStyle name="Dezimal 34 39 2" xfId="32015" xr:uid="{E1848904-15E7-40EF-95B0-C9C2F0264980}"/>
    <cellStyle name="Dezimal 34 4" xfId="12579" xr:uid="{0056A1E3-E300-4EED-AA88-1B311A272103}"/>
    <cellStyle name="Dezimal 34 4 2" xfId="12580" xr:uid="{2D03DE29-5A78-42F2-96AE-1B8E9D84A34D}"/>
    <cellStyle name="Dezimal 34 4 2 2" xfId="32017" xr:uid="{241E3DAA-0BA4-42CF-B026-21AE5883E3E5}"/>
    <cellStyle name="Dezimal 34 4 3" xfId="32016" xr:uid="{189D9DF8-0367-4E9D-AB17-D59E5A071F2B}"/>
    <cellStyle name="Dezimal 34 40" xfId="12581" xr:uid="{C5FA4771-5425-48ED-8700-3B0F451DC56E}"/>
    <cellStyle name="Dezimal 34 40 2" xfId="32018" xr:uid="{3D687AA3-AFC1-4AFE-9A7E-B5033333AB3E}"/>
    <cellStyle name="Dezimal 34 41" xfId="31971" xr:uid="{298B4669-2337-4B59-9C3C-BB170718ADFD}"/>
    <cellStyle name="Dezimal 34 5" xfId="12582" xr:uid="{3FBBCAFD-E26B-4059-9335-E92AE23C81D1}"/>
    <cellStyle name="Dezimal 34 5 2" xfId="12583" xr:uid="{F7BD6072-744C-4B2B-B943-CE89ECAAC8A9}"/>
    <cellStyle name="Dezimal 34 5 2 2" xfId="32020" xr:uid="{868C680E-3BD6-4D36-B15F-006F5F8D6F71}"/>
    <cellStyle name="Dezimal 34 5 3" xfId="32019" xr:uid="{E5BBD0F2-D710-463D-AA84-4A5B51EC6498}"/>
    <cellStyle name="Dezimal 34 6" xfId="12584" xr:uid="{496C41C2-4688-4EC7-B1B9-85E33EB745ED}"/>
    <cellStyle name="Dezimal 34 6 2" xfId="12585" xr:uid="{0B0F1925-51DD-4A0B-BCA9-6EEF4B982B71}"/>
    <cellStyle name="Dezimal 34 6 2 2" xfId="32022" xr:uid="{880BE556-683A-4E0B-9587-DEC9DCC1CD3F}"/>
    <cellStyle name="Dezimal 34 6 3" xfId="32021" xr:uid="{984F7901-85EB-4128-8BA7-708FCCA174D0}"/>
    <cellStyle name="Dezimal 34 7" xfId="12586" xr:uid="{B552F8C3-F60E-4BD6-841B-3559F0B2A666}"/>
    <cellStyle name="Dezimal 34 7 2" xfId="12587" xr:uid="{67A0B096-89F9-4702-B931-29DE69E5C5E6}"/>
    <cellStyle name="Dezimal 34 7 2 2" xfId="32024" xr:uid="{6BC66C06-47D2-4186-ACD2-DE35F97C0F31}"/>
    <cellStyle name="Dezimal 34 7 3" xfId="32023" xr:uid="{9F9DC5AE-F502-4773-8F71-FEB7049C6CB0}"/>
    <cellStyle name="Dezimal 34 8" xfId="12588" xr:uid="{86944AF7-CCF1-4750-A1A4-381AB888798F}"/>
    <cellStyle name="Dezimal 34 8 2" xfId="12589" xr:uid="{B5BB9925-9BFE-458D-994C-CA3808684D9C}"/>
    <cellStyle name="Dezimal 34 8 2 2" xfId="32026" xr:uid="{043FB530-036C-4A85-AC8F-BE88996DCAFC}"/>
    <cellStyle name="Dezimal 34 8 3" xfId="32025" xr:uid="{6EAFD3E7-8E2F-4DC1-A769-8646D59016B9}"/>
    <cellStyle name="Dezimal 34 9" xfId="12590" xr:uid="{C5E88CC1-4138-410D-BB53-3A593FBD2D46}"/>
    <cellStyle name="Dezimal 34 9 2" xfId="12591" xr:uid="{023409A7-AC94-4603-B120-E568E878CF91}"/>
    <cellStyle name="Dezimal 34 9 2 2" xfId="32028" xr:uid="{730AFC63-A73E-45FE-8790-3033B46AAC0F}"/>
    <cellStyle name="Dezimal 34 9 3" xfId="32027" xr:uid="{9B0F09EE-C762-4B4B-8A29-0A66989A359F}"/>
    <cellStyle name="Dezimal 35" xfId="12592" xr:uid="{31C630B5-7BA9-4239-ACD2-384DDDD2FB1D}"/>
    <cellStyle name="Dezimal 35 10" xfId="12593" xr:uid="{68E04C44-C3E8-4349-AB08-E93824A183A3}"/>
    <cellStyle name="Dezimal 35 10 2" xfId="12594" xr:uid="{FE795A36-388E-40DE-B55D-5D8C182E082C}"/>
    <cellStyle name="Dezimal 35 10 2 2" xfId="32031" xr:uid="{B7C48AFD-9C18-40D7-A2E2-33F3F60E6B72}"/>
    <cellStyle name="Dezimal 35 10 3" xfId="32030" xr:uid="{584D97C6-E5FD-4C32-BEBD-9B6301A74650}"/>
    <cellStyle name="Dezimal 35 11" xfId="12595" xr:uid="{669AFBDC-712F-4423-8A45-8E04F0D4ADC8}"/>
    <cellStyle name="Dezimal 35 11 2" xfId="12596" xr:uid="{74160FB0-56E3-471C-A063-1746251A435F}"/>
    <cellStyle name="Dezimal 35 11 2 2" xfId="32033" xr:uid="{7B662F3F-5C11-4264-A21F-426505479B30}"/>
    <cellStyle name="Dezimal 35 11 3" xfId="32032" xr:uid="{D6BEF7A3-2B65-4D5C-B789-06BD8459F74E}"/>
    <cellStyle name="Dezimal 35 12" xfId="12597" xr:uid="{110A9831-9EB7-492F-8FE1-66C1A9D4FAF0}"/>
    <cellStyle name="Dezimal 35 12 2" xfId="12598" xr:uid="{6D8A83DA-FBC8-40F1-AE5E-9D905C38C0C7}"/>
    <cellStyle name="Dezimal 35 12 2 2" xfId="32035" xr:uid="{D62161F8-EC04-48C2-8706-EE17EA018429}"/>
    <cellStyle name="Dezimal 35 12 3" xfId="32034" xr:uid="{69432BB0-92AA-4DF7-A946-E263586C037B}"/>
    <cellStyle name="Dezimal 35 13" xfId="12599" xr:uid="{27E5A516-E852-4DF1-B168-2B5285BBA496}"/>
    <cellStyle name="Dezimal 35 13 2" xfId="12600" xr:uid="{134BA28F-4EC1-4205-9B0A-B074894B6A67}"/>
    <cellStyle name="Dezimal 35 13 2 2" xfId="32037" xr:uid="{6484D956-61B5-441C-AFD8-37476FD4E4B2}"/>
    <cellStyle name="Dezimal 35 13 3" xfId="32036" xr:uid="{9B4F49C1-34E1-45C0-98A3-B17EDD5D69F4}"/>
    <cellStyle name="Dezimal 35 14" xfId="12601" xr:uid="{3BD224B0-E503-44F3-8B4E-07B23ECB4B40}"/>
    <cellStyle name="Dezimal 35 14 2" xfId="12602" xr:uid="{3EE81123-53D1-4E66-BE20-0132D2823461}"/>
    <cellStyle name="Dezimal 35 14 2 2" xfId="32039" xr:uid="{A8A1E47F-C9B5-40D9-94B0-BC76E5FBDC3D}"/>
    <cellStyle name="Dezimal 35 14 3" xfId="32038" xr:uid="{F2ED2F1C-5B7B-4E0B-9B0F-5E6AF328CC29}"/>
    <cellStyle name="Dezimal 35 15" xfId="12603" xr:uid="{FD611760-2EC4-4BB3-9C88-077B95CB76FF}"/>
    <cellStyle name="Dezimal 35 15 2" xfId="12604" xr:uid="{483F9794-E961-4EAF-90A9-597944A5A784}"/>
    <cellStyle name="Dezimal 35 15 2 2" xfId="32041" xr:uid="{25D79BA4-1D94-4E59-8CAC-3154D6D879EE}"/>
    <cellStyle name="Dezimal 35 15 3" xfId="32040" xr:uid="{FFCCB1AD-A0DB-412B-97FA-1B88E4363DE0}"/>
    <cellStyle name="Dezimal 35 16" xfId="12605" xr:uid="{B6BECC6B-C075-4ABD-A0D0-5672567212A1}"/>
    <cellStyle name="Dezimal 35 16 2" xfId="12606" xr:uid="{803613A9-C937-4143-8891-B4665F54DABF}"/>
    <cellStyle name="Dezimal 35 16 2 2" xfId="32043" xr:uid="{2EC18125-CE1C-4817-9D7E-1CD6D7E77FAD}"/>
    <cellStyle name="Dezimal 35 16 3" xfId="32042" xr:uid="{3D8ACE2E-E73B-4536-ADBB-82B0841EA2EF}"/>
    <cellStyle name="Dezimal 35 17" xfId="12607" xr:uid="{8C465DB5-86D2-4FBF-82DE-4B27C6769488}"/>
    <cellStyle name="Dezimal 35 17 2" xfId="12608" xr:uid="{83F55740-6165-4820-B13D-3C0876B5EB4F}"/>
    <cellStyle name="Dezimal 35 17 2 2" xfId="32045" xr:uid="{2DE321AF-58F7-414D-8975-F599E3384016}"/>
    <cellStyle name="Dezimal 35 17 3" xfId="32044" xr:uid="{1F7212A4-F330-4CD7-866A-B56FB11EA260}"/>
    <cellStyle name="Dezimal 35 18" xfId="12609" xr:uid="{188218A9-DFD2-423E-B54C-7D25625EF509}"/>
    <cellStyle name="Dezimal 35 18 2" xfId="12610" xr:uid="{09816475-72EE-4293-9ECC-20092447FB64}"/>
    <cellStyle name="Dezimal 35 18 2 2" xfId="32047" xr:uid="{72466D20-99DB-428A-A59B-83A75A2CDEEF}"/>
    <cellStyle name="Dezimal 35 18 3" xfId="32046" xr:uid="{E602DAA8-CA52-43B7-A5A3-E2F77CCB5E6A}"/>
    <cellStyle name="Dezimal 35 19" xfId="12611" xr:uid="{D399BE7B-19E3-4021-8C91-917F6A59ED86}"/>
    <cellStyle name="Dezimal 35 19 2" xfId="12612" xr:uid="{93A7543B-CF64-4A26-9D42-9CC620C074ED}"/>
    <cellStyle name="Dezimal 35 19 2 2" xfId="32049" xr:uid="{EE1D7174-E622-42A7-A18B-20609EE95AC3}"/>
    <cellStyle name="Dezimal 35 19 3" xfId="32048" xr:uid="{4A1852B6-7112-4A41-A595-1EFF88727EEF}"/>
    <cellStyle name="Dezimal 35 2" xfId="12613" xr:uid="{1E043422-6C2C-483E-B321-8816B6081883}"/>
    <cellStyle name="Dezimal 35 2 2" xfId="12614" xr:uid="{2E5F6FF5-02BA-4C04-8666-0B7EA92D5779}"/>
    <cellStyle name="Dezimal 35 2 2 2" xfId="32051" xr:uid="{8912A8C0-FC77-4B74-B272-BE4EE36CDC4B}"/>
    <cellStyle name="Dezimal 35 2 3" xfId="32050" xr:uid="{4B11045B-31BF-4677-8A7E-A1FC9864E185}"/>
    <cellStyle name="Dezimal 35 20" xfId="12615" xr:uid="{9D757C42-C9EB-4AAE-8308-76D71958367D}"/>
    <cellStyle name="Dezimal 35 20 2" xfId="32052" xr:uid="{B3C2A3EF-C085-4630-A4CF-E88AF418B644}"/>
    <cellStyle name="Dezimal 35 21" xfId="12616" xr:uid="{3474AD9C-C8A6-4D95-9D05-20DF3072C540}"/>
    <cellStyle name="Dezimal 35 21 2" xfId="32053" xr:uid="{98C82525-CCD8-4A40-9321-3DEA5BF927B8}"/>
    <cellStyle name="Dezimal 35 22" xfId="12617" xr:uid="{F58B5837-2543-4C5D-B0AF-A983DFABAE90}"/>
    <cellStyle name="Dezimal 35 22 2" xfId="32054" xr:uid="{713B307A-6777-431A-A5F2-82591F02A4A4}"/>
    <cellStyle name="Dezimal 35 23" xfId="12618" xr:uid="{27D0878A-918A-4AA0-8C11-997EA75EA2D6}"/>
    <cellStyle name="Dezimal 35 23 2" xfId="32055" xr:uid="{D4E295DE-6A99-4715-BDE1-044D30D939C1}"/>
    <cellStyle name="Dezimal 35 24" xfId="12619" xr:uid="{9734729F-8D42-45CD-8FAC-F227AF9AD28D}"/>
    <cellStyle name="Dezimal 35 24 2" xfId="32056" xr:uid="{FF42B808-E560-44B5-952B-4A13A09BF124}"/>
    <cellStyle name="Dezimal 35 25" xfId="12620" xr:uid="{DD151E5C-1AA4-45D7-9961-5551DF1FDCF2}"/>
    <cellStyle name="Dezimal 35 25 2" xfId="32057" xr:uid="{9ACA0BBB-8C00-4C97-86B7-80F3EE8CE571}"/>
    <cellStyle name="Dezimal 35 26" xfId="12621" xr:uid="{E6D864A2-07C1-4E4F-B1C5-EC14FCDCB906}"/>
    <cellStyle name="Dezimal 35 26 2" xfId="32058" xr:uid="{5192DB03-42D0-4C85-AD22-E075C7ED865C}"/>
    <cellStyle name="Dezimal 35 27" xfId="12622" xr:uid="{458FD2CB-F4FD-42C4-AC32-68815366137F}"/>
    <cellStyle name="Dezimal 35 27 2" xfId="32059" xr:uid="{2398B322-CD2C-4887-8B57-F05CD0FED675}"/>
    <cellStyle name="Dezimal 35 28" xfId="12623" xr:uid="{C8A15D5D-061F-48C3-B125-060225193D08}"/>
    <cellStyle name="Dezimal 35 28 2" xfId="32060" xr:uid="{2D767EF9-9D70-4F0A-93E1-E7CE2B39A000}"/>
    <cellStyle name="Dezimal 35 29" xfId="12624" xr:uid="{FB676EE7-69DC-409E-AAAF-A2EB3D82B3C4}"/>
    <cellStyle name="Dezimal 35 29 2" xfId="32061" xr:uid="{9986A634-9DF6-4BAE-8A96-036EF7F470E4}"/>
    <cellStyle name="Dezimal 35 3" xfId="12625" xr:uid="{3FCBD653-E632-49F4-9DC4-FC62BB2E01DB}"/>
    <cellStyle name="Dezimal 35 3 2" xfId="12626" xr:uid="{263462EB-B277-4136-944F-E96CB8FE0507}"/>
    <cellStyle name="Dezimal 35 3 2 2" xfId="32063" xr:uid="{01402D36-EF56-4F22-88B9-9D69B098CDAA}"/>
    <cellStyle name="Dezimal 35 3 3" xfId="32062" xr:uid="{395E8753-D499-4D7B-A733-2CD0CF9020F7}"/>
    <cellStyle name="Dezimal 35 30" xfId="12627" xr:uid="{C92D348F-53BA-4CEA-976F-60FE1564C64B}"/>
    <cellStyle name="Dezimal 35 30 2" xfId="32064" xr:uid="{B0F74259-89BD-4735-8E80-7BEA2056BF60}"/>
    <cellStyle name="Dezimal 35 31" xfId="12628" xr:uid="{D03B34FD-9C17-4F80-8562-AC6711F6EBA9}"/>
    <cellStyle name="Dezimal 35 31 2" xfId="32065" xr:uid="{991DDB02-C242-4D7C-AE91-9F60FEB55850}"/>
    <cellStyle name="Dezimal 35 32" xfId="12629" xr:uid="{13C4780D-593E-4A6B-93B1-8E7EA8F37187}"/>
    <cellStyle name="Dezimal 35 32 2" xfId="32066" xr:uid="{944A9D60-0948-4A61-8B14-6E580CE6BD68}"/>
    <cellStyle name="Dezimal 35 33" xfId="12630" xr:uid="{36FB2EC6-3E83-4411-A1A4-A3DDB5E5394D}"/>
    <cellStyle name="Dezimal 35 33 2" xfId="32067" xr:uid="{9B3B857F-A219-40D8-A91F-8AC64B48338F}"/>
    <cellStyle name="Dezimal 35 34" xfId="12631" xr:uid="{5C8F12BA-6347-4D81-AF99-56A81AA3DCA1}"/>
    <cellStyle name="Dezimal 35 34 2" xfId="32068" xr:uid="{B240A9E2-4902-4992-AF85-7052D7DA06BE}"/>
    <cellStyle name="Dezimal 35 35" xfId="12632" xr:uid="{0FF132F1-7A24-41F4-B664-15734E4C13F2}"/>
    <cellStyle name="Dezimal 35 35 2" xfId="32069" xr:uid="{A2BC8DDB-4BE5-41CF-B1C3-9366DD599B2B}"/>
    <cellStyle name="Dezimal 35 36" xfId="12633" xr:uid="{07289EEE-466B-4958-B0C5-C9EB95B659C4}"/>
    <cellStyle name="Dezimal 35 36 2" xfId="32070" xr:uid="{D697BCF4-0C3E-4775-B768-066708ACAD7A}"/>
    <cellStyle name="Dezimal 35 37" xfId="12634" xr:uid="{C7276B9B-F5A7-4586-9AFF-89792C8512E8}"/>
    <cellStyle name="Dezimal 35 37 2" xfId="32071" xr:uid="{EEC409E0-43A2-471D-92BE-CD7C02E16EA6}"/>
    <cellStyle name="Dezimal 35 38" xfId="12635" xr:uid="{BBC049E2-E08E-4D15-86FA-747059BF2425}"/>
    <cellStyle name="Dezimal 35 38 2" xfId="32072" xr:uid="{43471AC0-4A61-432D-9D01-D8DBEAF6330B}"/>
    <cellStyle name="Dezimal 35 39" xfId="12636" xr:uid="{E4F58F82-9F4E-430E-9FE0-77E6FB615057}"/>
    <cellStyle name="Dezimal 35 39 2" xfId="32073" xr:uid="{9F944191-F1C1-4515-9D30-EB2C242837DF}"/>
    <cellStyle name="Dezimal 35 4" xfId="12637" xr:uid="{16C231FB-2E41-4776-AD02-1D68CB4DFE4C}"/>
    <cellStyle name="Dezimal 35 4 2" xfId="12638" xr:uid="{FB49F07A-BAE8-41A7-9DF7-32AA2F75AF5B}"/>
    <cellStyle name="Dezimal 35 4 2 2" xfId="32075" xr:uid="{E3111B3A-F62A-4FE6-BCA8-F0744633F54E}"/>
    <cellStyle name="Dezimal 35 4 3" xfId="32074" xr:uid="{F68B701C-6424-4F40-A086-782A614B77DD}"/>
    <cellStyle name="Dezimal 35 40" xfId="12639" xr:uid="{250FEDBA-766F-4199-911D-D00C389C2A55}"/>
    <cellStyle name="Dezimal 35 40 2" xfId="32076" xr:uid="{8519411E-F4A7-4D3B-9B3B-80ABDFFE5485}"/>
    <cellStyle name="Dezimal 35 41" xfId="32029" xr:uid="{49036EF8-31FC-4CCB-ADCA-950894D2CBC7}"/>
    <cellStyle name="Dezimal 35 5" xfId="12640" xr:uid="{D43B7274-A702-4476-9450-185E92AB6122}"/>
    <cellStyle name="Dezimal 35 5 2" xfId="12641" xr:uid="{26C5B1A9-F8DC-4F63-8AE9-266CB0247602}"/>
    <cellStyle name="Dezimal 35 5 2 2" xfId="32078" xr:uid="{03575C1A-4A81-4DD8-A0FF-8B6ED4A05ECE}"/>
    <cellStyle name="Dezimal 35 5 3" xfId="32077" xr:uid="{30242089-395E-4E07-873F-B2158CCCE867}"/>
    <cellStyle name="Dezimal 35 6" xfId="12642" xr:uid="{5701E703-2766-46B2-A239-F33F4B5452C2}"/>
    <cellStyle name="Dezimal 35 6 2" xfId="12643" xr:uid="{0E3F2A85-D34A-4540-99D2-FF7BB38EDF0D}"/>
    <cellStyle name="Dezimal 35 6 2 2" xfId="32080" xr:uid="{81061088-FA68-4618-84DD-38012B02F2B8}"/>
    <cellStyle name="Dezimal 35 6 3" xfId="32079" xr:uid="{B42A4E1C-FF84-42D0-B35F-8A440D6C4EDC}"/>
    <cellStyle name="Dezimal 35 7" xfId="12644" xr:uid="{868C4C52-8E7F-4C3E-A107-50027BC4F10B}"/>
    <cellStyle name="Dezimal 35 7 2" xfId="12645" xr:uid="{C023FA59-413D-45B4-ABB9-A2C9EB1E0057}"/>
    <cellStyle name="Dezimal 35 7 2 2" xfId="32082" xr:uid="{98F2C4DB-BDAD-4ACE-A4DB-A7F569ED7B06}"/>
    <cellStyle name="Dezimal 35 7 3" xfId="32081" xr:uid="{7B3EE4AC-D2EE-4E64-B413-07BD6B42529F}"/>
    <cellStyle name="Dezimal 35 8" xfId="12646" xr:uid="{9C59B9BC-BBF9-434C-BF2D-C09232B6C7FF}"/>
    <cellStyle name="Dezimal 35 8 2" xfId="12647" xr:uid="{342AEC19-DDE5-4E75-8FA1-6C087909789D}"/>
    <cellStyle name="Dezimal 35 8 2 2" xfId="32084" xr:uid="{3A288246-DE18-4A97-8FEA-980EC1724ECF}"/>
    <cellStyle name="Dezimal 35 8 3" xfId="32083" xr:uid="{82A2E53E-7FDE-479E-BAEC-7F3F4E0D060F}"/>
    <cellStyle name="Dezimal 35 9" xfId="12648" xr:uid="{5E66B3DC-FCF6-4280-A275-C89CF5FD0D70}"/>
    <cellStyle name="Dezimal 35 9 2" xfId="12649" xr:uid="{F663ACCD-9193-41E4-8967-6C190E783B76}"/>
    <cellStyle name="Dezimal 35 9 2 2" xfId="32086" xr:uid="{0CBC1AFD-0501-4679-AAA2-DBE4DCEFD947}"/>
    <cellStyle name="Dezimal 35 9 3" xfId="32085" xr:uid="{F20B7262-177D-4A69-AF38-CBDE70878FE6}"/>
    <cellStyle name="Dezimal 36" xfId="12650" xr:uid="{34C6A96B-066A-4F09-87AE-1ED3ABDF3C02}"/>
    <cellStyle name="Dezimal 36 10" xfId="12651" xr:uid="{829F8C06-B96C-4F40-BED9-D97856AEB69D}"/>
    <cellStyle name="Dezimal 36 10 2" xfId="12652" xr:uid="{38E282C1-F0E4-4152-A3C7-191D4B7414CE}"/>
    <cellStyle name="Dezimal 36 10 2 2" xfId="32089" xr:uid="{EA6A7256-7704-428B-8DD1-93CD30A9CCCE}"/>
    <cellStyle name="Dezimal 36 10 3" xfId="32088" xr:uid="{8F03CCC8-8FDB-4EC8-9404-F937554402FE}"/>
    <cellStyle name="Dezimal 36 11" xfId="12653" xr:uid="{688925E6-529B-4E53-B854-EE02EBEDAB69}"/>
    <cellStyle name="Dezimal 36 11 2" xfId="12654" xr:uid="{54738177-E5A0-4D27-8EFD-8F230E1869EF}"/>
    <cellStyle name="Dezimal 36 11 2 2" xfId="32091" xr:uid="{B071CAA7-7799-4BA5-AEFD-78A0A3C3FAF0}"/>
    <cellStyle name="Dezimal 36 11 3" xfId="32090" xr:uid="{3B733C27-FB22-4DA4-9DB6-7C00D42DAF7A}"/>
    <cellStyle name="Dezimal 36 12" xfId="12655" xr:uid="{B8632C9C-1FB3-4C9A-A465-BDC2C24D12BF}"/>
    <cellStyle name="Dezimal 36 12 2" xfId="12656" xr:uid="{09F43A3E-B2B7-4A4B-ACE3-483351746377}"/>
    <cellStyle name="Dezimal 36 12 2 2" xfId="32093" xr:uid="{F9A0BB4F-5C0D-46F7-823D-8AEC6374E0CB}"/>
    <cellStyle name="Dezimal 36 12 3" xfId="32092" xr:uid="{C63A55FE-50FD-46DE-B7FE-C588296657BE}"/>
    <cellStyle name="Dezimal 36 13" xfId="12657" xr:uid="{4E12D13C-8BF9-40B8-A84F-68013A7A72F8}"/>
    <cellStyle name="Dezimal 36 13 2" xfId="12658" xr:uid="{7181A622-EBA2-4FAD-8B25-BF619CA68ED1}"/>
    <cellStyle name="Dezimal 36 13 2 2" xfId="32095" xr:uid="{4BF1FCF5-BD84-4E7F-810A-75B5EE55994D}"/>
    <cellStyle name="Dezimal 36 13 3" xfId="32094" xr:uid="{9D52E4FC-5840-4D0E-8AA0-820A57938333}"/>
    <cellStyle name="Dezimal 36 14" xfId="12659" xr:uid="{5655C060-A882-49C7-8392-8DD61DB62102}"/>
    <cellStyle name="Dezimal 36 14 2" xfId="12660" xr:uid="{A5D50E7C-9D32-4191-B5A9-841734E30C6A}"/>
    <cellStyle name="Dezimal 36 14 2 2" xfId="32097" xr:uid="{16490B2C-9287-4933-BE70-390F5C8FD41B}"/>
    <cellStyle name="Dezimal 36 14 3" xfId="32096" xr:uid="{F5F77678-7669-4D3D-B823-FF4EACCCDCE4}"/>
    <cellStyle name="Dezimal 36 15" xfId="12661" xr:uid="{337C4259-C3FB-41CA-9A23-E74C2FA795C4}"/>
    <cellStyle name="Dezimal 36 15 2" xfId="12662" xr:uid="{8D85AF42-9774-4D26-A5C6-02ECE9F5DB16}"/>
    <cellStyle name="Dezimal 36 15 2 2" xfId="32099" xr:uid="{1387D881-A7BC-4A17-871D-923AB1317094}"/>
    <cellStyle name="Dezimal 36 15 3" xfId="32098" xr:uid="{D25296BD-484E-4A09-96FC-83B47FED44B2}"/>
    <cellStyle name="Dezimal 36 16" xfId="12663" xr:uid="{C0E6B53C-FEE5-47EF-8912-97AC7E606070}"/>
    <cellStyle name="Dezimal 36 16 2" xfId="12664" xr:uid="{4310ED6A-7FB0-403B-B170-FEBB5443F165}"/>
    <cellStyle name="Dezimal 36 16 2 2" xfId="32101" xr:uid="{7813BED2-BB21-43E7-A38F-25B72BF7EFA8}"/>
    <cellStyle name="Dezimal 36 16 3" xfId="32100" xr:uid="{5CE5F263-6AE3-4775-AEE1-2FD38BC34E6B}"/>
    <cellStyle name="Dezimal 36 17" xfId="12665" xr:uid="{335F7AEF-3335-4005-B387-0AE1E0FA9ACA}"/>
    <cellStyle name="Dezimal 36 17 2" xfId="12666" xr:uid="{1B7A5F80-8BE0-47C8-A5B3-D8189FF3CA1F}"/>
    <cellStyle name="Dezimal 36 17 2 2" xfId="32103" xr:uid="{1D56BC86-FA70-44B7-8078-8D847B5791C1}"/>
    <cellStyle name="Dezimal 36 17 3" xfId="32102" xr:uid="{23CA7365-2EA5-420B-A047-5915C4098E56}"/>
    <cellStyle name="Dezimal 36 18" xfId="12667" xr:uid="{22B8A927-70C8-4982-B45F-3EA66BBF2FB0}"/>
    <cellStyle name="Dezimal 36 18 2" xfId="12668" xr:uid="{D3744BBB-E209-44FD-98BD-45E223E8B1F0}"/>
    <cellStyle name="Dezimal 36 18 2 2" xfId="32105" xr:uid="{A6455B98-426B-473B-9561-5C87C2195BF0}"/>
    <cellStyle name="Dezimal 36 18 3" xfId="32104" xr:uid="{53769B21-E20C-4EB6-81D3-89238F593A5E}"/>
    <cellStyle name="Dezimal 36 19" xfId="12669" xr:uid="{D011999B-603F-4549-AF06-31797DA9F505}"/>
    <cellStyle name="Dezimal 36 19 2" xfId="12670" xr:uid="{85CEFA92-B14D-459D-85BA-D41C3F2DDB99}"/>
    <cellStyle name="Dezimal 36 19 2 2" xfId="32107" xr:uid="{15D90B09-4A13-4BD5-BC45-7B5ADE4497F9}"/>
    <cellStyle name="Dezimal 36 19 3" xfId="32106" xr:uid="{6D9DE400-234F-4C83-A88F-9F016D0ADC9F}"/>
    <cellStyle name="Dezimal 36 2" xfId="12671" xr:uid="{19EA9BF1-C718-4E30-A365-97DB28B0E287}"/>
    <cellStyle name="Dezimal 36 2 2" xfId="12672" xr:uid="{ABF405F2-4C65-40DC-A308-3E7E232DBA78}"/>
    <cellStyle name="Dezimal 36 2 2 2" xfId="32109" xr:uid="{7064F5D1-B508-4840-9131-4369E4037B8C}"/>
    <cellStyle name="Dezimal 36 2 3" xfId="32108" xr:uid="{B31D9E46-37B8-4EA8-BC41-88CC2B912534}"/>
    <cellStyle name="Dezimal 36 20" xfId="12673" xr:uid="{F1AA94B7-172B-4610-BC68-012FA8732700}"/>
    <cellStyle name="Dezimal 36 20 2" xfId="32110" xr:uid="{21635343-3514-443E-A6BF-A4C4A84471E8}"/>
    <cellStyle name="Dezimal 36 21" xfId="12674" xr:uid="{9BCBA171-3547-4CA0-9B37-5A22093F66C3}"/>
    <cellStyle name="Dezimal 36 21 2" xfId="32111" xr:uid="{09396AD5-98AC-4440-BD9A-4B617A37BCE7}"/>
    <cellStyle name="Dezimal 36 22" xfId="12675" xr:uid="{B28D044F-A5A4-49DC-AB3A-CF78D46AA9C8}"/>
    <cellStyle name="Dezimal 36 22 2" xfId="32112" xr:uid="{C8447081-DC06-4991-AE17-36C2658875B1}"/>
    <cellStyle name="Dezimal 36 23" xfId="12676" xr:uid="{A74CFC3E-A211-472C-9585-9238E6DD0E46}"/>
    <cellStyle name="Dezimal 36 23 2" xfId="32113" xr:uid="{CCCD8F7F-C65E-4F4C-9F43-12EF8A1C52CD}"/>
    <cellStyle name="Dezimal 36 24" xfId="12677" xr:uid="{8ABC8DF8-EE09-448D-A93E-B3F778F016BC}"/>
    <cellStyle name="Dezimal 36 24 2" xfId="32114" xr:uid="{6C5481A5-A9F2-4467-884E-97277D97C18C}"/>
    <cellStyle name="Dezimal 36 25" xfId="12678" xr:uid="{1FB3941C-9E86-49BC-8B95-347E9A0C02A3}"/>
    <cellStyle name="Dezimal 36 25 2" xfId="32115" xr:uid="{0A108018-395C-4679-8441-10C49F33CC70}"/>
    <cellStyle name="Dezimal 36 26" xfId="12679" xr:uid="{752E677B-6D69-49A5-B958-318A9C350FA9}"/>
    <cellStyle name="Dezimal 36 26 2" xfId="32116" xr:uid="{5817493F-0CBF-4FE9-8980-198ADD6EA70C}"/>
    <cellStyle name="Dezimal 36 27" xfId="12680" xr:uid="{C17C90D0-1D61-4DBC-B2A2-4C69D41896DE}"/>
    <cellStyle name="Dezimal 36 27 2" xfId="32117" xr:uid="{18530AFA-B0FC-45B8-97B1-2AE2C49952FD}"/>
    <cellStyle name="Dezimal 36 28" xfId="12681" xr:uid="{7743A02D-53C0-4E76-8BD6-72D41750CB72}"/>
    <cellStyle name="Dezimal 36 28 2" xfId="32118" xr:uid="{0581690A-E186-4FCF-BC0A-8CEBCD2597FE}"/>
    <cellStyle name="Dezimal 36 29" xfId="12682" xr:uid="{961EAC5B-C066-406B-A017-391BCEAFDF30}"/>
    <cellStyle name="Dezimal 36 29 2" xfId="32119" xr:uid="{D11A1736-EE32-4488-AE14-487041E89A03}"/>
    <cellStyle name="Dezimal 36 3" xfId="12683" xr:uid="{DE362F02-AF07-42A8-853D-629CFE02289E}"/>
    <cellStyle name="Dezimal 36 3 2" xfId="12684" xr:uid="{48946FB6-522C-4824-8208-EED5CBFD21BD}"/>
    <cellStyle name="Dezimal 36 3 2 2" xfId="32121" xr:uid="{5B330CB3-EEB3-485B-9CF3-B9B7EBF96E81}"/>
    <cellStyle name="Dezimal 36 3 3" xfId="32120" xr:uid="{3664F7AA-652E-48C6-8724-977A889AB342}"/>
    <cellStyle name="Dezimal 36 30" xfId="12685" xr:uid="{2DC352B0-0294-44ED-B29C-46D2A908147D}"/>
    <cellStyle name="Dezimal 36 30 2" xfId="32122" xr:uid="{2018BF44-D0B1-4DB4-90F7-161503B1DBC6}"/>
    <cellStyle name="Dezimal 36 31" xfId="12686" xr:uid="{ADA23AAC-CF61-4109-8F0A-A0F1ED1A389D}"/>
    <cellStyle name="Dezimal 36 31 2" xfId="32123" xr:uid="{7394078A-1D78-4B25-BA42-947B1DE93E3A}"/>
    <cellStyle name="Dezimal 36 32" xfId="12687" xr:uid="{8EB776C1-6811-4C6C-90C2-BEC2E8CF327F}"/>
    <cellStyle name="Dezimal 36 32 2" xfId="32124" xr:uid="{447FBE2C-5C0F-463D-9EFC-7E93561ACCBC}"/>
    <cellStyle name="Dezimal 36 33" xfId="12688" xr:uid="{49219E75-0875-4DD1-A04A-01AC66691DE3}"/>
    <cellStyle name="Dezimal 36 33 2" xfId="32125" xr:uid="{609AC303-32F3-4893-B0CA-B3B56D19C8C4}"/>
    <cellStyle name="Dezimal 36 34" xfId="12689" xr:uid="{F8798825-DB5E-4FF3-97F5-BE0106160B19}"/>
    <cellStyle name="Dezimal 36 34 2" xfId="32126" xr:uid="{AF034220-E3C2-4460-8392-D8CB166F2716}"/>
    <cellStyle name="Dezimal 36 35" xfId="12690" xr:uid="{441096AC-9136-49B2-BE67-B0741DA1B2EB}"/>
    <cellStyle name="Dezimal 36 35 2" xfId="32127" xr:uid="{DE9E9F86-E900-4ECE-8006-57496D1A6A82}"/>
    <cellStyle name="Dezimal 36 36" xfId="12691" xr:uid="{92B03910-385E-43D8-8D0F-48AEB3BB6942}"/>
    <cellStyle name="Dezimal 36 36 2" xfId="32128" xr:uid="{4A4919BB-D4D3-4B3D-88E5-B80E3D9665F8}"/>
    <cellStyle name="Dezimal 36 37" xfId="12692" xr:uid="{6097A23D-DA3B-4246-8FE0-8E4DAC73B2A2}"/>
    <cellStyle name="Dezimal 36 37 2" xfId="32129" xr:uid="{30D9C3E7-00FB-4EDC-99E5-707AA80C008F}"/>
    <cellStyle name="Dezimal 36 38" xfId="12693" xr:uid="{2750DDB0-7CF3-4814-8C29-C70877D7BD67}"/>
    <cellStyle name="Dezimal 36 38 2" xfId="32130" xr:uid="{FEADBC59-F735-4A5A-8A62-07ED10670AA7}"/>
    <cellStyle name="Dezimal 36 39" xfId="12694" xr:uid="{0F7C4577-3E8A-43C2-875D-B4688CDAB562}"/>
    <cellStyle name="Dezimal 36 39 2" xfId="32131" xr:uid="{CE4569CB-1F22-4AC5-8FF2-E9119AFD81CA}"/>
    <cellStyle name="Dezimal 36 4" xfId="12695" xr:uid="{2D6B2FD8-BF2B-49A3-BCAE-1D7EE4D9E67C}"/>
    <cellStyle name="Dezimal 36 4 2" xfId="12696" xr:uid="{24564698-80CC-46EE-A4FE-7F137DDB45EC}"/>
    <cellStyle name="Dezimal 36 4 2 2" xfId="32133" xr:uid="{E57AFF74-2002-4725-9C22-168D3797CBEF}"/>
    <cellStyle name="Dezimal 36 4 3" xfId="32132" xr:uid="{47EF3DEE-A6E4-4E8B-8866-3E9B55EF26A8}"/>
    <cellStyle name="Dezimal 36 40" xfId="12697" xr:uid="{779D1AB2-7621-43AA-9967-1647FED3B961}"/>
    <cellStyle name="Dezimal 36 40 2" xfId="32134" xr:uid="{BA64E45C-E5F3-470C-A561-48608B389AF3}"/>
    <cellStyle name="Dezimal 36 41" xfId="32087" xr:uid="{0AD7E13B-C3CF-493E-AE45-A0DC2E80DEEE}"/>
    <cellStyle name="Dezimal 36 5" xfId="12698" xr:uid="{29D2D4E3-56CA-4AE4-B7F2-D58D5CD5ED53}"/>
    <cellStyle name="Dezimal 36 5 2" xfId="12699" xr:uid="{22BBB778-B10D-459F-8ED3-26D30AFA4FE1}"/>
    <cellStyle name="Dezimal 36 5 2 2" xfId="32136" xr:uid="{AF85BE25-F390-45A9-9769-87DC8497F5DB}"/>
    <cellStyle name="Dezimal 36 5 3" xfId="32135" xr:uid="{54FC84ED-BF06-4EF3-BD29-F01793145EEB}"/>
    <cellStyle name="Dezimal 36 6" xfId="12700" xr:uid="{440DB31C-860A-4507-B488-67844AF3DD08}"/>
    <cellStyle name="Dezimal 36 6 2" xfId="12701" xr:uid="{D19F7E82-E374-408F-A1EF-F0F07453DB7C}"/>
    <cellStyle name="Dezimal 36 6 2 2" xfId="32138" xr:uid="{0ACFE441-3814-45FF-824B-C52D3809B5F0}"/>
    <cellStyle name="Dezimal 36 6 3" xfId="32137" xr:uid="{FE5F8222-B4E1-4AA5-AE60-0BA3FB795F59}"/>
    <cellStyle name="Dezimal 36 7" xfId="12702" xr:uid="{E8A25AB5-CFCB-46B3-97CA-21745554DAA5}"/>
    <cellStyle name="Dezimal 36 7 2" xfId="12703" xr:uid="{C81D676F-ABB1-4954-B79F-AF6C4038AAF0}"/>
    <cellStyle name="Dezimal 36 7 2 2" xfId="32140" xr:uid="{A863318B-4D23-4836-A822-CE12FD498FE7}"/>
    <cellStyle name="Dezimal 36 7 3" xfId="32139" xr:uid="{C464986A-30EC-4910-AEBA-0D7FB710EADE}"/>
    <cellStyle name="Dezimal 36 8" xfId="12704" xr:uid="{AFB244D6-9C2A-4FEC-BD58-A8F097ECEA1D}"/>
    <cellStyle name="Dezimal 36 8 2" xfId="12705" xr:uid="{282F858C-AC5E-435A-BA34-F557135685ED}"/>
    <cellStyle name="Dezimal 36 8 2 2" xfId="32142" xr:uid="{50315670-B394-4175-A5BE-D0BE1B0060CA}"/>
    <cellStyle name="Dezimal 36 8 3" xfId="32141" xr:uid="{5BB662BB-F15E-4CBF-B6C2-F58B5036C6EC}"/>
    <cellStyle name="Dezimal 36 9" xfId="12706" xr:uid="{06FC2A52-D8F0-49D9-8FA9-495F2E2D70F4}"/>
    <cellStyle name="Dezimal 36 9 2" xfId="12707" xr:uid="{F7488821-AB86-4C16-81EC-09AD7F26F58A}"/>
    <cellStyle name="Dezimal 36 9 2 2" xfId="32144" xr:uid="{90881026-2F95-4A68-B12D-C7BAE2A66FD4}"/>
    <cellStyle name="Dezimal 36 9 3" xfId="32143" xr:uid="{BF8193CC-F162-4A74-A7F2-61BC34F9AE5E}"/>
    <cellStyle name="Dezimal 37" xfId="12708" xr:uid="{71C191AE-B27B-440F-9F4C-F101DB5D5A92}"/>
    <cellStyle name="Dezimal 37 10" xfId="12709" xr:uid="{F2DE25D9-C858-457C-BFAD-615C8B0DB40C}"/>
    <cellStyle name="Dezimal 37 10 2" xfId="12710" xr:uid="{3D4AE1E5-6BD1-40C1-A6D5-85EFA4C55299}"/>
    <cellStyle name="Dezimal 37 10 2 2" xfId="32147" xr:uid="{D0494C96-8B4E-40E8-99F0-7414A79CD0EF}"/>
    <cellStyle name="Dezimal 37 10 3" xfId="32146" xr:uid="{94063448-730E-46BA-9B18-F84B49C9E514}"/>
    <cellStyle name="Dezimal 37 11" xfId="12711" xr:uid="{D149D12E-4A56-4AC4-A53A-30D0A61FC130}"/>
    <cellStyle name="Dezimal 37 11 2" xfId="32148" xr:uid="{CA92D3A3-065E-46CB-8618-470026AB48C2}"/>
    <cellStyle name="Dezimal 37 12" xfId="12712" xr:uid="{E38719A6-FD87-4A37-B441-C77CBE00A82F}"/>
    <cellStyle name="Dezimal 37 12 2" xfId="32149" xr:uid="{DBA33ACA-DC30-44A0-9B8C-DA9A9DFB6A2D}"/>
    <cellStyle name="Dezimal 37 13" xfId="12713" xr:uid="{874845C7-829F-4DFB-BEFA-1FE029AD1971}"/>
    <cellStyle name="Dezimal 37 13 2" xfId="32150" xr:uid="{F9EE04AF-0E31-418D-8A84-29F23CD7FF07}"/>
    <cellStyle name="Dezimal 37 14" xfId="12714" xr:uid="{8DFD18BC-217B-44D3-B418-61FB705E36E8}"/>
    <cellStyle name="Dezimal 37 14 2" xfId="32151" xr:uid="{5F55061F-46D7-4A17-928C-0402E74E9CC6}"/>
    <cellStyle name="Dezimal 37 15" xfId="12715" xr:uid="{D8CB072D-C4F0-4D1E-87A8-FDDF1C210A8D}"/>
    <cellStyle name="Dezimal 37 15 2" xfId="32152" xr:uid="{4A52CAAD-F10B-4855-B5AC-1AC0B27BF810}"/>
    <cellStyle name="Dezimal 37 16" xfId="12716" xr:uid="{8223CBF4-51C4-4B2C-88F1-1735A7258D03}"/>
    <cellStyle name="Dezimal 37 16 2" xfId="32153" xr:uid="{EED6F758-339C-45AF-833B-9DDF01200E07}"/>
    <cellStyle name="Dezimal 37 17" xfId="12717" xr:uid="{29934D29-BF19-4A60-9994-BF1E2CE58DEF}"/>
    <cellStyle name="Dezimal 37 17 2" xfId="32154" xr:uid="{3E791C6A-46EA-4A45-907D-6CCE60ED2BF7}"/>
    <cellStyle name="Dezimal 37 18" xfId="12718" xr:uid="{F7F08CEC-790A-467A-938E-149FF8062688}"/>
    <cellStyle name="Dezimal 37 18 2" xfId="32155" xr:uid="{CA22AC58-F266-4D70-B913-649E2C03E169}"/>
    <cellStyle name="Dezimal 37 19" xfId="12719" xr:uid="{E1279664-8AB8-4F49-BFAD-57A98BC7F24A}"/>
    <cellStyle name="Dezimal 37 19 2" xfId="32156" xr:uid="{229056A8-ECA7-4CB1-B1FE-27FADBC29D13}"/>
    <cellStyle name="Dezimal 37 2" xfId="12720" xr:uid="{9BCFAC61-88DA-435F-B3DE-AF7D9935471D}"/>
    <cellStyle name="Dezimal 37 2 2" xfId="12721" xr:uid="{B90F66EC-EF51-4F35-B15C-188A86857691}"/>
    <cellStyle name="Dezimal 37 2 2 2" xfId="32158" xr:uid="{77ED380C-DB64-4763-A34F-E8FDE12ECF87}"/>
    <cellStyle name="Dezimal 37 2 3" xfId="32157" xr:uid="{0DA3EEEA-3118-44F6-B7FB-885A82C1ACAA}"/>
    <cellStyle name="Dezimal 37 20" xfId="12722" xr:uid="{9EDAAEA4-9F30-46BD-93D4-F7745987CC0B}"/>
    <cellStyle name="Dezimal 37 20 2" xfId="32159" xr:uid="{56B496C5-C205-42A1-B67A-93B5720B4E13}"/>
    <cellStyle name="Dezimal 37 21" xfId="12723" xr:uid="{68751369-117C-4960-A617-DC20F0953DF0}"/>
    <cellStyle name="Dezimal 37 21 2" xfId="32160" xr:uid="{C5F79F1C-EA47-4A8D-94E4-04A9AD15607A}"/>
    <cellStyle name="Dezimal 37 22" xfId="12724" xr:uid="{BAE2B527-5E17-45AD-82B1-E495F5B14280}"/>
    <cellStyle name="Dezimal 37 22 2" xfId="32161" xr:uid="{204CD7A1-BD43-4622-BEA1-D2929DD08E94}"/>
    <cellStyle name="Dezimal 37 23" xfId="12725" xr:uid="{4C6707B3-4723-4E34-833F-291DF4BDB54B}"/>
    <cellStyle name="Dezimal 37 23 2" xfId="32162" xr:uid="{774ACBD4-B4A5-4209-B402-7D76479A1FF3}"/>
    <cellStyle name="Dezimal 37 24" xfId="12726" xr:uid="{CBE8541A-3AD7-45CE-9EE6-057718F5586E}"/>
    <cellStyle name="Dezimal 37 24 2" xfId="32163" xr:uid="{9A8EB693-478E-4843-9835-3F6325CE38F0}"/>
    <cellStyle name="Dezimal 37 25" xfId="12727" xr:uid="{951BE18E-D48B-44C5-90C7-52690CF913F5}"/>
    <cellStyle name="Dezimal 37 25 2" xfId="32164" xr:uid="{26D8A1FF-4185-4E6C-9A0E-F6983B97B734}"/>
    <cellStyle name="Dezimal 37 26" xfId="12728" xr:uid="{AC71A474-FC14-40EB-9676-9DA6F77046C3}"/>
    <cellStyle name="Dezimal 37 26 2" xfId="32165" xr:uid="{D418E5BA-6BD7-4399-AA85-192CCE8640F8}"/>
    <cellStyle name="Dezimal 37 27" xfId="12729" xr:uid="{F1EC3524-0497-4B95-80A0-4860022BE898}"/>
    <cellStyle name="Dezimal 37 27 2" xfId="32166" xr:uid="{23A9A7C6-6792-49E2-B2EC-6CA4345A4C3E}"/>
    <cellStyle name="Dezimal 37 28" xfId="12730" xr:uid="{7B6A3790-735C-436C-81B7-6A9D2ACA0A5E}"/>
    <cellStyle name="Dezimal 37 28 2" xfId="32167" xr:uid="{147B8474-D66A-42A5-B550-75F4418A8257}"/>
    <cellStyle name="Dezimal 37 29" xfId="12731" xr:uid="{05536D1B-27A2-4CEB-8FB9-9BA47D101688}"/>
    <cellStyle name="Dezimal 37 29 2" xfId="32168" xr:uid="{6F1F6336-47A2-4150-8141-8608FD16296A}"/>
    <cellStyle name="Dezimal 37 3" xfId="12732" xr:uid="{D6E0B217-7928-4D04-A104-05E01426C7E4}"/>
    <cellStyle name="Dezimal 37 3 2" xfId="12733" xr:uid="{FC480329-39C5-407A-A722-53F296255FFE}"/>
    <cellStyle name="Dezimal 37 3 2 2" xfId="32170" xr:uid="{DDCC13F4-5B79-498E-97D9-24C173BB0876}"/>
    <cellStyle name="Dezimal 37 3 3" xfId="32169" xr:uid="{0E3038C5-1FA9-4C59-BA71-E86B654A9C62}"/>
    <cellStyle name="Dezimal 37 30" xfId="12734" xr:uid="{E4AE52F8-5503-4E99-B47B-269FF9565EC9}"/>
    <cellStyle name="Dezimal 37 30 2" xfId="32171" xr:uid="{9CD4B391-5CCA-4BC0-A685-72EE00E36191}"/>
    <cellStyle name="Dezimal 37 31" xfId="12735" xr:uid="{6A097DCA-267F-4AA3-BD7A-FA5696E92A09}"/>
    <cellStyle name="Dezimal 37 31 2" xfId="32172" xr:uid="{84708842-5599-40F8-8566-CDE8D91AED1C}"/>
    <cellStyle name="Dezimal 37 32" xfId="32145" xr:uid="{CE66DFAE-77B3-496E-993D-84F5A8C1CB38}"/>
    <cellStyle name="Dezimal 37 4" xfId="12736" xr:uid="{4F4E41C9-C877-4EBE-B38D-DC7123A5BDF2}"/>
    <cellStyle name="Dezimal 37 4 2" xfId="12737" xr:uid="{7A90838B-5D01-4D76-84D1-80DC5DF61897}"/>
    <cellStyle name="Dezimal 37 4 2 2" xfId="32174" xr:uid="{A371E06C-7E47-493F-B733-5614AD295F07}"/>
    <cellStyle name="Dezimal 37 4 3" xfId="32173" xr:uid="{09F501BD-D859-4AC5-9623-7EEABE711C83}"/>
    <cellStyle name="Dezimal 37 5" xfId="12738" xr:uid="{6A0DEFD3-DD99-4579-8426-C7F511C53771}"/>
    <cellStyle name="Dezimal 37 5 2" xfId="12739" xr:uid="{7D0E5B9B-498E-4CE4-84DA-EDB44E2C0D52}"/>
    <cellStyle name="Dezimal 37 5 2 2" xfId="32176" xr:uid="{E32E4A82-5B2F-40DE-8A85-8DF466010E46}"/>
    <cellStyle name="Dezimal 37 5 3" xfId="32175" xr:uid="{16F864B3-2B93-412D-9BCB-E3DDD86AA863}"/>
    <cellStyle name="Dezimal 37 6" xfId="12740" xr:uid="{9EF8DC22-EBEF-4794-B9EB-E0F6525E9E83}"/>
    <cellStyle name="Dezimal 37 6 2" xfId="12741" xr:uid="{BA3DFDBD-C292-460A-82F8-DB236AE72B78}"/>
    <cellStyle name="Dezimal 37 6 2 2" xfId="32178" xr:uid="{EEACF50A-470B-4866-A252-4830FCA8DDD6}"/>
    <cellStyle name="Dezimal 37 6 3" xfId="32177" xr:uid="{6177E974-0471-466F-B609-92527AB71D24}"/>
    <cellStyle name="Dezimal 37 7" xfId="12742" xr:uid="{5FB5F447-307E-4778-8531-D18C6600A2B3}"/>
    <cellStyle name="Dezimal 37 7 2" xfId="12743" xr:uid="{C93F5DA1-B71B-4EE2-B791-611527BC5595}"/>
    <cellStyle name="Dezimal 37 7 2 2" xfId="32180" xr:uid="{D6703AFE-7A27-4536-B13A-1FEDB38C34FC}"/>
    <cellStyle name="Dezimal 37 7 3" xfId="32179" xr:uid="{1E3351EB-E1F6-4BA2-B021-33343A06289A}"/>
    <cellStyle name="Dezimal 37 8" xfId="12744" xr:uid="{68D0890C-5F32-4ACB-A619-DF73ECCF8233}"/>
    <cellStyle name="Dezimal 37 8 2" xfId="12745" xr:uid="{34B3C642-B727-428F-BA1D-511561F2CD41}"/>
    <cellStyle name="Dezimal 37 8 2 2" xfId="32182" xr:uid="{1D8ED63A-A7C2-4EB6-A635-A8FCD7F15430}"/>
    <cellStyle name="Dezimal 37 8 3" xfId="32181" xr:uid="{C83C3B5D-4CFB-4B28-A916-2D10952E8BE3}"/>
    <cellStyle name="Dezimal 37 9" xfId="12746" xr:uid="{9E1BD478-AACB-4AB3-9A3D-38DB692D65C2}"/>
    <cellStyle name="Dezimal 37 9 2" xfId="12747" xr:uid="{0F689706-4AD3-46C9-861E-AF342C83BA80}"/>
    <cellStyle name="Dezimal 37 9 2 2" xfId="32184" xr:uid="{9C5116B2-C680-453D-8BD2-E3AE8E29D352}"/>
    <cellStyle name="Dezimal 37 9 3" xfId="32183" xr:uid="{3824D380-A127-408D-9F4C-3E99C0C3F43E}"/>
    <cellStyle name="Dezimal 38" xfId="12748" xr:uid="{0F1FCE8E-7CB4-4E1F-80CE-068A758FBBCB}"/>
    <cellStyle name="Dezimal 38 10" xfId="12749" xr:uid="{4E457B45-CF87-460C-9FE5-C69F181C1F66}"/>
    <cellStyle name="Dezimal 38 10 2" xfId="12750" xr:uid="{670D5E8C-86B9-4F20-9787-8BDAD8004FBF}"/>
    <cellStyle name="Dezimal 38 10 2 2" xfId="32187" xr:uid="{B1B22234-1A67-4B93-BF5C-67C80AF488B2}"/>
    <cellStyle name="Dezimal 38 10 3" xfId="32186" xr:uid="{3F79728A-7CC2-4451-ADDE-7836A6EC3035}"/>
    <cellStyle name="Dezimal 38 11" xfId="12751" xr:uid="{9D51C29F-15E8-4913-9066-2EF34FDE96F9}"/>
    <cellStyle name="Dezimal 38 11 2" xfId="32188" xr:uid="{6177055D-FD36-4E3E-BEDC-7976A38DEABE}"/>
    <cellStyle name="Dezimal 38 12" xfId="12752" xr:uid="{3EDC2FBE-A795-4B93-A550-9A283D680EB0}"/>
    <cellStyle name="Dezimal 38 12 2" xfId="32189" xr:uid="{862A02A3-55DC-43C5-B1F3-50055BA8AB38}"/>
    <cellStyle name="Dezimal 38 13" xfId="12753" xr:uid="{E6599011-E4B7-4AB7-BCFF-8BCF42BF7B57}"/>
    <cellStyle name="Dezimal 38 13 2" xfId="32190" xr:uid="{748351B1-B8A2-438F-BFB7-816CD36FECD7}"/>
    <cellStyle name="Dezimal 38 14" xfId="12754" xr:uid="{95E1F93F-D5F0-45A3-9E18-F630F3CC88B3}"/>
    <cellStyle name="Dezimal 38 14 2" xfId="32191" xr:uid="{85330B05-55BF-4792-BF0B-84E2EE085B06}"/>
    <cellStyle name="Dezimal 38 15" xfId="12755" xr:uid="{57C00F83-6DE1-47F4-9F21-E5CDB1623FB6}"/>
    <cellStyle name="Dezimal 38 15 2" xfId="32192" xr:uid="{510EB565-CE9D-42D9-AE1A-0B7C10E38DEE}"/>
    <cellStyle name="Dezimal 38 16" xfId="12756" xr:uid="{8FA4694D-1D18-440A-B3AF-46F2D7D333C3}"/>
    <cellStyle name="Dezimal 38 16 2" xfId="32193" xr:uid="{700C4376-9F84-4219-912D-86B124A7CF96}"/>
    <cellStyle name="Dezimal 38 17" xfId="12757" xr:uid="{2FB9B78F-28F1-400E-B41C-2EAEEA187495}"/>
    <cellStyle name="Dezimal 38 17 2" xfId="32194" xr:uid="{A3FE0E3A-8DC6-410A-A599-C58D1FF71E40}"/>
    <cellStyle name="Dezimal 38 18" xfId="12758" xr:uid="{E2E8C30D-553B-4A27-B9E8-39892F75490E}"/>
    <cellStyle name="Dezimal 38 18 2" xfId="32195" xr:uid="{84D1B59D-E31A-4D1F-84C6-586845DBF402}"/>
    <cellStyle name="Dezimal 38 19" xfId="12759" xr:uid="{E258A67A-78D0-470C-85AE-1A406A1F5DC5}"/>
    <cellStyle name="Dezimal 38 19 2" xfId="32196" xr:uid="{5891BD74-659C-4692-8C5C-49CADF440632}"/>
    <cellStyle name="Dezimal 38 2" xfId="12760" xr:uid="{1C213C16-CC82-42EE-86A7-5B220519D411}"/>
    <cellStyle name="Dezimal 38 2 2" xfId="12761" xr:uid="{33BC0DC4-C828-46C7-AA33-B91FAE1B4A96}"/>
    <cellStyle name="Dezimal 38 2 2 2" xfId="32198" xr:uid="{B1674C70-4F42-462C-A739-AF30CAD73E8F}"/>
    <cellStyle name="Dezimal 38 2 3" xfId="32197" xr:uid="{E5A33E22-78D5-4F2F-969E-2132B3692515}"/>
    <cellStyle name="Dezimal 38 20" xfId="12762" xr:uid="{5B4AFCC1-10A9-411C-A7E6-EB55494B8051}"/>
    <cellStyle name="Dezimal 38 20 2" xfId="32199" xr:uid="{E125816B-58DD-494E-9C44-6953DD9FD637}"/>
    <cellStyle name="Dezimal 38 21" xfId="12763" xr:uid="{6148D282-0D7C-4A05-B606-42D582D0148A}"/>
    <cellStyle name="Dezimal 38 21 2" xfId="32200" xr:uid="{90D5FA32-D3A1-48C2-B346-1AA4CCEC48DE}"/>
    <cellStyle name="Dezimal 38 22" xfId="12764" xr:uid="{BD6B5AD0-5391-4569-A58E-2B876B13CD15}"/>
    <cellStyle name="Dezimal 38 22 2" xfId="32201" xr:uid="{13CCEA04-80F4-41B2-A0D2-DC99ED33B0A5}"/>
    <cellStyle name="Dezimal 38 23" xfId="12765" xr:uid="{40ECCA1E-75BB-4258-88B0-C04DF90D1310}"/>
    <cellStyle name="Dezimal 38 23 2" xfId="32202" xr:uid="{0C74E99B-B4FC-42EA-B4A3-AFC631609579}"/>
    <cellStyle name="Dezimal 38 24" xfId="12766" xr:uid="{A66DDDFB-6F75-43ED-A0E9-FD9AB4351127}"/>
    <cellStyle name="Dezimal 38 24 2" xfId="32203" xr:uid="{B6308CBC-4F21-436F-9C1A-593BFC4858BE}"/>
    <cellStyle name="Dezimal 38 25" xfId="12767" xr:uid="{CF02A39C-04D5-4F69-B0E8-D7F8829CDD5B}"/>
    <cellStyle name="Dezimal 38 25 2" xfId="32204" xr:uid="{B2B29C20-932C-495B-A1B1-15114193621A}"/>
    <cellStyle name="Dezimal 38 26" xfId="12768" xr:uid="{AF918141-B3D3-4BD9-BC68-F182FC0ADCE6}"/>
    <cellStyle name="Dezimal 38 26 2" xfId="32205" xr:uid="{F539FEE4-0443-4F0B-BFBB-B1E7FC4DFE00}"/>
    <cellStyle name="Dezimal 38 27" xfId="12769" xr:uid="{9DB0A7AA-C573-4AF9-BF35-9EB258D760E6}"/>
    <cellStyle name="Dezimal 38 27 2" xfId="32206" xr:uid="{904971E4-7E67-4570-A6CD-453119E81AFF}"/>
    <cellStyle name="Dezimal 38 28" xfId="12770" xr:uid="{EC39A66B-4A82-4394-BE3E-09ACC3F07023}"/>
    <cellStyle name="Dezimal 38 28 2" xfId="32207" xr:uid="{E10F4270-E894-471C-BB68-689F4DE556FF}"/>
    <cellStyle name="Dezimal 38 29" xfId="12771" xr:uid="{DA074122-059B-4EDB-9BF0-7EB4A46B7D36}"/>
    <cellStyle name="Dezimal 38 29 2" xfId="32208" xr:uid="{521A5D87-5741-4588-B451-92B0066A17EA}"/>
    <cellStyle name="Dezimal 38 3" xfId="12772" xr:uid="{EE630D39-C35E-451F-8F7A-EB6DD6AC4B20}"/>
    <cellStyle name="Dezimal 38 3 2" xfId="12773" xr:uid="{44E6C021-6B43-4D83-824D-74349B030D17}"/>
    <cellStyle name="Dezimal 38 3 2 2" xfId="32210" xr:uid="{2069C360-D338-44BD-8259-0C1BAFE2A267}"/>
    <cellStyle name="Dezimal 38 3 3" xfId="32209" xr:uid="{8E8C6096-0972-4951-BD84-B108CEC172BE}"/>
    <cellStyle name="Dezimal 38 30" xfId="12774" xr:uid="{41288289-0737-4844-A346-373C7EC9B6E2}"/>
    <cellStyle name="Dezimal 38 30 2" xfId="32211" xr:uid="{7992A053-1253-4115-AFC7-ED8D00DAC82A}"/>
    <cellStyle name="Dezimal 38 31" xfId="12775" xr:uid="{8D6490DC-7A73-4556-AA2C-B281BEC45E46}"/>
    <cellStyle name="Dezimal 38 31 2" xfId="32212" xr:uid="{CC939CE1-3211-4690-B48A-B2AE95FF9FFA}"/>
    <cellStyle name="Dezimal 38 32" xfId="32185" xr:uid="{A904DDE8-3F43-4FA2-9605-C2554ED51A51}"/>
    <cellStyle name="Dezimal 38 4" xfId="12776" xr:uid="{A1B5CD20-AB10-4C3D-8885-B8BBC9B96044}"/>
    <cellStyle name="Dezimal 38 4 2" xfId="12777" xr:uid="{BDD14383-1230-4C6F-9C0D-498BA0176380}"/>
    <cellStyle name="Dezimal 38 4 2 2" xfId="32214" xr:uid="{C7FEB61D-4DC3-4462-9A73-9995096585D2}"/>
    <cellStyle name="Dezimal 38 4 3" xfId="32213" xr:uid="{B362E7F5-E8F1-4408-9910-14D0CF617639}"/>
    <cellStyle name="Dezimal 38 5" xfId="12778" xr:uid="{D6CF97AE-877F-4C2A-8765-7E559D11F2C4}"/>
    <cellStyle name="Dezimal 38 5 2" xfId="12779" xr:uid="{1BCB5229-322C-4B11-A687-408231032298}"/>
    <cellStyle name="Dezimal 38 5 2 2" xfId="32216" xr:uid="{F63B8B52-40F6-4B7B-804B-EC6BA1B6423F}"/>
    <cellStyle name="Dezimal 38 5 3" xfId="32215" xr:uid="{B576BC91-84E9-40A6-8AF5-B961444863DC}"/>
    <cellStyle name="Dezimal 38 6" xfId="12780" xr:uid="{15AC0389-738B-4C96-85AD-5AF0D76EA5FF}"/>
    <cellStyle name="Dezimal 38 6 2" xfId="12781" xr:uid="{68BE6E0F-9BC5-4C36-995E-1D0C53108F95}"/>
    <cellStyle name="Dezimal 38 6 2 2" xfId="32218" xr:uid="{67E2DF93-6011-41EE-9A20-5F5757B77738}"/>
    <cellStyle name="Dezimal 38 6 3" xfId="32217" xr:uid="{630475A9-BFFD-46CF-A4FB-F60EBA175C0A}"/>
    <cellStyle name="Dezimal 38 7" xfId="12782" xr:uid="{8830BDD2-9AEC-44DE-896F-4669AD612BB2}"/>
    <cellStyle name="Dezimal 38 7 2" xfId="12783" xr:uid="{1DC3C730-CE4C-415F-B1F6-168AB7FE2DB2}"/>
    <cellStyle name="Dezimal 38 7 2 2" xfId="32220" xr:uid="{E4884A06-DA12-4170-B079-1D042B47FDE1}"/>
    <cellStyle name="Dezimal 38 7 3" xfId="32219" xr:uid="{35695F6D-C70E-4A1E-AE73-F042FEE4A09F}"/>
    <cellStyle name="Dezimal 38 8" xfId="12784" xr:uid="{7C750B66-E5BE-469A-9831-FF1AD2F407B1}"/>
    <cellStyle name="Dezimal 38 8 2" xfId="12785" xr:uid="{114656B7-CD39-428B-B78D-DE5D835E64BB}"/>
    <cellStyle name="Dezimal 38 8 2 2" xfId="32222" xr:uid="{8CFE64D4-BA20-49C0-864A-872291A03921}"/>
    <cellStyle name="Dezimal 38 8 3" xfId="32221" xr:uid="{E3323724-059A-454C-ACC8-2B0C7808C3DA}"/>
    <cellStyle name="Dezimal 38 9" xfId="12786" xr:uid="{2F84E221-0802-465B-8C7C-1932B58CB318}"/>
    <cellStyle name="Dezimal 38 9 2" xfId="12787" xr:uid="{5F12FC4C-EEC3-4372-9113-95022EE51C45}"/>
    <cellStyle name="Dezimal 38 9 2 2" xfId="32224" xr:uid="{6629152A-B9DC-4A83-B858-96E11F728DD9}"/>
    <cellStyle name="Dezimal 38 9 3" xfId="32223" xr:uid="{B4B9A972-54B0-45C5-827F-40377D556A07}"/>
    <cellStyle name="Dezimal 39" xfId="12788" xr:uid="{576F3018-F1A4-4B39-A783-8EFD682D568B}"/>
    <cellStyle name="Dezimal 39 10" xfId="12789" xr:uid="{4DD3B5F3-CDAC-4080-8106-5DB2A30DA04F}"/>
    <cellStyle name="Dezimal 39 10 2" xfId="12790" xr:uid="{A6EB981A-93D2-4C09-A0B9-280D54786592}"/>
    <cellStyle name="Dezimal 39 10 2 2" xfId="32227" xr:uid="{F6550F06-030B-47C9-9BDB-3AF00050F9E1}"/>
    <cellStyle name="Dezimal 39 10 3" xfId="32226" xr:uid="{10750206-CD4F-4FD2-B6D9-3AECC6FF7E2C}"/>
    <cellStyle name="Dezimal 39 11" xfId="12791" xr:uid="{EE48D462-8C6F-49D4-BB65-E4989C795A12}"/>
    <cellStyle name="Dezimal 39 11 2" xfId="32228" xr:uid="{E2087BA0-B67E-4061-844E-8A702F30D3DD}"/>
    <cellStyle name="Dezimal 39 12" xfId="12792" xr:uid="{B7123E15-6D06-4FFD-8901-9AD5631F43FF}"/>
    <cellStyle name="Dezimal 39 12 2" xfId="32229" xr:uid="{134DF485-4BD7-430A-A32C-CB406B7DF419}"/>
    <cellStyle name="Dezimal 39 13" xfId="12793" xr:uid="{181B6C00-31FE-4D36-B289-0FC7B0660E8F}"/>
    <cellStyle name="Dezimal 39 13 2" xfId="32230" xr:uid="{CAE5C3E8-5EB3-473F-B52B-9B82EC415051}"/>
    <cellStyle name="Dezimal 39 14" xfId="12794" xr:uid="{A1A9C682-0298-48CA-8988-4FDE78CE8A77}"/>
    <cellStyle name="Dezimal 39 14 2" xfId="32231" xr:uid="{872C6B00-CBCA-4CC4-A578-F7D9969A408F}"/>
    <cellStyle name="Dezimal 39 15" xfId="12795" xr:uid="{C816DC67-F639-4402-900D-F02FE951CBE7}"/>
    <cellStyle name="Dezimal 39 15 2" xfId="32232" xr:uid="{55D2CB6A-0E76-444E-BC8B-5CDB34B74FE0}"/>
    <cellStyle name="Dezimal 39 16" xfId="12796" xr:uid="{A7AA35EB-0AA8-4735-AA82-77B8E09E5F49}"/>
    <cellStyle name="Dezimal 39 16 2" xfId="32233" xr:uid="{A6238BE4-F26A-4B90-9B62-7EB7FE2194BB}"/>
    <cellStyle name="Dezimal 39 17" xfId="12797" xr:uid="{A390A233-E46A-4A8B-AC85-700C285C8F4B}"/>
    <cellStyle name="Dezimal 39 17 2" xfId="32234" xr:uid="{71224C23-6CAB-45B1-B79B-D44617330F09}"/>
    <cellStyle name="Dezimal 39 18" xfId="12798" xr:uid="{ADC350A1-E755-469C-B1A0-4EBF4D9AF5F7}"/>
    <cellStyle name="Dezimal 39 18 2" xfId="32235" xr:uid="{E04028BF-515A-4281-8D23-26820F8190E7}"/>
    <cellStyle name="Dezimal 39 19" xfId="12799" xr:uid="{2FAC31F5-8056-4E47-BD98-683761668E98}"/>
    <cellStyle name="Dezimal 39 19 2" xfId="32236" xr:uid="{60ADC4F3-0994-4488-AEB9-239F9759D418}"/>
    <cellStyle name="Dezimal 39 2" xfId="12800" xr:uid="{2BB5E9A8-2C93-4D06-8579-6BD0B0D947AA}"/>
    <cellStyle name="Dezimal 39 2 2" xfId="12801" xr:uid="{D084F1FC-60E1-40B8-B8DF-AE5D4132B238}"/>
    <cellStyle name="Dezimal 39 2 2 2" xfId="32238" xr:uid="{85F73E21-5188-4838-96DD-4077BA74C098}"/>
    <cellStyle name="Dezimal 39 2 3" xfId="32237" xr:uid="{53350FD5-14B0-4A2F-86E5-578258E394F4}"/>
    <cellStyle name="Dezimal 39 20" xfId="12802" xr:uid="{57C069E3-082A-4379-9682-E1994EC8A96E}"/>
    <cellStyle name="Dezimal 39 20 2" xfId="32239" xr:uid="{A78DC303-E5FF-42CB-A565-1BB6E3105EA1}"/>
    <cellStyle name="Dezimal 39 21" xfId="12803" xr:uid="{58F0BB94-420F-4A46-AE1F-ED97E493A512}"/>
    <cellStyle name="Dezimal 39 21 2" xfId="32240" xr:uid="{9D061BC3-F1FE-4F99-B59E-0FDFA8E894CA}"/>
    <cellStyle name="Dezimal 39 22" xfId="12804" xr:uid="{AE7F4036-083A-47F9-8FE5-001B2C768424}"/>
    <cellStyle name="Dezimal 39 22 2" xfId="32241" xr:uid="{E8D12C56-D744-44BB-835F-3178BB60D4F6}"/>
    <cellStyle name="Dezimal 39 23" xfId="12805" xr:uid="{13DB102C-19C3-4910-ABDE-44EEF6E673E7}"/>
    <cellStyle name="Dezimal 39 23 2" xfId="32242" xr:uid="{93EDBF04-6FF2-48EE-BB7F-03779829833E}"/>
    <cellStyle name="Dezimal 39 24" xfId="12806" xr:uid="{D84D78BB-1D01-4A2C-AC8A-AB6E17845429}"/>
    <cellStyle name="Dezimal 39 24 2" xfId="32243" xr:uid="{74A2E35A-11B7-4D16-B3DC-EF9A90048C7F}"/>
    <cellStyle name="Dezimal 39 25" xfId="12807" xr:uid="{32DE5B59-4B3B-4AFA-B6AF-EFDCAA2B15AA}"/>
    <cellStyle name="Dezimal 39 25 2" xfId="32244" xr:uid="{7A874350-7705-41F4-8347-1E5CDD701425}"/>
    <cellStyle name="Dezimal 39 26" xfId="12808" xr:uid="{386C2D6E-880D-4B78-B1F4-F975630BE2D1}"/>
    <cellStyle name="Dezimal 39 26 2" xfId="32245" xr:uid="{2A34F868-3936-4FC8-9B34-6927054F6F78}"/>
    <cellStyle name="Dezimal 39 27" xfId="12809" xr:uid="{CB6AF455-9CB2-41E6-B5FE-3E24EFA90880}"/>
    <cellStyle name="Dezimal 39 27 2" xfId="32246" xr:uid="{F4FB48A2-92AD-471A-A71B-D22D3CE28A7F}"/>
    <cellStyle name="Dezimal 39 28" xfId="12810" xr:uid="{C7367CED-9BEE-4F8F-B21B-878C54FCED45}"/>
    <cellStyle name="Dezimal 39 28 2" xfId="32247" xr:uid="{64A29E5B-0FE1-4D93-BA9E-6095BBDA5B82}"/>
    <cellStyle name="Dezimal 39 29" xfId="12811" xr:uid="{357B142A-C3FF-44FB-8391-DC512BDB56FB}"/>
    <cellStyle name="Dezimal 39 29 2" xfId="32248" xr:uid="{10EBC240-18E0-401D-82B0-E24DFA6ECA3C}"/>
    <cellStyle name="Dezimal 39 3" xfId="12812" xr:uid="{9C47C833-22DE-4BBA-89F5-DD6002421AD6}"/>
    <cellStyle name="Dezimal 39 3 2" xfId="12813" xr:uid="{545A0B28-D682-4BB6-88F0-9562B5F35BE9}"/>
    <cellStyle name="Dezimal 39 3 2 2" xfId="32250" xr:uid="{D7390F25-CEFD-4CA0-8781-62F30D37EA53}"/>
    <cellStyle name="Dezimal 39 3 3" xfId="32249" xr:uid="{476DD215-23D5-4996-BE95-1701B2F68891}"/>
    <cellStyle name="Dezimal 39 30" xfId="12814" xr:uid="{18D4FB11-7B30-4046-BAF9-15F21CC673A2}"/>
    <cellStyle name="Dezimal 39 30 2" xfId="32251" xr:uid="{B1D3BE22-0C79-4B72-8A50-F3689B8FC6E5}"/>
    <cellStyle name="Dezimal 39 31" xfId="12815" xr:uid="{6AF7DA32-1ED2-4BB8-B2F8-7E75764BBC14}"/>
    <cellStyle name="Dezimal 39 31 2" xfId="32252" xr:uid="{DDBDCCED-0EA6-4E7A-B78C-74558C5931C4}"/>
    <cellStyle name="Dezimal 39 32" xfId="32225" xr:uid="{3456C360-F6DE-4F3A-99C5-E5C99EE58FF3}"/>
    <cellStyle name="Dezimal 39 4" xfId="12816" xr:uid="{008DBF11-7AEE-49B1-B9C9-AC7559E46086}"/>
    <cellStyle name="Dezimal 39 4 2" xfId="12817" xr:uid="{A2679B61-3A7A-4DE0-926D-952096CB9B6A}"/>
    <cellStyle name="Dezimal 39 4 2 2" xfId="32254" xr:uid="{D67C36DF-BB84-49DE-B2DF-908ACD71E218}"/>
    <cellStyle name="Dezimal 39 4 3" xfId="32253" xr:uid="{D7A0C09D-61B2-4AF2-8574-84B9A7800D22}"/>
    <cellStyle name="Dezimal 39 5" xfId="12818" xr:uid="{F6070E72-55A9-45A2-ADC9-1108611F7824}"/>
    <cellStyle name="Dezimal 39 5 2" xfId="12819" xr:uid="{AB343DE9-C8F5-46E4-BFC9-3EE92AB2B153}"/>
    <cellStyle name="Dezimal 39 5 2 2" xfId="32256" xr:uid="{F6029C38-C94B-41FF-897E-DEE89978E1F6}"/>
    <cellStyle name="Dezimal 39 5 3" xfId="32255" xr:uid="{DF95DCB4-561C-440B-8021-693BCB9F37C0}"/>
    <cellStyle name="Dezimal 39 6" xfId="12820" xr:uid="{FF2E1677-BEB9-42B6-A8B6-047FFC03E4AA}"/>
    <cellStyle name="Dezimal 39 6 2" xfId="12821" xr:uid="{49B0780E-6C36-466A-B86A-D10A6065DCD1}"/>
    <cellStyle name="Dezimal 39 6 2 2" xfId="32258" xr:uid="{050644A8-9CD9-4E11-AFBC-E66746879061}"/>
    <cellStyle name="Dezimal 39 6 3" xfId="32257" xr:uid="{10954487-4AEE-4E8D-B69E-1112B919CF30}"/>
    <cellStyle name="Dezimal 39 7" xfId="12822" xr:uid="{74FD745A-F7DA-4046-96DB-ECEA6D799A43}"/>
    <cellStyle name="Dezimal 39 7 2" xfId="12823" xr:uid="{AF508607-86F1-4A4D-B2EE-F30668F801C8}"/>
    <cellStyle name="Dezimal 39 7 2 2" xfId="32260" xr:uid="{DCE62C15-51B0-445D-8F81-29D781B8838D}"/>
    <cellStyle name="Dezimal 39 7 3" xfId="32259" xr:uid="{767C324C-FD46-4DF9-B004-123E25901155}"/>
    <cellStyle name="Dezimal 39 8" xfId="12824" xr:uid="{377760D1-676D-48E5-9381-082FFE95227C}"/>
    <cellStyle name="Dezimal 39 8 2" xfId="12825" xr:uid="{F30D0F77-8F7F-40F4-A7EF-CB2A7FD47B0F}"/>
    <cellStyle name="Dezimal 39 8 2 2" xfId="32262" xr:uid="{C3890284-F85E-486A-9DE2-7F95167AAB83}"/>
    <cellStyle name="Dezimal 39 8 3" xfId="32261" xr:uid="{9E747177-0B81-4B6C-ADCF-F599014C014B}"/>
    <cellStyle name="Dezimal 39 9" xfId="12826" xr:uid="{44A68F9D-72B6-40B9-AE30-407159FD2CFD}"/>
    <cellStyle name="Dezimal 39 9 2" xfId="12827" xr:uid="{87E4C50B-1ED2-45E3-9EAF-8C915DA9A31F}"/>
    <cellStyle name="Dezimal 39 9 2 2" xfId="32264" xr:uid="{323CBC80-EECF-499F-82A0-FD2A974B0987}"/>
    <cellStyle name="Dezimal 39 9 3" xfId="32263" xr:uid="{92D1FCC3-2A82-4BD8-A34D-DD5745CE378F}"/>
    <cellStyle name="Dezimal 4" xfId="12828" xr:uid="{B58D9ABC-58D5-486F-B3C9-B0F223CE0C65}"/>
    <cellStyle name="Dezimal 4 10" xfId="12829" xr:uid="{E2E10679-F6EA-4ECC-BB01-34E8DBBF71FF}"/>
    <cellStyle name="Dezimal 4 10 2" xfId="12830" xr:uid="{E154230A-33EA-43EC-A0B9-4D7971261F1E}"/>
    <cellStyle name="Dezimal 4 10 2 2" xfId="32267" xr:uid="{DABF9C12-3A26-475C-8E6D-02B559AFE392}"/>
    <cellStyle name="Dezimal 4 10 3" xfId="32266" xr:uid="{849523AB-B070-4F8F-9C85-DBC4B1920EF5}"/>
    <cellStyle name="Dezimal 4 11" xfId="12831" xr:uid="{0740CDA0-4FD5-4DAA-80A5-33C98F5443D6}"/>
    <cellStyle name="Dezimal 4 11 2" xfId="12832" xr:uid="{40494D32-9840-4D06-A95C-062DCDEA07E3}"/>
    <cellStyle name="Dezimal 4 11 2 2" xfId="32269" xr:uid="{DEA12101-5058-42E7-802A-B01C297250D3}"/>
    <cellStyle name="Dezimal 4 11 3" xfId="32268" xr:uid="{A7F1045F-D8EB-4FDE-A9CA-F389E391F21B}"/>
    <cellStyle name="Dezimal 4 12" xfId="12833" xr:uid="{F4DDA524-C124-42CC-B34E-D09316CA3A35}"/>
    <cellStyle name="Dezimal 4 12 2" xfId="12834" xr:uid="{DC8B4463-6018-450A-8DBA-66CCA7E5E5F8}"/>
    <cellStyle name="Dezimal 4 12 2 2" xfId="32271" xr:uid="{DDA83522-5E2B-462F-A43D-FEB6425019D1}"/>
    <cellStyle name="Dezimal 4 12 3" xfId="32270" xr:uid="{D09879A5-FB9F-4722-AC5A-8A3CAAEA99C8}"/>
    <cellStyle name="Dezimal 4 13" xfId="12835" xr:uid="{CB2DDC82-3246-4837-9727-4652D57CFD20}"/>
    <cellStyle name="Dezimal 4 13 2" xfId="12836" xr:uid="{4072BBDA-EC2B-4A72-ADDA-1569F7750A8A}"/>
    <cellStyle name="Dezimal 4 13 2 2" xfId="32273" xr:uid="{61407A1B-0A63-4F1E-B36B-0B6E544B3E51}"/>
    <cellStyle name="Dezimal 4 13 3" xfId="32272" xr:uid="{6D3C720D-1DD9-4250-BBD8-07EB7DF1A703}"/>
    <cellStyle name="Dezimal 4 14" xfId="12837" xr:uid="{3D6BF35A-9B2E-49A2-A24B-6E30683A1843}"/>
    <cellStyle name="Dezimal 4 14 2" xfId="12838" xr:uid="{8B28B326-0518-41A3-9437-8D8D8A594E36}"/>
    <cellStyle name="Dezimal 4 14 2 2" xfId="32275" xr:uid="{06557922-F3FD-4819-9D10-93CF8418079F}"/>
    <cellStyle name="Dezimal 4 14 3" xfId="32274" xr:uid="{F03ADE83-065D-49C3-81BF-B5B6E363ABB2}"/>
    <cellStyle name="Dezimal 4 15" xfId="12839" xr:uid="{A0041919-400B-4017-880C-8F9631FCFCF2}"/>
    <cellStyle name="Dezimal 4 15 2" xfId="12840" xr:uid="{EE1C75CF-2824-403E-8F40-129C4A3EBEEA}"/>
    <cellStyle name="Dezimal 4 15 2 2" xfId="32277" xr:uid="{7E2F6839-1F08-4BD5-876F-0078D713BB7C}"/>
    <cellStyle name="Dezimal 4 15 3" xfId="32276" xr:uid="{A90559DE-F1C3-4736-A2F2-5FA632D76F8E}"/>
    <cellStyle name="Dezimal 4 16" xfId="12841" xr:uid="{CBF92154-2517-4FA2-9D90-190A244FC45D}"/>
    <cellStyle name="Dezimal 4 16 2" xfId="12842" xr:uid="{F2FD6BD0-86E5-4CAC-A194-7FCAA12BC0CC}"/>
    <cellStyle name="Dezimal 4 16 2 2" xfId="32279" xr:uid="{7D6C6F8E-D6A9-49B8-A9F5-7EF6CB061370}"/>
    <cellStyle name="Dezimal 4 16 3" xfId="32278" xr:uid="{1C2B1E14-5AF2-417D-ADBF-EB159F724922}"/>
    <cellStyle name="Dezimal 4 17" xfId="12843" xr:uid="{F5EA5D7C-DC56-4F1B-B4C2-8C98AB3091E5}"/>
    <cellStyle name="Dezimal 4 17 2" xfId="12844" xr:uid="{2A016D7C-4FB4-4647-BF0E-FD868C4C6C86}"/>
    <cellStyle name="Dezimal 4 17 2 2" xfId="32281" xr:uid="{2177433B-406B-4453-88B8-3335DB081971}"/>
    <cellStyle name="Dezimal 4 17 3" xfId="32280" xr:uid="{4728B94E-342A-4455-BC3D-F94E12447899}"/>
    <cellStyle name="Dezimal 4 18" xfId="12845" xr:uid="{79231FD7-F317-4CDD-983D-FBA52B4F8DDE}"/>
    <cellStyle name="Dezimal 4 18 2" xfId="12846" xr:uid="{70FCBEEA-2018-446E-B8F3-BA6A78F550D2}"/>
    <cellStyle name="Dezimal 4 18 2 2" xfId="32283" xr:uid="{BF091BF2-F9B8-4055-8C17-86DFAE1A7DA8}"/>
    <cellStyle name="Dezimal 4 18 3" xfId="32282" xr:uid="{C44AAF29-0D37-4DDD-A902-688933966FFD}"/>
    <cellStyle name="Dezimal 4 19" xfId="12847" xr:uid="{D4E8090D-8EFD-47DE-ADCE-B9E22CA691D5}"/>
    <cellStyle name="Dezimal 4 19 2" xfId="12848" xr:uid="{23C88C28-8393-4160-9A49-17BE18CE4646}"/>
    <cellStyle name="Dezimal 4 19 2 2" xfId="32285" xr:uid="{749AFF1C-3054-483A-8566-114B77F672C2}"/>
    <cellStyle name="Dezimal 4 19 3" xfId="32284" xr:uid="{93B5B100-2342-4CB3-B4BC-699919F7ED80}"/>
    <cellStyle name="Dezimal 4 2" xfId="12849" xr:uid="{3729FBA9-BEC9-4C75-8381-482ADC0D268F}"/>
    <cellStyle name="Dezimal 4 2 2" xfId="12850" xr:uid="{EC2FE855-593A-43B7-9423-FBB5C9396540}"/>
    <cellStyle name="Dezimal 4 2 2 2" xfId="32287" xr:uid="{A2842736-E142-4FCD-9DC7-B17E5936FE18}"/>
    <cellStyle name="Dezimal 4 2 3" xfId="32286" xr:uid="{8DA47080-8E5D-4413-99A1-86E0862660F5}"/>
    <cellStyle name="Dezimal 4 2 4" xfId="39426" xr:uid="{ED172AA5-C8EC-4BA4-9FAC-F002EEBEDF94}"/>
    <cellStyle name="Dezimal 4 20" xfId="12851" xr:uid="{A1E49FDE-77D4-46F9-A8FD-270FCEB679A6}"/>
    <cellStyle name="Dezimal 4 20 2" xfId="12852" xr:uid="{9BAFC5CD-A63F-4244-A1F3-911EDFEA3F97}"/>
    <cellStyle name="Dezimal 4 20 2 2" xfId="32289" xr:uid="{8F8B8011-79C2-4A90-90CB-386336D57EF7}"/>
    <cellStyle name="Dezimal 4 20 3" xfId="32288" xr:uid="{E1ADE82D-15D3-4096-BC10-F260747BA1D8}"/>
    <cellStyle name="Dezimal 4 21" xfId="12853" xr:uid="{E9D166E1-C931-4A87-8C1C-70186803F625}"/>
    <cellStyle name="Dezimal 4 21 2" xfId="12854" xr:uid="{1665E51A-9566-4AC3-9492-3210A04EC73C}"/>
    <cellStyle name="Dezimal 4 21 2 2" xfId="32291" xr:uid="{24907467-83DE-4E44-8173-AE7FF64E9F1B}"/>
    <cellStyle name="Dezimal 4 21 3" xfId="32290" xr:uid="{ED44D6A9-FAFC-4334-AB39-23CF58DA29CC}"/>
    <cellStyle name="Dezimal 4 22" xfId="12855" xr:uid="{BD44386D-63EE-44D9-BF81-45C2ED2EC5D4}"/>
    <cellStyle name="Dezimal 4 22 2" xfId="12856" xr:uid="{76CA3DE0-8A7F-4A7A-B60D-CE3C9C39EFFF}"/>
    <cellStyle name="Dezimal 4 22 2 2" xfId="32293" xr:uid="{D813E2F1-8B79-4B51-8B26-763FCF15CBFA}"/>
    <cellStyle name="Dezimal 4 22 3" xfId="32292" xr:uid="{C8D3537E-3882-4133-8CB1-4DBE70BE755D}"/>
    <cellStyle name="Dezimal 4 23" xfId="12857" xr:uid="{CA5C5090-2386-440F-B945-AEC41E5EB216}"/>
    <cellStyle name="Dezimal 4 23 2" xfId="12858" xr:uid="{E8DF6CBA-44CE-4B8F-9CA4-AD7FDC2D6D88}"/>
    <cellStyle name="Dezimal 4 23 2 2" xfId="32295" xr:uid="{BE1B0C6F-5A10-45A2-82DF-E0204787CEE1}"/>
    <cellStyle name="Dezimal 4 23 3" xfId="32294" xr:uid="{8259C3A8-B8C2-449A-84C8-15075E13CB9D}"/>
    <cellStyle name="Dezimal 4 24" xfId="12859" xr:uid="{AC791544-A0AD-4CE5-94FB-5A005F1C3C47}"/>
    <cellStyle name="Dezimal 4 24 2" xfId="12860" xr:uid="{82814711-C11A-4AAD-A31D-7BF898D29C0B}"/>
    <cellStyle name="Dezimal 4 24 2 2" xfId="32297" xr:uid="{CF264334-F7FB-4A4D-8F93-FF0D7DA2A53C}"/>
    <cellStyle name="Dezimal 4 24 3" xfId="32296" xr:uid="{641C4CF2-C103-4719-87A4-24529D56E6B9}"/>
    <cellStyle name="Dezimal 4 25" xfId="12861" xr:uid="{22727101-1031-47C2-97EE-2ADF11E2500A}"/>
    <cellStyle name="Dezimal 4 25 2" xfId="12862" xr:uid="{E92CF6E0-10F8-4486-BF3A-395A7CEF5CB7}"/>
    <cellStyle name="Dezimal 4 25 2 2" xfId="32299" xr:uid="{1CE61878-0C99-4FF4-AEB9-042A4446BFA1}"/>
    <cellStyle name="Dezimal 4 25 3" xfId="32298" xr:uid="{2E092B86-947B-401B-A13F-A92E6FBE754C}"/>
    <cellStyle name="Dezimal 4 26" xfId="12863" xr:uid="{979CB3F6-2709-47E8-8688-78A0BC507DBF}"/>
    <cellStyle name="Dezimal 4 26 2" xfId="12864" xr:uid="{0080E917-B76C-4EC5-9039-F6FC235F0C44}"/>
    <cellStyle name="Dezimal 4 26 2 2" xfId="32301" xr:uid="{ECE79001-1784-443E-8288-4BBB2B5BE8FE}"/>
    <cellStyle name="Dezimal 4 26 3" xfId="32300" xr:uid="{F686A454-338A-4162-8C3A-D66177DAB179}"/>
    <cellStyle name="Dezimal 4 27" xfId="12865" xr:uid="{C5799B0C-5948-48BF-8601-343627B9E090}"/>
    <cellStyle name="Dezimal 4 27 2" xfId="12866" xr:uid="{CBB13924-7026-4FD7-93B6-DEC3AF2198C0}"/>
    <cellStyle name="Dezimal 4 27 2 2" xfId="32303" xr:uid="{93E88ACC-F988-49D7-83E8-FAF1F7C3F9E4}"/>
    <cellStyle name="Dezimal 4 27 3" xfId="32302" xr:uid="{F0F207FA-91ED-4CBF-8FC1-209DF2766FE5}"/>
    <cellStyle name="Dezimal 4 28" xfId="12867" xr:uid="{4AC49B8A-9311-436B-B91A-BEA2B8E4C939}"/>
    <cellStyle name="Dezimal 4 28 2" xfId="12868" xr:uid="{ADA7B670-E782-407F-B9E3-AD72FE4930DA}"/>
    <cellStyle name="Dezimal 4 28 2 2" xfId="32305" xr:uid="{B10C55BD-B817-4990-B501-627D65816C03}"/>
    <cellStyle name="Dezimal 4 28 3" xfId="32304" xr:uid="{BB824817-F7C3-4BFC-8E2F-EEA600F35438}"/>
    <cellStyle name="Dezimal 4 29" xfId="12869" xr:uid="{362419A1-99CC-4AEC-9063-3CA9E8F143BC}"/>
    <cellStyle name="Dezimal 4 29 2" xfId="32306" xr:uid="{8B075C77-7072-4F30-A8CF-F102E0C895E4}"/>
    <cellStyle name="Dezimal 4 3" xfId="12870" xr:uid="{F5FEF9DE-8316-4075-910B-E97E993CFCFD}"/>
    <cellStyle name="Dezimal 4 3 2" xfId="12871" xr:uid="{2B07D8EB-42B1-4305-AD11-D2878609C413}"/>
    <cellStyle name="Dezimal 4 3 2 2" xfId="32308" xr:uid="{99D08C2D-0C1D-437C-A1F9-4B41788EB9C6}"/>
    <cellStyle name="Dezimal 4 3 3" xfId="32307" xr:uid="{65E8E8AA-83BF-4C38-9572-FCBBDA57ECBD}"/>
    <cellStyle name="Dezimal 4 3 4" xfId="39427" xr:uid="{FBFF3D2A-6707-4BEC-B4B1-A3DA1300911F}"/>
    <cellStyle name="Dezimal 4 30" xfId="32265" xr:uid="{BB93A24D-A019-4E2C-81F6-75E67EB1F398}"/>
    <cellStyle name="Dezimal 4 31" xfId="40000" xr:uid="{F11CD2AB-19A2-46BD-82A7-D1D945BF522E}"/>
    <cellStyle name="Dezimal 4 4" xfId="12872" xr:uid="{7F6C885B-DBD9-47AE-8C88-50E2FA4F375F}"/>
    <cellStyle name="Dezimal 4 4 2" xfId="12873" xr:uid="{ECBA2BDF-C013-4B6D-B35D-FB521A1E5CD6}"/>
    <cellStyle name="Dezimal 4 4 2 2" xfId="32310" xr:uid="{51AF5E4E-A450-4F4F-9C96-326B8E1AB67F}"/>
    <cellStyle name="Dezimal 4 4 3" xfId="32309" xr:uid="{C79A097D-D89A-4F23-A634-10D48BF35064}"/>
    <cellStyle name="Dezimal 4 4 4" xfId="40918" xr:uid="{36C4CCE4-D47D-409B-9A4F-6412E188AE0F}"/>
    <cellStyle name="Dezimal 4 5" xfId="12874" xr:uid="{D839E0CF-3574-4B5B-8723-AD77D780096E}"/>
    <cellStyle name="Dezimal 4 5 2" xfId="12875" xr:uid="{5DC56A49-42CE-4E31-9B07-2A25C3181E24}"/>
    <cellStyle name="Dezimal 4 5 2 2" xfId="32312" xr:uid="{47AD0777-3815-432F-A3F3-3174E1A63100}"/>
    <cellStyle name="Dezimal 4 5 3" xfId="32311" xr:uid="{B005B032-10FE-424B-913D-BE02163C3EF0}"/>
    <cellStyle name="Dezimal 4 5 4" xfId="42166" xr:uid="{7029D438-65C7-4CA4-91D0-4A70337EAC1A}"/>
    <cellStyle name="Dezimal 4 6" xfId="12876" xr:uid="{928AB6C9-9EE3-487C-9D64-DE7826DA12BE}"/>
    <cellStyle name="Dezimal 4 6 2" xfId="12877" xr:uid="{1CA1C3A6-82CC-4810-B2C3-D7733C8279FA}"/>
    <cellStyle name="Dezimal 4 6 2 2" xfId="32314" xr:uid="{4BC513E1-44EF-4637-8656-214F8D542A43}"/>
    <cellStyle name="Dezimal 4 6 3" xfId="32313" xr:uid="{F2A86E11-5FBD-40DC-9356-20A7174A2121}"/>
    <cellStyle name="Dezimal 4 7" xfId="12878" xr:uid="{7DC2883C-6ECF-4224-B66D-AB178CDF8E35}"/>
    <cellStyle name="Dezimal 4 7 2" xfId="12879" xr:uid="{C3640820-D4C0-4335-8109-7EE9A7CF0D65}"/>
    <cellStyle name="Dezimal 4 7 2 2" xfId="32316" xr:uid="{E805714C-2F76-47AD-B44B-D65F59E5F751}"/>
    <cellStyle name="Dezimal 4 7 3" xfId="32315" xr:uid="{01EB825D-0C5E-43C0-A584-5F0939C209CA}"/>
    <cellStyle name="Dezimal 4 8" xfId="12880" xr:uid="{82AF36CC-ABEA-439D-99DD-AFF907E9A991}"/>
    <cellStyle name="Dezimal 4 8 2" xfId="12881" xr:uid="{7A959572-2175-4E24-B785-0F6E8D41DAC0}"/>
    <cellStyle name="Dezimal 4 8 2 2" xfId="32318" xr:uid="{29C12112-654C-48F7-AF4D-4772902A9EEB}"/>
    <cellStyle name="Dezimal 4 8 3" xfId="32317" xr:uid="{F104ADAE-A4FB-4F72-8BB5-3B940E8BB3D9}"/>
    <cellStyle name="Dezimal 4 9" xfId="12882" xr:uid="{1F930BF0-0EB0-475B-A028-99F715D69135}"/>
    <cellStyle name="Dezimal 4 9 2" xfId="12883" xr:uid="{CF349A55-81C9-4805-8377-71DF4CA661B2}"/>
    <cellStyle name="Dezimal 4 9 2 2" xfId="32320" xr:uid="{1902EFBE-9074-485C-8653-48AC818274F9}"/>
    <cellStyle name="Dezimal 4 9 3" xfId="32319" xr:uid="{5B00E1E2-239C-464E-937A-BF3F9E28D4AD}"/>
    <cellStyle name="Dezimal 40" xfId="12884" xr:uid="{7A51BEB4-C012-44FE-B93A-01E1B27F2509}"/>
    <cellStyle name="Dezimal 40 10" xfId="12885" xr:uid="{3A4B65D8-ABCC-45F1-844C-A2EDE9FC63F2}"/>
    <cellStyle name="Dezimal 40 10 2" xfId="12886" xr:uid="{14677199-6408-4D47-AF15-AFBE0D14A77B}"/>
    <cellStyle name="Dezimal 40 10 2 2" xfId="32323" xr:uid="{8E9557AF-CDA1-4F17-BF91-4B8EF5765D4D}"/>
    <cellStyle name="Dezimal 40 10 3" xfId="32322" xr:uid="{E49B64C0-C0AE-4F96-806D-FB5838D6354F}"/>
    <cellStyle name="Dezimal 40 11" xfId="12887" xr:uid="{FCF65022-921C-4626-9255-5A4BA8D18703}"/>
    <cellStyle name="Dezimal 40 11 2" xfId="32324" xr:uid="{69C854AB-087B-4C08-BC4F-6EE0222680F3}"/>
    <cellStyle name="Dezimal 40 12" xfId="12888" xr:uid="{AB1F47FA-F087-4076-B10A-9B4925B73E0D}"/>
    <cellStyle name="Dezimal 40 12 2" xfId="32325" xr:uid="{37F91ACA-1123-48AE-8D6B-E488F72CCA01}"/>
    <cellStyle name="Dezimal 40 13" xfId="12889" xr:uid="{8CB4FEFB-3ED3-4C82-9498-E24582CBCBD1}"/>
    <cellStyle name="Dezimal 40 13 2" xfId="32326" xr:uid="{9F248A23-0BC4-43F9-9AE5-C497F8DDBDB3}"/>
    <cellStyle name="Dezimal 40 14" xfId="12890" xr:uid="{DD3CE10D-EA98-4ABA-8407-7C7FC9F4B0E3}"/>
    <cellStyle name="Dezimal 40 14 2" xfId="32327" xr:uid="{B3ED4CDA-65AD-4FCF-9933-244AA4A36409}"/>
    <cellStyle name="Dezimal 40 15" xfId="12891" xr:uid="{A6A7D170-9A69-4CCE-8273-12F9C4BF5864}"/>
    <cellStyle name="Dezimal 40 15 2" xfId="32328" xr:uid="{3423559D-D12B-4A9B-B801-1B8444F16441}"/>
    <cellStyle name="Dezimal 40 16" xfId="12892" xr:uid="{1B669838-2F98-44D6-8BF6-75331AC64DCC}"/>
    <cellStyle name="Dezimal 40 16 2" xfId="32329" xr:uid="{CDF363A3-F295-4F18-8727-E122239E4E09}"/>
    <cellStyle name="Dezimal 40 17" xfId="12893" xr:uid="{508FEA15-7CAB-4B48-BBD2-37C5549A3EFD}"/>
    <cellStyle name="Dezimal 40 17 2" xfId="32330" xr:uid="{DC0D4840-4E9F-402A-A56A-34B6B457E183}"/>
    <cellStyle name="Dezimal 40 18" xfId="12894" xr:uid="{468444BB-8165-4E47-B1B2-3868EB74CEB3}"/>
    <cellStyle name="Dezimal 40 18 2" xfId="32331" xr:uid="{AE37AD34-56E4-4A7B-8E73-21342A18E752}"/>
    <cellStyle name="Dezimal 40 19" xfId="12895" xr:uid="{42016A03-80EF-4353-BDD9-54336D731ACB}"/>
    <cellStyle name="Dezimal 40 19 2" xfId="32332" xr:uid="{2A05BEA4-8C3F-4625-97C6-C4EED29AFE67}"/>
    <cellStyle name="Dezimal 40 2" xfId="12896" xr:uid="{4E863674-4712-4FA5-85CD-D0F61D29BCA9}"/>
    <cellStyle name="Dezimal 40 2 2" xfId="12897" xr:uid="{7642B10B-65F6-4716-B99E-3C3592D94CE3}"/>
    <cellStyle name="Dezimal 40 2 2 2" xfId="32334" xr:uid="{C688B3B4-224A-4F57-B0F9-72B143CAD3EB}"/>
    <cellStyle name="Dezimal 40 2 3" xfId="32333" xr:uid="{2855C5CA-1201-4DBD-ABAD-98E774BE8AAC}"/>
    <cellStyle name="Dezimal 40 20" xfId="12898" xr:uid="{BCDD1618-0C94-40A3-9AF7-798C4067C2FB}"/>
    <cellStyle name="Dezimal 40 20 2" xfId="32335" xr:uid="{4F2FAC9F-1D07-4BB6-BD3E-7ACF99529E2B}"/>
    <cellStyle name="Dezimal 40 21" xfId="12899" xr:uid="{2ED39FF5-02DC-483E-9139-88461BCA27C3}"/>
    <cellStyle name="Dezimal 40 21 2" xfId="32336" xr:uid="{A5F1FD25-5956-4A24-9EB0-E90F47F8AFB4}"/>
    <cellStyle name="Dezimal 40 22" xfId="12900" xr:uid="{E0BFC14C-9D61-40A8-9D33-0E2BFAC0687D}"/>
    <cellStyle name="Dezimal 40 22 2" xfId="32337" xr:uid="{24E895AF-6B4C-4227-BF6A-A7581FC7DD6B}"/>
    <cellStyle name="Dezimal 40 23" xfId="12901" xr:uid="{48729AD6-8DC8-4284-9730-84401E7725EF}"/>
    <cellStyle name="Dezimal 40 23 2" xfId="32338" xr:uid="{B6B730D6-8D8F-42F3-80B9-E1EA1F8BB78F}"/>
    <cellStyle name="Dezimal 40 24" xfId="12902" xr:uid="{A340D583-92A2-4FA4-B979-538E09A49256}"/>
    <cellStyle name="Dezimal 40 24 2" xfId="32339" xr:uid="{17CF85CD-117D-4277-8B6D-CDB619AE317E}"/>
    <cellStyle name="Dezimal 40 25" xfId="12903" xr:uid="{B09DA079-3A43-410B-AD68-EBE5A3A53CB6}"/>
    <cellStyle name="Dezimal 40 25 2" xfId="32340" xr:uid="{FCBA2B09-1467-490F-BFFD-EF9620E545C8}"/>
    <cellStyle name="Dezimal 40 26" xfId="12904" xr:uid="{9805711B-06A3-4483-9215-523C2C867037}"/>
    <cellStyle name="Dezimal 40 26 2" xfId="32341" xr:uid="{03F9E742-DC3E-4BE9-8613-F3DF81FC6DCC}"/>
    <cellStyle name="Dezimal 40 27" xfId="12905" xr:uid="{1E337D6A-F4F4-4E82-AC4E-BBACD171B7E0}"/>
    <cellStyle name="Dezimal 40 27 2" xfId="32342" xr:uid="{89627E5A-CBC6-4523-878E-8202C4EEA507}"/>
    <cellStyle name="Dezimal 40 28" xfId="12906" xr:uid="{57A23757-51CC-4C93-9A06-781322189D73}"/>
    <cellStyle name="Dezimal 40 28 2" xfId="32343" xr:uid="{75F39A94-FD5D-4C8A-BC90-7E15BDEA6D1C}"/>
    <cellStyle name="Dezimal 40 29" xfId="12907" xr:uid="{9CAB7311-67CF-411E-B2FF-EC3081E8B71E}"/>
    <cellStyle name="Dezimal 40 29 2" xfId="32344" xr:uid="{0DF9C833-B047-41ED-8293-8688CB07427B}"/>
    <cellStyle name="Dezimal 40 3" xfId="12908" xr:uid="{970871BA-C49F-4A47-8254-043E71973E7F}"/>
    <cellStyle name="Dezimal 40 3 2" xfId="12909" xr:uid="{3553BBBA-B885-44E2-83C9-A310F4A582F1}"/>
    <cellStyle name="Dezimal 40 3 2 2" xfId="32346" xr:uid="{CAD67901-41EE-4ED9-8736-7296DBF7465F}"/>
    <cellStyle name="Dezimal 40 3 3" xfId="32345" xr:uid="{DC69436A-BFDA-4675-853B-5140CE846165}"/>
    <cellStyle name="Dezimal 40 30" xfId="12910" xr:uid="{1F1A1D53-627F-471B-B4EB-9DE766CF3BE4}"/>
    <cellStyle name="Dezimal 40 30 2" xfId="32347" xr:uid="{A8A971D0-D563-48FB-A342-9DC5D9A0E86F}"/>
    <cellStyle name="Dezimal 40 31" xfId="12911" xr:uid="{220A11AF-F0FD-45C0-BA8E-BCD6FC38449A}"/>
    <cellStyle name="Dezimal 40 31 2" xfId="32348" xr:uid="{4678A0DC-B9DE-417F-B591-0E2B27204218}"/>
    <cellStyle name="Dezimal 40 32" xfId="32321" xr:uid="{9A1D93C0-5841-403A-A02F-DC12FD318FAE}"/>
    <cellStyle name="Dezimal 40 4" xfId="12912" xr:uid="{B6B43E1A-9E75-44CF-B340-E3101EF08358}"/>
    <cellStyle name="Dezimal 40 4 2" xfId="12913" xr:uid="{260BC8BB-A69E-45C4-BCF7-D472E1657E6F}"/>
    <cellStyle name="Dezimal 40 4 2 2" xfId="32350" xr:uid="{89105C5B-FB70-4104-94FE-0EC2B96B5660}"/>
    <cellStyle name="Dezimal 40 4 3" xfId="32349" xr:uid="{347667FA-7E6E-436F-B114-88F2B80CED22}"/>
    <cellStyle name="Dezimal 40 5" xfId="12914" xr:uid="{4CB95195-6B6E-4554-A4A6-9E9A6F3C23E8}"/>
    <cellStyle name="Dezimal 40 5 2" xfId="12915" xr:uid="{2B14FD7E-3ABA-4FE1-AD2E-D888117F9AE4}"/>
    <cellStyle name="Dezimal 40 5 2 2" xfId="32352" xr:uid="{4427118F-7C55-46C1-93D7-94A717D20EA1}"/>
    <cellStyle name="Dezimal 40 5 3" xfId="32351" xr:uid="{22A217FF-F01B-4DC8-B803-5C5AF822FB02}"/>
    <cellStyle name="Dezimal 40 6" xfId="12916" xr:uid="{2BBBDE39-2B43-4F06-9C1B-AB53FB5F6A29}"/>
    <cellStyle name="Dezimal 40 6 2" xfId="12917" xr:uid="{F682F313-12A5-4FA5-AA55-B45F997B0BCC}"/>
    <cellStyle name="Dezimal 40 6 2 2" xfId="32354" xr:uid="{31AB5133-AA48-4453-8D9E-CE89458BC30A}"/>
    <cellStyle name="Dezimal 40 6 3" xfId="32353" xr:uid="{76210BA8-82EA-4C1C-91F1-89FA2CB92C31}"/>
    <cellStyle name="Dezimal 40 7" xfId="12918" xr:uid="{53D6AB87-EE35-4238-94CD-F2A42117ED72}"/>
    <cellStyle name="Dezimal 40 7 2" xfId="12919" xr:uid="{CFD0E01B-5BBD-4814-B2F0-CA7BA4CF05A9}"/>
    <cellStyle name="Dezimal 40 7 2 2" xfId="32356" xr:uid="{7DC7EDFC-4BFA-4035-9FB2-CEE789A6907A}"/>
    <cellStyle name="Dezimal 40 7 3" xfId="32355" xr:uid="{1493C9AB-8525-48BB-98F2-8D6E4D353BE5}"/>
    <cellStyle name="Dezimal 40 8" xfId="12920" xr:uid="{E3ABD5DA-DC33-431A-B1A9-75F83F698EEF}"/>
    <cellStyle name="Dezimal 40 8 2" xfId="12921" xr:uid="{3AFCE83D-2F38-4BC4-889C-E5750080365C}"/>
    <cellStyle name="Dezimal 40 8 2 2" xfId="32358" xr:uid="{2AE7BA5B-1A5F-426E-A47A-6DDC1DB37248}"/>
    <cellStyle name="Dezimal 40 8 3" xfId="32357" xr:uid="{A441BB2B-E10D-49C8-B85D-005FDCA0DA2A}"/>
    <cellStyle name="Dezimal 40 9" xfId="12922" xr:uid="{164FFCBA-6482-4A62-8D64-0C696855E2FF}"/>
    <cellStyle name="Dezimal 40 9 2" xfId="12923" xr:uid="{3717B455-94EA-4203-B150-D0AAECAB2A84}"/>
    <cellStyle name="Dezimal 40 9 2 2" xfId="32360" xr:uid="{43F90FE3-A598-43BC-A2D4-F06A0A6AA236}"/>
    <cellStyle name="Dezimal 40 9 3" xfId="32359" xr:uid="{CF14754A-3BC6-4900-925A-952483EB7024}"/>
    <cellStyle name="Dezimal 41" xfId="12924" xr:uid="{D0E6C2B4-AF2C-4503-9E65-C7E58185AE85}"/>
    <cellStyle name="Dezimal 41 10" xfId="12925" xr:uid="{4EDC06DD-4CCE-4AF0-A07F-101D3AAD8D2F}"/>
    <cellStyle name="Dezimal 41 10 2" xfId="12926" xr:uid="{DE20745A-E2E0-4D28-A341-750B2C8D4A5D}"/>
    <cellStyle name="Dezimal 41 10 2 2" xfId="32363" xr:uid="{97F4CB6B-0E40-42B2-A650-E83013C9430D}"/>
    <cellStyle name="Dezimal 41 10 3" xfId="32362" xr:uid="{E4959AEB-1DB0-4B47-8C1B-63BC09FC0B63}"/>
    <cellStyle name="Dezimal 41 11" xfId="12927" xr:uid="{FDA797BB-2E69-4638-B8BC-FC4DC2447551}"/>
    <cellStyle name="Dezimal 41 11 2" xfId="32364" xr:uid="{6AC16F18-4D34-45F3-8FE8-14BE08BB669E}"/>
    <cellStyle name="Dezimal 41 12" xfId="12928" xr:uid="{9C9C0B6F-C5F9-4ECC-8A6E-59F9CFB587C9}"/>
    <cellStyle name="Dezimal 41 12 2" xfId="32365" xr:uid="{B8849439-0D08-4702-8F70-E56864CED5F6}"/>
    <cellStyle name="Dezimal 41 13" xfId="12929" xr:uid="{7A15606E-9A48-4347-B2A5-FBD78EFC03B8}"/>
    <cellStyle name="Dezimal 41 13 2" xfId="32366" xr:uid="{60DF350D-29D1-4941-88E7-C908640FB54B}"/>
    <cellStyle name="Dezimal 41 14" xfId="12930" xr:uid="{E87ED9E9-97B2-46AC-A29C-C9C78C570FB7}"/>
    <cellStyle name="Dezimal 41 14 2" xfId="32367" xr:uid="{6616ADA5-D835-428C-AAD0-650F3C5FEE0B}"/>
    <cellStyle name="Dezimal 41 15" xfId="12931" xr:uid="{B6453E9B-6052-49D2-B956-A0207153FE1E}"/>
    <cellStyle name="Dezimal 41 15 2" xfId="32368" xr:uid="{5A822FB2-BBD9-4633-841A-7A0F74704E68}"/>
    <cellStyle name="Dezimal 41 16" xfId="12932" xr:uid="{EAC0C248-A44F-424F-9526-884FD135755E}"/>
    <cellStyle name="Dezimal 41 16 2" xfId="32369" xr:uid="{A465B4C1-DF25-46F9-8E01-EEAEADB67B2A}"/>
    <cellStyle name="Dezimal 41 17" xfId="12933" xr:uid="{3DC02145-DEBD-4C4E-8760-90DF0743BD4A}"/>
    <cellStyle name="Dezimal 41 17 2" xfId="32370" xr:uid="{2AC35090-9342-498A-8E6D-D25A477F162C}"/>
    <cellStyle name="Dezimal 41 18" xfId="12934" xr:uid="{FD5C350A-45A5-4E3E-9ECF-27A04D7EC1A9}"/>
    <cellStyle name="Dezimal 41 18 2" xfId="32371" xr:uid="{665B3EFD-03A0-4FE0-8A53-979837B08615}"/>
    <cellStyle name="Dezimal 41 19" xfId="12935" xr:uid="{4995EEEC-BF45-49B5-9339-AECD464E40A2}"/>
    <cellStyle name="Dezimal 41 19 2" xfId="32372" xr:uid="{83F0DBFA-4C69-4BFB-9CBF-D83FFAB558B3}"/>
    <cellStyle name="Dezimal 41 2" xfId="12936" xr:uid="{C4941AD0-91B6-43E1-922A-0F53352AF7C7}"/>
    <cellStyle name="Dezimal 41 2 2" xfId="12937" xr:uid="{73EEF74E-BDF3-415C-9693-BAC9AB312A5E}"/>
    <cellStyle name="Dezimal 41 2 2 2" xfId="32374" xr:uid="{81CC5018-A3BF-46CB-8F2D-B25FB81724D8}"/>
    <cellStyle name="Dezimal 41 2 3" xfId="32373" xr:uid="{BEE94491-566C-4AE1-B412-2250209024FE}"/>
    <cellStyle name="Dezimal 41 20" xfId="12938" xr:uid="{D32CB4A4-3BC6-412D-8F1C-67CC88EC2DD4}"/>
    <cellStyle name="Dezimal 41 20 2" xfId="32375" xr:uid="{F0C77904-6620-4434-919B-C97A7FB0D336}"/>
    <cellStyle name="Dezimal 41 21" xfId="12939" xr:uid="{0F2879D3-4DDD-41BF-A7C2-D29F66A19378}"/>
    <cellStyle name="Dezimal 41 21 2" xfId="32376" xr:uid="{28195F5B-3D6E-4ECD-AF87-4C16F2859DB5}"/>
    <cellStyle name="Dezimal 41 22" xfId="12940" xr:uid="{C5B66862-2C11-427B-B00C-D2D0D24EC586}"/>
    <cellStyle name="Dezimal 41 22 2" xfId="32377" xr:uid="{920CD8B3-531B-4A44-BC6A-1A4DDC20774A}"/>
    <cellStyle name="Dezimal 41 23" xfId="12941" xr:uid="{692E81CF-B69F-44EF-8038-DB38BBE232CB}"/>
    <cellStyle name="Dezimal 41 23 2" xfId="32378" xr:uid="{67383BCC-FDA2-40CE-970A-CD04AF5195C6}"/>
    <cellStyle name="Dezimal 41 24" xfId="12942" xr:uid="{D75F2502-4642-4A7C-9278-CFF37362F7FB}"/>
    <cellStyle name="Dezimal 41 24 2" xfId="32379" xr:uid="{8685610C-8869-409E-93E9-3E7F0446530F}"/>
    <cellStyle name="Dezimal 41 25" xfId="12943" xr:uid="{CA4F3E39-EA2C-4C12-ABB7-79AB7B89B2E5}"/>
    <cellStyle name="Dezimal 41 25 2" xfId="32380" xr:uid="{FB7E6246-1653-483A-AD16-477C354983B6}"/>
    <cellStyle name="Dezimal 41 26" xfId="12944" xr:uid="{A8FE3E1A-16E7-4193-BA49-3B660049D38F}"/>
    <cellStyle name="Dezimal 41 26 2" xfId="32381" xr:uid="{6A677DBC-7BED-4A40-850F-14A189769767}"/>
    <cellStyle name="Dezimal 41 27" xfId="12945" xr:uid="{E0003273-A8C1-4AAC-A8F7-3B6D875331FF}"/>
    <cellStyle name="Dezimal 41 27 2" xfId="32382" xr:uid="{6391390E-11DF-4E8D-A126-3AD28CE8A7FA}"/>
    <cellStyle name="Dezimal 41 28" xfId="12946" xr:uid="{C9CEE304-BCD9-400B-82A9-C245630F1581}"/>
    <cellStyle name="Dezimal 41 28 2" xfId="32383" xr:uid="{F814995A-837B-48CA-A250-CC8A0092136D}"/>
    <cellStyle name="Dezimal 41 29" xfId="12947" xr:uid="{D4339529-CED3-4AE0-AE13-7904653E2681}"/>
    <cellStyle name="Dezimal 41 29 2" xfId="32384" xr:uid="{62F91D6E-5838-4077-B4E1-171E2F4D1EB1}"/>
    <cellStyle name="Dezimal 41 3" xfId="12948" xr:uid="{2A4CD13F-67B7-4F63-92F5-0666BDEB4A78}"/>
    <cellStyle name="Dezimal 41 3 2" xfId="12949" xr:uid="{0A1136D8-A19E-4E60-98A7-021B54A8A1F3}"/>
    <cellStyle name="Dezimal 41 3 2 2" xfId="32386" xr:uid="{08DB85A6-1940-4D99-8697-12DAC60F9573}"/>
    <cellStyle name="Dezimal 41 3 3" xfId="32385" xr:uid="{024B1CD9-8C47-4FFF-A708-1B460CC8D917}"/>
    <cellStyle name="Dezimal 41 30" xfId="12950" xr:uid="{C586B8C2-39B4-44DB-BB55-D5B2534FD618}"/>
    <cellStyle name="Dezimal 41 30 2" xfId="32387" xr:uid="{706EAC89-BC5F-43A8-AB5F-8318A82809B1}"/>
    <cellStyle name="Dezimal 41 31" xfId="12951" xr:uid="{6B76BF18-E562-4866-8C78-9965D9176C8D}"/>
    <cellStyle name="Dezimal 41 31 2" xfId="32388" xr:uid="{83A9BD76-C33E-4023-A858-5493DF5DEEC9}"/>
    <cellStyle name="Dezimal 41 32" xfId="32361" xr:uid="{E21EA737-F3E3-46F2-8BB6-84C3B14A4E64}"/>
    <cellStyle name="Dezimal 41 4" xfId="12952" xr:uid="{9917D56F-36D3-404F-81DB-FF6D4F90F0FA}"/>
    <cellStyle name="Dezimal 41 4 2" xfId="12953" xr:uid="{6DA97411-39D6-4A6F-BB67-9B59DEBC0327}"/>
    <cellStyle name="Dezimal 41 4 2 2" xfId="32390" xr:uid="{622FC1C4-1288-47BD-8BDA-0002F041379D}"/>
    <cellStyle name="Dezimal 41 4 3" xfId="32389" xr:uid="{2CF77245-B5E8-4067-BBBB-E1C7963DF9F0}"/>
    <cellStyle name="Dezimal 41 5" xfId="12954" xr:uid="{985F7B87-2DD3-4307-BA6D-2820F9B51504}"/>
    <cellStyle name="Dezimal 41 5 2" xfId="12955" xr:uid="{56C73A67-C75F-497F-AE62-E743FE51DCED}"/>
    <cellStyle name="Dezimal 41 5 2 2" xfId="32392" xr:uid="{C44B1C29-BE54-4B12-BCB6-2B97C640A594}"/>
    <cellStyle name="Dezimal 41 5 3" xfId="32391" xr:uid="{FE8C45A9-4D1C-4539-90A2-0973AD7066CA}"/>
    <cellStyle name="Dezimal 41 6" xfId="12956" xr:uid="{D33F17FF-6486-4B08-BA23-50463E1E50C6}"/>
    <cellStyle name="Dezimal 41 6 2" xfId="12957" xr:uid="{67DB2ED4-4F65-4AB0-A992-4B956F246040}"/>
    <cellStyle name="Dezimal 41 6 2 2" xfId="32394" xr:uid="{FE14C262-2C1E-4127-A69E-9EBD3BA5F96C}"/>
    <cellStyle name="Dezimal 41 6 3" xfId="32393" xr:uid="{B5B130E9-E862-4D8B-A70B-D49D485D880E}"/>
    <cellStyle name="Dezimal 41 7" xfId="12958" xr:uid="{4AB5EF03-2354-4275-A178-1D02783FF47E}"/>
    <cellStyle name="Dezimal 41 7 2" xfId="12959" xr:uid="{E7EC2118-EB28-444A-8F9A-B367EC781735}"/>
    <cellStyle name="Dezimal 41 7 2 2" xfId="32396" xr:uid="{E01A90AF-E628-4812-AAC7-530ECA0502E7}"/>
    <cellStyle name="Dezimal 41 7 3" xfId="32395" xr:uid="{D4B22470-D2C3-42FE-A7F4-095695818D4A}"/>
    <cellStyle name="Dezimal 41 8" xfId="12960" xr:uid="{C719561C-ED81-4032-A433-FF2185104CD1}"/>
    <cellStyle name="Dezimal 41 8 2" xfId="12961" xr:uid="{F73D3C89-45FB-486C-A74E-66DF41D8B589}"/>
    <cellStyle name="Dezimal 41 8 2 2" xfId="32398" xr:uid="{7D367621-9FFA-435A-AEF9-4A213D2DC33B}"/>
    <cellStyle name="Dezimal 41 8 3" xfId="32397" xr:uid="{73F4A4C9-EC01-4854-933D-9E10DC9059C0}"/>
    <cellStyle name="Dezimal 41 9" xfId="12962" xr:uid="{3280C85E-49F2-4A2F-B4DA-5B7160262804}"/>
    <cellStyle name="Dezimal 41 9 2" xfId="12963" xr:uid="{5B0FF572-F439-46C4-853C-3D42B4142E7E}"/>
    <cellStyle name="Dezimal 41 9 2 2" xfId="32400" xr:uid="{CED662FD-7EF9-4166-A02D-7FB86498AAC4}"/>
    <cellStyle name="Dezimal 41 9 3" xfId="32399" xr:uid="{0D708962-F5AF-4A44-B5A6-9FD38D29BD43}"/>
    <cellStyle name="Dezimal 42" xfId="12964" xr:uid="{76A0AB4D-EED1-4BC9-9498-AA987E656F18}"/>
    <cellStyle name="Dezimal 42 10" xfId="12965" xr:uid="{7F39E168-2D77-4832-9090-00A087F79F83}"/>
    <cellStyle name="Dezimal 42 10 2" xfId="12966" xr:uid="{A4D8B698-7658-41CA-8257-CB4696C40E03}"/>
    <cellStyle name="Dezimal 42 10 2 2" xfId="32403" xr:uid="{A5AB8046-F33E-465E-8D83-48D65DA99660}"/>
    <cellStyle name="Dezimal 42 10 3" xfId="32402" xr:uid="{DE6A180A-34A7-40FF-9819-8D1C94D3FEFC}"/>
    <cellStyle name="Dezimal 42 11" xfId="12967" xr:uid="{3733D7D8-FB59-4FBE-9D09-667E76BA7CE4}"/>
    <cellStyle name="Dezimal 42 11 2" xfId="32404" xr:uid="{0D80F7E4-7174-405B-BC54-15E0F61A7031}"/>
    <cellStyle name="Dezimal 42 12" xfId="12968" xr:uid="{8B552DF1-B979-4458-9EA7-497E4EDC6C4E}"/>
    <cellStyle name="Dezimal 42 12 2" xfId="32405" xr:uid="{AE45E903-35E2-46CC-BB07-18133AD5DA3F}"/>
    <cellStyle name="Dezimal 42 13" xfId="12969" xr:uid="{B4094DDA-8C65-4432-8A3F-E7FF03522ECC}"/>
    <cellStyle name="Dezimal 42 13 2" xfId="32406" xr:uid="{61968F04-6953-43EB-B3CA-1F758200EA45}"/>
    <cellStyle name="Dezimal 42 14" xfId="12970" xr:uid="{8651D549-E56C-4A66-8B71-FD83E838FA72}"/>
    <cellStyle name="Dezimal 42 14 2" xfId="32407" xr:uid="{B3042E2C-0C18-4C03-86DB-ED03592B23B4}"/>
    <cellStyle name="Dezimal 42 15" xfId="12971" xr:uid="{57D0056D-0A11-4929-AE07-821391761BDE}"/>
    <cellStyle name="Dezimal 42 15 2" xfId="32408" xr:uid="{C38B8079-B7BA-4D0F-A826-7A9F5579EA0A}"/>
    <cellStyle name="Dezimal 42 16" xfId="12972" xr:uid="{39513FFA-B7E2-4C4C-8ACA-0F02C9839DD9}"/>
    <cellStyle name="Dezimal 42 16 2" xfId="32409" xr:uid="{CE346B0C-67AA-4705-8482-C1766E05A411}"/>
    <cellStyle name="Dezimal 42 17" xfId="12973" xr:uid="{FEF9A659-04A1-49B6-B492-B46EAB252A5C}"/>
    <cellStyle name="Dezimal 42 17 2" xfId="32410" xr:uid="{1F5A517F-1EC4-41E4-BE2F-ADA2846EC208}"/>
    <cellStyle name="Dezimal 42 18" xfId="12974" xr:uid="{E946F427-BEEB-48BD-826E-6B5739034131}"/>
    <cellStyle name="Dezimal 42 18 2" xfId="32411" xr:uid="{C4C8EC88-BAD0-4484-AA6E-18B4B47E6F93}"/>
    <cellStyle name="Dezimal 42 19" xfId="12975" xr:uid="{1EA09BF9-0631-4572-82F4-DFC0F203C030}"/>
    <cellStyle name="Dezimal 42 19 2" xfId="32412" xr:uid="{A4112051-7EB4-4ADD-8ACA-90BC6D213772}"/>
    <cellStyle name="Dezimal 42 2" xfId="12976" xr:uid="{B39973F7-4D75-4E14-B52E-1B9881A9B240}"/>
    <cellStyle name="Dezimal 42 2 2" xfId="12977" xr:uid="{98476F3A-ADA3-4A28-88CC-E92A9D7C076F}"/>
    <cellStyle name="Dezimal 42 2 2 2" xfId="32414" xr:uid="{DDAA9ADE-85BB-4BB0-95D8-90F0E4AC9807}"/>
    <cellStyle name="Dezimal 42 2 3" xfId="32413" xr:uid="{072F8DA9-5011-4A2F-BCC8-A5B15867E176}"/>
    <cellStyle name="Dezimal 42 20" xfId="12978" xr:uid="{47DE8A1B-0346-4092-BA9F-C928DBA0A7A3}"/>
    <cellStyle name="Dezimal 42 20 2" xfId="32415" xr:uid="{49E8AF41-5725-49FC-9C03-8FF145AD0ADF}"/>
    <cellStyle name="Dezimal 42 21" xfId="12979" xr:uid="{35B38520-8417-4C76-A708-D153878C789A}"/>
    <cellStyle name="Dezimal 42 21 2" xfId="32416" xr:uid="{79A83934-4EAB-4482-B55B-2C499BAAEC13}"/>
    <cellStyle name="Dezimal 42 22" xfId="12980" xr:uid="{FEEBB62B-61DC-4199-BA9C-B3FFD10E34E7}"/>
    <cellStyle name="Dezimal 42 22 2" xfId="32417" xr:uid="{BB045CD0-5E59-4011-A414-AB913516AA8E}"/>
    <cellStyle name="Dezimal 42 23" xfId="12981" xr:uid="{677CDB9C-3129-4CC1-B1CE-46D558FCAF12}"/>
    <cellStyle name="Dezimal 42 23 2" xfId="32418" xr:uid="{8C78E7B3-2F8F-4429-91EB-9322E6350B90}"/>
    <cellStyle name="Dezimal 42 24" xfId="12982" xr:uid="{8269C3FE-C0BC-4306-8F6B-F33133C8E44E}"/>
    <cellStyle name="Dezimal 42 24 2" xfId="32419" xr:uid="{25D1DEA2-3407-4201-9BC7-510A8A2D3918}"/>
    <cellStyle name="Dezimal 42 25" xfId="12983" xr:uid="{47E28C65-8885-4C5F-A584-C89088A3AA16}"/>
    <cellStyle name="Dezimal 42 25 2" xfId="32420" xr:uid="{50A86665-88E1-4CF6-8CC6-DCF21F825514}"/>
    <cellStyle name="Dezimal 42 26" xfId="12984" xr:uid="{2839266A-B935-4EC6-8B55-FA241C053B9E}"/>
    <cellStyle name="Dezimal 42 26 2" xfId="32421" xr:uid="{34593D2B-4F86-44E1-B033-EF9A5682317E}"/>
    <cellStyle name="Dezimal 42 27" xfId="12985" xr:uid="{1B081EEE-ED73-4512-844F-84A70215889B}"/>
    <cellStyle name="Dezimal 42 27 2" xfId="32422" xr:uid="{68A23272-51F5-447A-828F-28549F3639CB}"/>
    <cellStyle name="Dezimal 42 28" xfId="12986" xr:uid="{66C2E387-3A17-4BBE-B187-ED0D8292AC22}"/>
    <cellStyle name="Dezimal 42 28 2" xfId="32423" xr:uid="{72B2BD1C-7F79-42E4-8A48-62F598DD9376}"/>
    <cellStyle name="Dezimal 42 29" xfId="12987" xr:uid="{F6B85322-AE6E-4162-9F5E-ADBD13B96D99}"/>
    <cellStyle name="Dezimal 42 29 2" xfId="32424" xr:uid="{D35656F8-6B2B-4F22-A2B5-8948021154B9}"/>
    <cellStyle name="Dezimal 42 3" xfId="12988" xr:uid="{817AA1B4-93D6-4B9C-B71F-A60703438463}"/>
    <cellStyle name="Dezimal 42 3 2" xfId="12989" xr:uid="{8B0E51A9-6984-4418-BD78-6D8D8ECC669E}"/>
    <cellStyle name="Dezimal 42 3 2 2" xfId="32426" xr:uid="{4E0A4EB0-2400-439D-9378-496B11D33B43}"/>
    <cellStyle name="Dezimal 42 3 3" xfId="32425" xr:uid="{A482D2E7-364E-44FE-A984-4475D01E274F}"/>
    <cellStyle name="Dezimal 42 30" xfId="12990" xr:uid="{DDFF3252-919C-40F0-AFFC-0F8CDE86B713}"/>
    <cellStyle name="Dezimal 42 30 2" xfId="32427" xr:uid="{56B2D41F-ED74-4DC3-9705-9C45BD4F1862}"/>
    <cellStyle name="Dezimal 42 31" xfId="12991" xr:uid="{698E6FA0-D26F-4B54-9E0C-C1956863ECAA}"/>
    <cellStyle name="Dezimal 42 31 2" xfId="32428" xr:uid="{5B6C2330-61E2-48BE-911C-596B25F6EDB5}"/>
    <cellStyle name="Dezimal 42 32" xfId="32401" xr:uid="{A979ED86-963E-4874-8A9D-F14B62668ADE}"/>
    <cellStyle name="Dezimal 42 4" xfId="12992" xr:uid="{E8A771A0-D113-49E0-A276-042DFB500204}"/>
    <cellStyle name="Dezimal 42 4 2" xfId="12993" xr:uid="{CFCDE0AB-8FEF-4A38-B555-B1BB1B16F199}"/>
    <cellStyle name="Dezimal 42 4 2 2" xfId="32430" xr:uid="{9F0586D4-1ECB-44F9-B194-2D651D60366A}"/>
    <cellStyle name="Dezimal 42 4 3" xfId="32429" xr:uid="{790E5954-D795-4BC8-A544-513693D98A23}"/>
    <cellStyle name="Dezimal 42 5" xfId="12994" xr:uid="{63363759-6D0A-4603-8EF7-734E4C6B8447}"/>
    <cellStyle name="Dezimal 42 5 2" xfId="12995" xr:uid="{A328080E-67D6-4197-9906-B3F435E42310}"/>
    <cellStyle name="Dezimal 42 5 2 2" xfId="32432" xr:uid="{92F2EB35-0C95-4479-8B83-CC91726EE8BA}"/>
    <cellStyle name="Dezimal 42 5 3" xfId="32431" xr:uid="{CE14FF90-78ED-488A-9BD2-9256C8D3565F}"/>
    <cellStyle name="Dezimal 42 6" xfId="12996" xr:uid="{ACADFF9A-39D2-4D5B-B043-3948004514DF}"/>
    <cellStyle name="Dezimal 42 6 2" xfId="12997" xr:uid="{B6B78898-C9CE-42E9-BD4B-96ABE77187B8}"/>
    <cellStyle name="Dezimal 42 6 2 2" xfId="32434" xr:uid="{928C5D47-8A80-4B69-9D33-2945A444EBFE}"/>
    <cellStyle name="Dezimal 42 6 3" xfId="32433" xr:uid="{FFC20359-CAD2-4A9C-AA41-D1C28DA1A06E}"/>
    <cellStyle name="Dezimal 42 7" xfId="12998" xr:uid="{485A084B-55D6-4339-958A-78CF6B2AA16E}"/>
    <cellStyle name="Dezimal 42 7 2" xfId="12999" xr:uid="{D9F68E9A-116D-4034-8EF9-DF67EE6484C2}"/>
    <cellStyle name="Dezimal 42 7 2 2" xfId="32436" xr:uid="{79C45403-7945-42AC-A1E5-A7C9E92D8766}"/>
    <cellStyle name="Dezimal 42 7 3" xfId="32435" xr:uid="{69AE5776-C48A-44D0-859A-0DD046DE7513}"/>
    <cellStyle name="Dezimal 42 8" xfId="13000" xr:uid="{DBBB08BE-74BB-47A8-8126-170E1C8F09CF}"/>
    <cellStyle name="Dezimal 42 8 2" xfId="13001" xr:uid="{BF97F4F5-E120-48C1-B278-5DFE3B54E180}"/>
    <cellStyle name="Dezimal 42 8 2 2" xfId="32438" xr:uid="{68E4157C-313B-477D-B8F7-929889FFF117}"/>
    <cellStyle name="Dezimal 42 8 3" xfId="32437" xr:uid="{2FA37AF2-E930-410B-BA87-9B53BDF6B47D}"/>
    <cellStyle name="Dezimal 42 9" xfId="13002" xr:uid="{B864F15E-ED6F-4774-93D7-40F9B74CC76A}"/>
    <cellStyle name="Dezimal 42 9 2" xfId="13003" xr:uid="{82CF46B8-7990-4C81-BE25-A7BBF6AC5EB3}"/>
    <cellStyle name="Dezimal 42 9 2 2" xfId="32440" xr:uid="{C28FB29F-53B8-441C-8224-C9BE8D321C2C}"/>
    <cellStyle name="Dezimal 42 9 3" xfId="32439" xr:uid="{3CE36AA2-9586-45BF-A0B2-82A90B918C76}"/>
    <cellStyle name="Dezimal 43" xfId="13004" xr:uid="{116D0804-D80B-4C89-9B7C-600BC7670F97}"/>
    <cellStyle name="Dezimal 43 10" xfId="13005" xr:uid="{E4FEA107-6DC2-42E6-8DAA-530B1DF9710A}"/>
    <cellStyle name="Dezimal 43 10 2" xfId="13006" xr:uid="{53BA32D2-9355-4569-B60B-731ECBCED766}"/>
    <cellStyle name="Dezimal 43 10 2 2" xfId="32443" xr:uid="{E2097A0E-D133-4B18-8B73-008FD2D4DA6E}"/>
    <cellStyle name="Dezimal 43 10 3" xfId="32442" xr:uid="{C3D8DBE1-30D5-43D4-941B-33C5AAF2EEB6}"/>
    <cellStyle name="Dezimal 43 11" xfId="13007" xr:uid="{9701157F-48B0-4E93-AC8B-2851A5FA3084}"/>
    <cellStyle name="Dezimal 43 11 2" xfId="32444" xr:uid="{9509B0CE-8110-4351-BDFF-503457555AFF}"/>
    <cellStyle name="Dezimal 43 12" xfId="13008" xr:uid="{518B8F67-4C86-4599-9CFE-F82B42189704}"/>
    <cellStyle name="Dezimal 43 12 2" xfId="32445" xr:uid="{81CDC14A-ED88-44F1-A8B6-E4017D513C13}"/>
    <cellStyle name="Dezimal 43 13" xfId="13009" xr:uid="{BB3FE5DF-87BC-42B5-BE5A-8EEDD591ABF6}"/>
    <cellStyle name="Dezimal 43 13 2" xfId="32446" xr:uid="{6D614C7E-A59A-49A2-9B94-08F8F739C40E}"/>
    <cellStyle name="Dezimal 43 14" xfId="13010" xr:uid="{B4761B79-EC32-411E-B8D3-9DE8539FB511}"/>
    <cellStyle name="Dezimal 43 14 2" xfId="32447" xr:uid="{997F1547-5AF7-4278-AB3C-44CF1D233C73}"/>
    <cellStyle name="Dezimal 43 15" xfId="13011" xr:uid="{4E7B47A1-6BBC-4696-8A2A-6001E28DFED6}"/>
    <cellStyle name="Dezimal 43 15 2" xfId="32448" xr:uid="{EC605419-EEED-48C0-8ED7-5E1F1A7709B1}"/>
    <cellStyle name="Dezimal 43 16" xfId="13012" xr:uid="{EBC81BF4-3C15-46AC-BBBE-C073B2A6C245}"/>
    <cellStyle name="Dezimal 43 16 2" xfId="32449" xr:uid="{ACC95345-621F-41D6-9C9B-DE3B96294716}"/>
    <cellStyle name="Dezimal 43 17" xfId="13013" xr:uid="{ACBEDB04-4BAA-4CD8-A561-FFA552C2E8C1}"/>
    <cellStyle name="Dezimal 43 17 2" xfId="32450" xr:uid="{96A17BA0-E469-4B87-8E4C-76E83E6B585B}"/>
    <cellStyle name="Dezimal 43 18" xfId="13014" xr:uid="{5D3E222B-BB3F-4DC4-9BC5-53F8AF3F29F0}"/>
    <cellStyle name="Dezimal 43 18 2" xfId="32451" xr:uid="{DC98D57D-D1C2-4EDB-90EF-101EA62F6901}"/>
    <cellStyle name="Dezimal 43 19" xfId="13015" xr:uid="{FB12578F-1659-40E7-9FDA-D055E5BF52E9}"/>
    <cellStyle name="Dezimal 43 19 2" xfId="32452" xr:uid="{9DAE1A3A-D438-4738-8DB6-7DB140B162E0}"/>
    <cellStyle name="Dezimal 43 2" xfId="13016" xr:uid="{08DEDE59-CF41-4651-B3BA-70058C010B87}"/>
    <cellStyle name="Dezimal 43 2 2" xfId="13017" xr:uid="{060466FC-BF41-415D-976F-7F8AFA556710}"/>
    <cellStyle name="Dezimal 43 2 2 2" xfId="32454" xr:uid="{A7E45A92-E757-4090-BB59-E7302B026AE3}"/>
    <cellStyle name="Dezimal 43 2 3" xfId="32453" xr:uid="{DB7502C0-E474-4BD5-AF2A-66BC8833D602}"/>
    <cellStyle name="Dezimal 43 20" xfId="13018" xr:uid="{45B91EC6-97A1-40E6-AD85-765DACC33EB2}"/>
    <cellStyle name="Dezimal 43 20 2" xfId="32455" xr:uid="{B9E21A61-5A47-496F-94CF-7FFB4402B450}"/>
    <cellStyle name="Dezimal 43 21" xfId="13019" xr:uid="{12D24D17-9A78-431C-8BBC-26954351A4E1}"/>
    <cellStyle name="Dezimal 43 21 2" xfId="32456" xr:uid="{54272B8F-D38B-4E66-A9B9-D294A64588C7}"/>
    <cellStyle name="Dezimal 43 22" xfId="13020" xr:uid="{20DAD788-914F-4A7C-93D3-BE7F8305B80B}"/>
    <cellStyle name="Dezimal 43 22 2" xfId="32457" xr:uid="{1E47E872-445B-4836-9F21-D1406734AAA7}"/>
    <cellStyle name="Dezimal 43 23" xfId="13021" xr:uid="{2B8F893C-5FEF-48F4-B8D3-39A3719D31F6}"/>
    <cellStyle name="Dezimal 43 23 2" xfId="32458" xr:uid="{A7385811-2E7E-4040-AF78-C685BC0498BE}"/>
    <cellStyle name="Dezimal 43 24" xfId="13022" xr:uid="{174BDE9B-4254-48EA-8C93-386A3BFC94FA}"/>
    <cellStyle name="Dezimal 43 24 2" xfId="32459" xr:uid="{06DF29DC-CA76-43E0-910C-440EFA44A872}"/>
    <cellStyle name="Dezimal 43 25" xfId="13023" xr:uid="{7EAF25D6-58B3-4FCA-8493-0903654DF119}"/>
    <cellStyle name="Dezimal 43 25 2" xfId="32460" xr:uid="{CE1DDCCB-8DF1-4AAE-940C-09F8967B148A}"/>
    <cellStyle name="Dezimal 43 26" xfId="13024" xr:uid="{28EAF9C0-483C-44B4-84B0-D2C74A5C01B9}"/>
    <cellStyle name="Dezimal 43 26 2" xfId="32461" xr:uid="{CD1BE4DC-E59A-488C-9470-BB58D15FD1C9}"/>
    <cellStyle name="Dezimal 43 27" xfId="13025" xr:uid="{E9E8ED83-E13C-40B3-B9F0-FEAF19A798CC}"/>
    <cellStyle name="Dezimal 43 27 2" xfId="32462" xr:uid="{DA78886B-7D1F-4CA6-89C5-127FE255902E}"/>
    <cellStyle name="Dezimal 43 28" xfId="13026" xr:uid="{F06E70A4-6ADE-4CAD-9558-FC8BCE365AEF}"/>
    <cellStyle name="Dezimal 43 28 2" xfId="32463" xr:uid="{FE18926B-A663-4BA6-9FD7-A0C05F80BA2A}"/>
    <cellStyle name="Dezimal 43 29" xfId="13027" xr:uid="{27067022-99AA-4DB9-B5BF-54210EB46855}"/>
    <cellStyle name="Dezimal 43 29 2" xfId="32464" xr:uid="{3AC300C6-FC8B-4D88-8A5F-0C61FCBDE659}"/>
    <cellStyle name="Dezimal 43 3" xfId="13028" xr:uid="{0648A9E5-6F0F-4C53-9E6D-68CDFF13AFDE}"/>
    <cellStyle name="Dezimal 43 3 2" xfId="13029" xr:uid="{C5944BC0-7C85-47F1-B275-6C66BD69EBFE}"/>
    <cellStyle name="Dezimal 43 3 2 2" xfId="32466" xr:uid="{1FE44731-A396-45D8-BCD9-3CD537C5BB7D}"/>
    <cellStyle name="Dezimal 43 3 3" xfId="32465" xr:uid="{246F0EE0-AD45-4AFE-B935-A73C8B7B7484}"/>
    <cellStyle name="Dezimal 43 30" xfId="13030" xr:uid="{DBD0EE84-2B9D-42E6-A5E7-62E104FD6C2F}"/>
    <cellStyle name="Dezimal 43 30 2" xfId="32467" xr:uid="{AA2E090A-7D5F-46D9-86EE-880D5401DAC5}"/>
    <cellStyle name="Dezimal 43 31" xfId="13031" xr:uid="{70A682D3-FC27-4B40-BD98-290582D634F7}"/>
    <cellStyle name="Dezimal 43 31 2" xfId="32468" xr:uid="{5EB3ECA7-39BD-4782-9007-4D8C2D47EFCF}"/>
    <cellStyle name="Dezimal 43 32" xfId="32441" xr:uid="{5CC4042D-8DDF-4450-9534-D8CFDFC12790}"/>
    <cellStyle name="Dezimal 43 4" xfId="13032" xr:uid="{39FE9A47-FDAB-4221-ADBE-1BBCE827B759}"/>
    <cellStyle name="Dezimal 43 4 2" xfId="13033" xr:uid="{EA3861EC-30CC-4DA6-BE43-D01404B69FA5}"/>
    <cellStyle name="Dezimal 43 4 2 2" xfId="32470" xr:uid="{67CADCF6-D465-42F0-9D7D-8BDCFC993020}"/>
    <cellStyle name="Dezimal 43 4 3" xfId="32469" xr:uid="{F6BC2305-BAE4-434D-9ABC-9E28FD1E9786}"/>
    <cellStyle name="Dezimal 43 5" xfId="13034" xr:uid="{FA2FFB0F-A313-40F8-B8F8-90E5F60EF400}"/>
    <cellStyle name="Dezimal 43 5 2" xfId="13035" xr:uid="{3E8123AB-E6EB-4F66-9BFD-06CEC1D31BCE}"/>
    <cellStyle name="Dezimal 43 5 2 2" xfId="32472" xr:uid="{A506395C-2670-4EE6-8DDE-FE76FE8D4FE5}"/>
    <cellStyle name="Dezimal 43 5 3" xfId="32471" xr:uid="{25936739-3FA8-4F84-9349-B5B4C89EDB6D}"/>
    <cellStyle name="Dezimal 43 6" xfId="13036" xr:uid="{8DEA9123-6BD2-43EA-B0AE-B548F9BF8B0B}"/>
    <cellStyle name="Dezimal 43 6 2" xfId="13037" xr:uid="{2C8AFEB3-B9E2-4410-BCE3-A7DB641B6B81}"/>
    <cellStyle name="Dezimal 43 6 2 2" xfId="32474" xr:uid="{CE11B541-573F-4418-A66D-D9F4CF9B3C16}"/>
    <cellStyle name="Dezimal 43 6 3" xfId="32473" xr:uid="{DE253861-F95F-41AA-A263-70A9D5947167}"/>
    <cellStyle name="Dezimal 43 7" xfId="13038" xr:uid="{910998CB-B700-414D-8137-6F773671FA5B}"/>
    <cellStyle name="Dezimal 43 7 2" xfId="13039" xr:uid="{42BD9DDA-3BE0-492B-8027-59710AA452B6}"/>
    <cellStyle name="Dezimal 43 7 2 2" xfId="32476" xr:uid="{E01A749E-F646-4E80-951D-880589876EA5}"/>
    <cellStyle name="Dezimal 43 7 3" xfId="32475" xr:uid="{BEE790F7-51D4-46BE-B883-40FB0EA93595}"/>
    <cellStyle name="Dezimal 43 8" xfId="13040" xr:uid="{AA8878EA-11A5-4BC4-9236-122F7EE5DE0A}"/>
    <cellStyle name="Dezimal 43 8 2" xfId="13041" xr:uid="{4585C5B1-170F-4FC1-BA7B-664FB25A404C}"/>
    <cellStyle name="Dezimal 43 8 2 2" xfId="32478" xr:uid="{6CD7A471-4B84-448D-9A4E-2AA693C45B5B}"/>
    <cellStyle name="Dezimal 43 8 3" xfId="32477" xr:uid="{B6EFD1B3-E67E-448F-A423-6D5A25D51373}"/>
    <cellStyle name="Dezimal 43 9" xfId="13042" xr:uid="{97CF4D4F-D9D4-4A35-A887-3FFECBA52BE9}"/>
    <cellStyle name="Dezimal 43 9 2" xfId="13043" xr:uid="{85EFC7C0-4F70-4C82-8C8F-EC8A24C32B96}"/>
    <cellStyle name="Dezimal 43 9 2 2" xfId="32480" xr:uid="{291AF55F-8641-4016-8459-66631131472E}"/>
    <cellStyle name="Dezimal 43 9 3" xfId="32479" xr:uid="{1E622891-6980-4CFB-8757-40B01DFAF25F}"/>
    <cellStyle name="Dezimal 44" xfId="13044" xr:uid="{CD78DEB2-EBA2-490C-9C42-7D31152A3714}"/>
    <cellStyle name="Dezimal 44 10" xfId="13045" xr:uid="{E85A3FE6-E59E-4F51-A853-9E0EECACE90F}"/>
    <cellStyle name="Dezimal 44 10 2" xfId="13046" xr:uid="{D7AD2ABA-4B73-477E-B7A8-A11518C02C9A}"/>
    <cellStyle name="Dezimal 44 10 2 2" xfId="32483" xr:uid="{D902F835-EDEB-4F06-9443-DAF44566DCFB}"/>
    <cellStyle name="Dezimal 44 10 3" xfId="32482" xr:uid="{D2CC4B24-199C-42A2-88C7-D2ED97DEA0D0}"/>
    <cellStyle name="Dezimal 44 11" xfId="13047" xr:uid="{0B9B9C88-0B88-46D1-991A-7960CDB566C3}"/>
    <cellStyle name="Dezimal 44 11 2" xfId="32484" xr:uid="{56C28776-BB7B-4C3F-8467-72E59C767F25}"/>
    <cellStyle name="Dezimal 44 12" xfId="13048" xr:uid="{B33948F1-AB77-4256-9549-F5E30B8EE4BD}"/>
    <cellStyle name="Dezimal 44 12 2" xfId="32485" xr:uid="{3B50C6E7-D6AD-4B3C-9B5C-F1ED1A12F897}"/>
    <cellStyle name="Dezimal 44 13" xfId="13049" xr:uid="{E6212EEE-268E-42E1-8745-3FE367F60E93}"/>
    <cellStyle name="Dezimal 44 13 2" xfId="32486" xr:uid="{3B39934B-73A1-4C2E-8AE6-AA4E1C49A067}"/>
    <cellStyle name="Dezimal 44 14" xfId="13050" xr:uid="{DA92DF4D-C88A-4283-BF7B-A738CC215A26}"/>
    <cellStyle name="Dezimal 44 14 2" xfId="32487" xr:uid="{8AC5D112-1CF9-47B6-9439-D32DD526B532}"/>
    <cellStyle name="Dezimal 44 15" xfId="13051" xr:uid="{F3BEFE4F-2BA2-4FB5-B583-4793E53404DF}"/>
    <cellStyle name="Dezimal 44 15 2" xfId="32488" xr:uid="{83162332-2638-4588-94E9-2604368B431F}"/>
    <cellStyle name="Dezimal 44 16" xfId="13052" xr:uid="{6F54D265-3AF1-445A-B02A-B3302212A219}"/>
    <cellStyle name="Dezimal 44 16 2" xfId="32489" xr:uid="{8AE43B3B-774C-4A0F-AD66-9A68685D0483}"/>
    <cellStyle name="Dezimal 44 17" xfId="13053" xr:uid="{A9848AAD-23E2-4683-9163-C24B11D1165D}"/>
    <cellStyle name="Dezimal 44 17 2" xfId="32490" xr:uid="{1062159C-95A2-4BD6-8CC1-5ED80EC46179}"/>
    <cellStyle name="Dezimal 44 18" xfId="13054" xr:uid="{56BA518F-E0FE-4E14-9C36-E50B82B8908A}"/>
    <cellStyle name="Dezimal 44 18 2" xfId="32491" xr:uid="{94237377-2C9A-4EC4-8EC1-E2446D19F165}"/>
    <cellStyle name="Dezimal 44 19" xfId="13055" xr:uid="{66283D6B-EB62-4EF5-9A37-6004F24A104F}"/>
    <cellStyle name="Dezimal 44 19 2" xfId="32492" xr:uid="{3A117CAE-6A57-4D9F-A229-D19C7582D19F}"/>
    <cellStyle name="Dezimal 44 2" xfId="13056" xr:uid="{1FA1EE44-B358-4051-A1F6-5BDE45335733}"/>
    <cellStyle name="Dezimal 44 2 2" xfId="13057" xr:uid="{0150F577-BF8A-466A-838A-EDC9BC8283ED}"/>
    <cellStyle name="Dezimal 44 2 2 2" xfId="32494" xr:uid="{1591FEE5-0BC1-49FC-ABC5-E4CAD0A3D31A}"/>
    <cellStyle name="Dezimal 44 2 3" xfId="32493" xr:uid="{4AB21030-5D96-473E-9C80-4E47201D2E46}"/>
    <cellStyle name="Dezimal 44 20" xfId="13058" xr:uid="{CF2FB50B-224C-4EFD-91AF-397EF9BA1014}"/>
    <cellStyle name="Dezimal 44 20 2" xfId="32495" xr:uid="{BB0DEF9F-9589-4316-94C1-743EEFAC60AC}"/>
    <cellStyle name="Dezimal 44 21" xfId="13059" xr:uid="{8FB4DB9D-04AF-460E-B97F-F3D4A5659A52}"/>
    <cellStyle name="Dezimal 44 21 2" xfId="32496" xr:uid="{AC28CFD4-328A-44F7-8BF4-E424574383B6}"/>
    <cellStyle name="Dezimal 44 22" xfId="13060" xr:uid="{4DDCAAD3-2AEA-47E6-A76E-4263E2AAFF1C}"/>
    <cellStyle name="Dezimal 44 22 2" xfId="32497" xr:uid="{3DBBF41A-6D2C-4392-8753-601821A8F650}"/>
    <cellStyle name="Dezimal 44 23" xfId="13061" xr:uid="{98FEF530-CF2A-402A-AEDA-FA616DD696D7}"/>
    <cellStyle name="Dezimal 44 23 2" xfId="32498" xr:uid="{FBE2ACD6-32CF-46AA-80F0-03D6580244DC}"/>
    <cellStyle name="Dezimal 44 24" xfId="13062" xr:uid="{15474201-FB5E-4073-B4FC-06839B347223}"/>
    <cellStyle name="Dezimal 44 24 2" xfId="32499" xr:uid="{0E77D359-A4ED-4462-9B81-5380151E8691}"/>
    <cellStyle name="Dezimal 44 25" xfId="13063" xr:uid="{70E20DD0-DD12-4215-B836-2C85E97C9E4A}"/>
    <cellStyle name="Dezimal 44 25 2" xfId="32500" xr:uid="{E0F0DE8B-E56E-4F31-8079-0B11E845B714}"/>
    <cellStyle name="Dezimal 44 26" xfId="13064" xr:uid="{C73401B3-65F6-4275-ACE9-ACB18DD8E914}"/>
    <cellStyle name="Dezimal 44 26 2" xfId="32501" xr:uid="{2E59F3BC-5F9D-43C0-A7D4-B23009F578AA}"/>
    <cellStyle name="Dezimal 44 27" xfId="13065" xr:uid="{209AA104-2717-4BAC-9784-08FEF9FA86BB}"/>
    <cellStyle name="Dezimal 44 27 2" xfId="32502" xr:uid="{4B2CEA8C-9A2C-494E-90CC-A8E8B236A0D0}"/>
    <cellStyle name="Dezimal 44 28" xfId="13066" xr:uid="{2F235860-4B29-462A-851D-CF518DE1E80A}"/>
    <cellStyle name="Dezimal 44 28 2" xfId="32503" xr:uid="{848AFEF5-A632-4B15-AC08-CC68321659A4}"/>
    <cellStyle name="Dezimal 44 29" xfId="13067" xr:uid="{00A143A8-FAEB-4333-A162-38189FE266BE}"/>
    <cellStyle name="Dezimal 44 29 2" xfId="32504" xr:uid="{6399BAAD-2B0D-424E-9448-FD141B899DA0}"/>
    <cellStyle name="Dezimal 44 3" xfId="13068" xr:uid="{DAF56304-D259-4901-90F5-713102E251B8}"/>
    <cellStyle name="Dezimal 44 3 2" xfId="13069" xr:uid="{D79EA655-0E8B-4C6A-AF69-0DD123BDFBB2}"/>
    <cellStyle name="Dezimal 44 3 2 2" xfId="32506" xr:uid="{4B5BBF17-9016-4343-BFFA-548E6FFE22DB}"/>
    <cellStyle name="Dezimal 44 3 3" xfId="32505" xr:uid="{AD950D33-D135-43D1-BF50-234C20EA166A}"/>
    <cellStyle name="Dezimal 44 30" xfId="13070" xr:uid="{5E23C90B-9CD6-4A3B-B9A4-2080B620C75F}"/>
    <cellStyle name="Dezimal 44 30 2" xfId="32507" xr:uid="{5EAA8128-7767-4225-8BBF-D08F16D26032}"/>
    <cellStyle name="Dezimal 44 31" xfId="13071" xr:uid="{DB384AE1-405C-441D-8D24-5FFC462EF662}"/>
    <cellStyle name="Dezimal 44 31 2" xfId="32508" xr:uid="{EFCA0426-A0D0-427D-A627-1A533F6B5BB3}"/>
    <cellStyle name="Dezimal 44 32" xfId="32481" xr:uid="{D6D5B712-1F5F-41CB-A4FD-4CF990592BB2}"/>
    <cellStyle name="Dezimal 44 4" xfId="13072" xr:uid="{60102B95-27C7-4AB8-BC21-4401E5255087}"/>
    <cellStyle name="Dezimal 44 4 2" xfId="13073" xr:uid="{FBC1D15C-1184-43DA-9011-B48ACD1F28B9}"/>
    <cellStyle name="Dezimal 44 4 2 2" xfId="32510" xr:uid="{426C0997-2F4B-43E4-84C4-5DD507D743A7}"/>
    <cellStyle name="Dezimal 44 4 3" xfId="32509" xr:uid="{35FCCD83-8E68-4DE6-9ED6-574E2084D7E9}"/>
    <cellStyle name="Dezimal 44 5" xfId="13074" xr:uid="{49F72814-6F27-46B6-9098-6E1F76BA6E70}"/>
    <cellStyle name="Dezimal 44 5 2" xfId="13075" xr:uid="{D9F44E82-C961-4D5E-BB7B-221318D986A4}"/>
    <cellStyle name="Dezimal 44 5 2 2" xfId="32512" xr:uid="{17759ACC-DA36-42AD-8DBD-82416CD99A3C}"/>
    <cellStyle name="Dezimal 44 5 3" xfId="32511" xr:uid="{A7E70844-C407-4AFD-90FE-B510971317C5}"/>
    <cellStyle name="Dezimal 44 6" xfId="13076" xr:uid="{7133AE85-E6DF-4AFA-9C2C-D55AC728C70D}"/>
    <cellStyle name="Dezimal 44 6 2" xfId="13077" xr:uid="{845E93A4-ACD3-4365-AF0E-8F02AB12E04C}"/>
    <cellStyle name="Dezimal 44 6 2 2" xfId="32514" xr:uid="{41F77DF7-0EA2-4CC3-AD2C-A04BB8D45ED3}"/>
    <cellStyle name="Dezimal 44 6 3" xfId="32513" xr:uid="{E29D37B9-AB41-4D81-9283-A45EF17DEE60}"/>
    <cellStyle name="Dezimal 44 7" xfId="13078" xr:uid="{A847AFDE-CE68-4B87-9A0A-DECF742762AE}"/>
    <cellStyle name="Dezimal 44 7 2" xfId="13079" xr:uid="{572B6E30-DA38-4975-8B0C-DF4F93016698}"/>
    <cellStyle name="Dezimal 44 7 2 2" xfId="32516" xr:uid="{CAE2BB1C-A871-4B7D-827F-1D790556F1C7}"/>
    <cellStyle name="Dezimal 44 7 3" xfId="32515" xr:uid="{A048F3F5-999E-43E2-BFA2-FC15F2C809DD}"/>
    <cellStyle name="Dezimal 44 8" xfId="13080" xr:uid="{1BD63FC6-E1EF-4116-BD19-3418BFA5D6A8}"/>
    <cellStyle name="Dezimal 44 8 2" xfId="13081" xr:uid="{46F570E3-A0D4-4716-9780-78427F75F42C}"/>
    <cellStyle name="Dezimal 44 8 2 2" xfId="32518" xr:uid="{5F577787-13F7-4FB9-9F14-C3B3512ECE0A}"/>
    <cellStyle name="Dezimal 44 8 3" xfId="32517" xr:uid="{FE5CFDD6-566B-4254-9EB8-DDD467AFBD8E}"/>
    <cellStyle name="Dezimal 44 9" xfId="13082" xr:uid="{D3854C5B-E9D0-4C69-9B37-27FDD0A559E2}"/>
    <cellStyle name="Dezimal 44 9 2" xfId="13083" xr:uid="{E2F42020-DB09-47E5-B026-B9B149D7575B}"/>
    <cellStyle name="Dezimal 44 9 2 2" xfId="32520" xr:uid="{9448F63A-CAF6-4F9D-A2B3-D239F4FE5B28}"/>
    <cellStyle name="Dezimal 44 9 3" xfId="32519" xr:uid="{7DB2D4F5-4E9B-44E1-9E67-34ED2C900402}"/>
    <cellStyle name="Dezimal 45" xfId="13084" xr:uid="{D0B05854-6107-497B-AD80-A37336EF354D}"/>
    <cellStyle name="Dezimal 45 10" xfId="13085" xr:uid="{3F9A6E55-51C9-49EA-A3A9-BFEB4231F806}"/>
    <cellStyle name="Dezimal 45 10 2" xfId="13086" xr:uid="{FBCCC812-0B80-43CC-855A-390ABE477C12}"/>
    <cellStyle name="Dezimal 45 10 2 2" xfId="32523" xr:uid="{287CEE43-8079-4639-83B5-E3B6BD74D685}"/>
    <cellStyle name="Dezimal 45 10 3" xfId="32522" xr:uid="{CD11DE92-86B6-4689-B97F-3501CB1941CB}"/>
    <cellStyle name="Dezimal 45 11" xfId="13087" xr:uid="{06A64A28-8C2A-4306-BB4A-B53A84D5CCD1}"/>
    <cellStyle name="Dezimal 45 11 2" xfId="32524" xr:uid="{B39D0920-4F1B-487C-B3A9-755A35F568D2}"/>
    <cellStyle name="Dezimal 45 12" xfId="13088" xr:uid="{87850114-5445-45B2-BC14-35398FF8192F}"/>
    <cellStyle name="Dezimal 45 12 2" xfId="32525" xr:uid="{C30522E2-09D1-4592-999A-4798CC39E01A}"/>
    <cellStyle name="Dezimal 45 13" xfId="13089" xr:uid="{2946BCD8-DC38-49F0-BD2E-F8836F170992}"/>
    <cellStyle name="Dezimal 45 13 2" xfId="32526" xr:uid="{B8ACDC0E-11C5-407E-A0CE-03289634E7B5}"/>
    <cellStyle name="Dezimal 45 14" xfId="13090" xr:uid="{AB458857-C2A9-439B-A744-3E3BF81F55A7}"/>
    <cellStyle name="Dezimal 45 14 2" xfId="32527" xr:uid="{1B78A558-4D20-4E50-9E6F-BB6DBA0ACA89}"/>
    <cellStyle name="Dezimal 45 15" xfId="13091" xr:uid="{62779FDD-E06C-486B-9AF1-2C27588F52E5}"/>
    <cellStyle name="Dezimal 45 15 2" xfId="32528" xr:uid="{07B42226-20DF-4092-A2F6-73CE70AF8AA5}"/>
    <cellStyle name="Dezimal 45 16" xfId="13092" xr:uid="{D8B54360-7D4D-4F04-87B1-49BBA3ABE02F}"/>
    <cellStyle name="Dezimal 45 16 2" xfId="32529" xr:uid="{B14A905D-D41F-4C54-86F3-0039B076FA2E}"/>
    <cellStyle name="Dezimal 45 17" xfId="13093" xr:uid="{00B03802-C593-4EA6-88D4-17D78017C7A3}"/>
    <cellStyle name="Dezimal 45 17 2" xfId="32530" xr:uid="{DA0AEA7C-0AAE-4DA8-92F9-CEEC9E14F43D}"/>
    <cellStyle name="Dezimal 45 18" xfId="13094" xr:uid="{179936C7-B12E-4EFA-960F-61DCAED60208}"/>
    <cellStyle name="Dezimal 45 18 2" xfId="32531" xr:uid="{13EFF30D-116D-44E4-838B-BB1F9E690B9B}"/>
    <cellStyle name="Dezimal 45 19" xfId="13095" xr:uid="{D2D79DAD-8BDE-4A65-82FB-C470B5CD0D50}"/>
    <cellStyle name="Dezimal 45 19 2" xfId="32532" xr:uid="{87C24B73-DCB9-46D8-9498-A40DE3230A26}"/>
    <cellStyle name="Dezimal 45 2" xfId="13096" xr:uid="{2EA1701E-590C-4EE9-9F58-21211EA1DC77}"/>
    <cellStyle name="Dezimal 45 2 2" xfId="13097" xr:uid="{0AA757C8-EFDB-4148-A53F-48D3B1A0B64E}"/>
    <cellStyle name="Dezimal 45 2 2 2" xfId="32534" xr:uid="{CCD7F7D2-C5BF-4996-B939-A82394EC1578}"/>
    <cellStyle name="Dezimal 45 2 3" xfId="32533" xr:uid="{10995A3E-7BDB-4182-8135-D104B947616A}"/>
    <cellStyle name="Dezimal 45 20" xfId="13098" xr:uid="{87CD70D1-58BD-4EB9-9492-F0ED6921EE6C}"/>
    <cellStyle name="Dezimal 45 20 2" xfId="32535" xr:uid="{C419A1C9-96CC-4488-8887-6EC9E81F35ED}"/>
    <cellStyle name="Dezimal 45 21" xfId="13099" xr:uid="{E7409455-B859-43E2-B540-A27F6D1EE142}"/>
    <cellStyle name="Dezimal 45 21 2" xfId="32536" xr:uid="{1E6AF449-E5E6-45DF-BD41-C0A6EF334FF2}"/>
    <cellStyle name="Dezimal 45 22" xfId="13100" xr:uid="{2B170AC3-CACD-4F0C-B536-FD98FF0E018C}"/>
    <cellStyle name="Dezimal 45 22 2" xfId="32537" xr:uid="{B09F6075-4563-461E-A4D9-BA214E99339F}"/>
    <cellStyle name="Dezimal 45 23" xfId="13101" xr:uid="{A55B584A-7624-460D-AF38-9B94C2C8BD74}"/>
    <cellStyle name="Dezimal 45 23 2" xfId="32538" xr:uid="{7D82C55D-3DBE-48B5-942C-B5625E4413DA}"/>
    <cellStyle name="Dezimal 45 24" xfId="13102" xr:uid="{EFDDCB20-1E28-4EBC-9790-DECEF4458AE0}"/>
    <cellStyle name="Dezimal 45 24 2" xfId="32539" xr:uid="{3AC76A45-591D-43FC-B7A8-C6FC8BBCFDC9}"/>
    <cellStyle name="Dezimal 45 25" xfId="13103" xr:uid="{0E883E21-7C2B-4344-9677-92D53C5AB597}"/>
    <cellStyle name="Dezimal 45 25 2" xfId="32540" xr:uid="{322C7E1F-32A2-4563-BE1B-6BDA77172B68}"/>
    <cellStyle name="Dezimal 45 26" xfId="13104" xr:uid="{5E21089A-E3DC-42C8-B32F-E8373D58E682}"/>
    <cellStyle name="Dezimal 45 26 2" xfId="32541" xr:uid="{3FE62E82-37AA-445C-809D-D6AA73424EF2}"/>
    <cellStyle name="Dezimal 45 27" xfId="13105" xr:uid="{334ED2B3-022D-4F43-840E-C4526BB2E65B}"/>
    <cellStyle name="Dezimal 45 27 2" xfId="32542" xr:uid="{729988D2-4F5A-4280-83FE-6708A5ECFC8A}"/>
    <cellStyle name="Dezimal 45 28" xfId="13106" xr:uid="{D4B076CC-106B-4562-9303-2FF097371DD4}"/>
    <cellStyle name="Dezimal 45 28 2" xfId="32543" xr:uid="{06426162-B370-4706-B3BA-499FCE8FF7E9}"/>
    <cellStyle name="Dezimal 45 29" xfId="13107" xr:uid="{D865ABD0-12A5-4F45-9062-7DE6B735B8FC}"/>
    <cellStyle name="Dezimal 45 29 2" xfId="32544" xr:uid="{655B59D4-3ADF-44A9-A65B-8081EEAD2B00}"/>
    <cellStyle name="Dezimal 45 3" xfId="13108" xr:uid="{4E57FB31-65E5-46F3-A1BE-4F1E4DD49FCE}"/>
    <cellStyle name="Dezimal 45 3 2" xfId="13109" xr:uid="{56F5ABF3-6CC2-405C-A223-4B01B5C35F29}"/>
    <cellStyle name="Dezimal 45 3 2 2" xfId="32546" xr:uid="{74629912-9EC7-4467-A3D5-D5B9E1352A9A}"/>
    <cellStyle name="Dezimal 45 3 3" xfId="32545" xr:uid="{55DBC6BA-1151-4F31-9DE3-AC94A955A5DD}"/>
    <cellStyle name="Dezimal 45 30" xfId="13110" xr:uid="{E9111467-B03E-4ECB-9275-FB6BC5A92E3C}"/>
    <cellStyle name="Dezimal 45 30 2" xfId="32547" xr:uid="{49DB4B0B-04A5-443C-B9C7-BAFA43343C7B}"/>
    <cellStyle name="Dezimal 45 31" xfId="13111" xr:uid="{F290E2FD-5009-48DD-96EC-4BA6D1613E9F}"/>
    <cellStyle name="Dezimal 45 31 2" xfId="32548" xr:uid="{00B0608D-9746-4E4D-80D3-5E62E998A2E6}"/>
    <cellStyle name="Dezimal 45 32" xfId="32521" xr:uid="{D35FA773-AD4B-414C-AFE3-BCDDF76EA45D}"/>
    <cellStyle name="Dezimal 45 4" xfId="13112" xr:uid="{4B272242-5F6E-4F74-AB8C-0020AEF6FD31}"/>
    <cellStyle name="Dezimal 45 4 2" xfId="13113" xr:uid="{01283ABC-DAD9-4A61-A2DB-0E79CECB1CD1}"/>
    <cellStyle name="Dezimal 45 4 2 2" xfId="32550" xr:uid="{7A82A038-B0BB-4477-B342-BE6F7D95CB22}"/>
    <cellStyle name="Dezimal 45 4 3" xfId="32549" xr:uid="{5E86F572-98ED-4C93-B333-DE0C61B70E89}"/>
    <cellStyle name="Dezimal 45 5" xfId="13114" xr:uid="{4D18CBDD-C9BA-45EE-B6D6-892BB914C08F}"/>
    <cellStyle name="Dezimal 45 5 2" xfId="13115" xr:uid="{E4D8BFE9-00D3-434F-B9AD-26179C163A38}"/>
    <cellStyle name="Dezimal 45 5 2 2" xfId="32552" xr:uid="{1B8763F6-8AD3-4AD3-9034-1E86FF6BFF83}"/>
    <cellStyle name="Dezimal 45 5 3" xfId="32551" xr:uid="{B16FCAC4-FE33-48BA-A9E1-B9EB1A7D467B}"/>
    <cellStyle name="Dezimal 45 6" xfId="13116" xr:uid="{FB6D0B44-59E7-460B-8B4F-84021453922B}"/>
    <cellStyle name="Dezimal 45 6 2" xfId="13117" xr:uid="{1C509AB0-1C8C-41FA-B90C-78A7F1CC08D8}"/>
    <cellStyle name="Dezimal 45 6 2 2" xfId="32554" xr:uid="{F02E29F1-5D74-4DEC-99A3-46D1F92DABC1}"/>
    <cellStyle name="Dezimal 45 6 3" xfId="32553" xr:uid="{C312CC5C-D95B-4FF5-A406-91731AFB7AB9}"/>
    <cellStyle name="Dezimal 45 7" xfId="13118" xr:uid="{06ADA635-2456-41C2-A6FF-1D27DEC51559}"/>
    <cellStyle name="Dezimal 45 7 2" xfId="13119" xr:uid="{52812D1F-82CE-4386-84F2-936386A712D2}"/>
    <cellStyle name="Dezimal 45 7 2 2" xfId="32556" xr:uid="{6FCD8966-0A84-4E23-B8FD-4C3A42632A7F}"/>
    <cellStyle name="Dezimal 45 7 3" xfId="32555" xr:uid="{FB22E246-696C-426B-A3C5-0595090DC89A}"/>
    <cellStyle name="Dezimal 45 8" xfId="13120" xr:uid="{6E81D386-13FF-436B-BB5E-AA5CDA233496}"/>
    <cellStyle name="Dezimal 45 8 2" xfId="13121" xr:uid="{C959040D-7605-4BE8-9F94-DC57B01BCCAA}"/>
    <cellStyle name="Dezimal 45 8 2 2" xfId="32558" xr:uid="{DD59F124-50FC-494A-BBAC-ACEE6FEC2B9D}"/>
    <cellStyle name="Dezimal 45 8 3" xfId="32557" xr:uid="{29A19871-6446-4E0F-8B98-7BF1BC2F8E92}"/>
    <cellStyle name="Dezimal 45 9" xfId="13122" xr:uid="{2707EAFC-A12D-422E-B2CF-7B37AA46CA6A}"/>
    <cellStyle name="Dezimal 45 9 2" xfId="13123" xr:uid="{FA393B6F-A98B-4B32-BC15-3A6F7E9169B4}"/>
    <cellStyle name="Dezimal 45 9 2 2" xfId="32560" xr:uid="{8BBC0C25-4F0D-4D31-91D4-3373699856A2}"/>
    <cellStyle name="Dezimal 45 9 3" xfId="32559" xr:uid="{5D137A11-5548-4160-8643-15135621C4A8}"/>
    <cellStyle name="Dezimal 46" xfId="13124" xr:uid="{AEE63CDE-22F8-41AC-BF44-F1CB4FFD88C3}"/>
    <cellStyle name="Dezimal 46 10" xfId="13125" xr:uid="{0D7BAE17-99B0-4A54-A71D-ED9D1B22F150}"/>
    <cellStyle name="Dezimal 46 10 2" xfId="13126" xr:uid="{154D0BBB-C41B-41FB-89D2-5225A203DEBE}"/>
    <cellStyle name="Dezimal 46 10 2 2" xfId="32563" xr:uid="{5B685740-96B7-48F2-B8E4-8A307F0B5C92}"/>
    <cellStyle name="Dezimal 46 10 3" xfId="32562" xr:uid="{AB6812DA-A2A0-4632-B7ED-ACE9BAD70D69}"/>
    <cellStyle name="Dezimal 46 11" xfId="13127" xr:uid="{1F6F5D4A-1494-424A-A1B2-B405DE1DEEF4}"/>
    <cellStyle name="Dezimal 46 11 2" xfId="32564" xr:uid="{C2FCBB97-1175-400F-8CB6-A5166D704FB6}"/>
    <cellStyle name="Dezimal 46 12" xfId="13128" xr:uid="{8C1C7AB6-CC37-4AA2-8679-E6C405681452}"/>
    <cellStyle name="Dezimal 46 12 2" xfId="32565" xr:uid="{770F0575-D44F-4EE1-A831-5EB26777C7C2}"/>
    <cellStyle name="Dezimal 46 13" xfId="13129" xr:uid="{B5D6DBF3-5F34-452A-AADD-3879208D408F}"/>
    <cellStyle name="Dezimal 46 13 2" xfId="32566" xr:uid="{4E4C46E0-A7C9-40F9-AE92-59A9996410C3}"/>
    <cellStyle name="Dezimal 46 14" xfId="13130" xr:uid="{F4CEBA1B-92C1-4816-8CCF-8FBC7E96CD37}"/>
    <cellStyle name="Dezimal 46 14 2" xfId="32567" xr:uid="{313D34BE-B56A-4F17-85D6-B8A3F94C8D6D}"/>
    <cellStyle name="Dezimal 46 15" xfId="13131" xr:uid="{2050DED3-1298-40FD-BB26-78F613D1C4E4}"/>
    <cellStyle name="Dezimal 46 15 2" xfId="32568" xr:uid="{8FAD6CA9-09C8-4581-93F1-202804182FF6}"/>
    <cellStyle name="Dezimal 46 16" xfId="13132" xr:uid="{D1CE7C40-C734-439A-9F5D-40CDF4FC059F}"/>
    <cellStyle name="Dezimal 46 16 2" xfId="32569" xr:uid="{597D658B-F343-4969-8264-9ACDCA556518}"/>
    <cellStyle name="Dezimal 46 17" xfId="13133" xr:uid="{7ED78625-75E2-4D35-91F7-FB6381BCD0A0}"/>
    <cellStyle name="Dezimal 46 17 2" xfId="32570" xr:uid="{6A3A124D-4BAD-4836-8A15-78742B19D212}"/>
    <cellStyle name="Dezimal 46 18" xfId="13134" xr:uid="{A2769B55-4ED0-49ED-86B8-E7B0EBC4F018}"/>
    <cellStyle name="Dezimal 46 18 2" xfId="32571" xr:uid="{F5E4A42B-B78D-4A24-AC4E-7B1F9081FD4F}"/>
    <cellStyle name="Dezimal 46 19" xfId="13135" xr:uid="{81BA2A2F-A0BF-4E71-AF93-A7775D588D84}"/>
    <cellStyle name="Dezimal 46 19 2" xfId="32572" xr:uid="{8A06A7AE-C99D-497D-9908-CF7F08716736}"/>
    <cellStyle name="Dezimal 46 2" xfId="13136" xr:uid="{37C683C4-C339-4324-8FD4-04B162D67F2B}"/>
    <cellStyle name="Dezimal 46 2 2" xfId="13137" xr:uid="{49716F93-A9CF-480B-B75D-C9D763E72C39}"/>
    <cellStyle name="Dezimal 46 2 2 2" xfId="32574" xr:uid="{72AC63A6-1AD3-4FE7-B5CB-895C79BD84D7}"/>
    <cellStyle name="Dezimal 46 2 3" xfId="32573" xr:uid="{514E2161-4847-4370-946C-01FC6A6632D7}"/>
    <cellStyle name="Dezimal 46 20" xfId="13138" xr:uid="{3DD636FD-F061-41B6-A459-E5D5B9C0E72F}"/>
    <cellStyle name="Dezimal 46 20 2" xfId="32575" xr:uid="{11C0AB55-E72F-40B7-9080-046ABD9B0821}"/>
    <cellStyle name="Dezimal 46 21" xfId="13139" xr:uid="{D5F35C85-81EF-48E3-BF4A-0EA03E06236A}"/>
    <cellStyle name="Dezimal 46 21 2" xfId="32576" xr:uid="{76A6A56F-6696-41B1-8F1E-A48CF257E347}"/>
    <cellStyle name="Dezimal 46 22" xfId="13140" xr:uid="{CFDCD899-7115-48D8-8ADC-596DE7DB085D}"/>
    <cellStyle name="Dezimal 46 22 2" xfId="32577" xr:uid="{28311E34-186E-4EF8-BDAB-F2229144C19E}"/>
    <cellStyle name="Dezimal 46 23" xfId="13141" xr:uid="{25833E90-4A03-4E81-A36B-6335471FCB16}"/>
    <cellStyle name="Dezimal 46 23 2" xfId="32578" xr:uid="{32633952-11CC-4827-B107-15A6F3C74DFF}"/>
    <cellStyle name="Dezimal 46 24" xfId="13142" xr:uid="{56128C2A-7328-4735-83F1-B0DF7B5B918B}"/>
    <cellStyle name="Dezimal 46 24 2" xfId="32579" xr:uid="{A729B472-FF8C-4DDD-9B4B-24A3D9A4BFAF}"/>
    <cellStyle name="Dezimal 46 25" xfId="13143" xr:uid="{B6462B71-0E0F-4D20-B8F0-70C0EA338087}"/>
    <cellStyle name="Dezimal 46 25 2" xfId="32580" xr:uid="{5597135F-7F00-4EC3-838A-AC68B0B0C338}"/>
    <cellStyle name="Dezimal 46 26" xfId="13144" xr:uid="{86E9B878-791B-46CF-8FFD-F0177061FBA6}"/>
    <cellStyle name="Dezimal 46 26 2" xfId="32581" xr:uid="{59F13955-EE6A-49CD-B1E8-28BF88D48AE6}"/>
    <cellStyle name="Dezimal 46 27" xfId="13145" xr:uid="{04AD8BB7-B54F-4EA2-85C4-A26B135F67D9}"/>
    <cellStyle name="Dezimal 46 27 2" xfId="32582" xr:uid="{DD5A7228-F247-4E93-86A0-6D2267E72956}"/>
    <cellStyle name="Dezimal 46 28" xfId="13146" xr:uid="{B58CD57F-F76B-4338-B329-E6175AAA71B6}"/>
    <cellStyle name="Dezimal 46 28 2" xfId="32583" xr:uid="{B0888AA4-4821-4FEC-BAB3-0877D63D6A59}"/>
    <cellStyle name="Dezimal 46 29" xfId="13147" xr:uid="{15B00E18-A539-4B0C-A5C7-388BC3D4BE25}"/>
    <cellStyle name="Dezimal 46 29 2" xfId="32584" xr:uid="{08D04AC7-8343-4A5A-B840-46DB9D8CA2EB}"/>
    <cellStyle name="Dezimal 46 3" xfId="13148" xr:uid="{501BBC85-FC59-4D36-B11B-5B230099F952}"/>
    <cellStyle name="Dezimal 46 3 2" xfId="13149" xr:uid="{2DDBDF6F-AD15-4B4C-9517-21FA7CE117C0}"/>
    <cellStyle name="Dezimal 46 3 2 2" xfId="32586" xr:uid="{63CB2C5C-E35A-49FF-9393-9456C605C7D0}"/>
    <cellStyle name="Dezimal 46 3 3" xfId="32585" xr:uid="{39D70DAA-5B73-469C-A5A2-E70477106943}"/>
    <cellStyle name="Dezimal 46 30" xfId="13150" xr:uid="{B84D84B1-0436-4CFD-BFBA-D02C0F47845F}"/>
    <cellStyle name="Dezimal 46 30 2" xfId="32587" xr:uid="{5F784F15-4FEC-4794-905A-F7AEBF597529}"/>
    <cellStyle name="Dezimal 46 31" xfId="13151" xr:uid="{EE7C676A-2614-4267-B722-A519570D812E}"/>
    <cellStyle name="Dezimal 46 31 2" xfId="32588" xr:uid="{277E028E-273E-4A98-8428-A0017E6CDC90}"/>
    <cellStyle name="Dezimal 46 32" xfId="32561" xr:uid="{72C96AEB-E18B-4C29-9905-536C98E948B6}"/>
    <cellStyle name="Dezimal 46 4" xfId="13152" xr:uid="{9EC1615F-667B-4C57-89EA-C6FFCB57DACA}"/>
    <cellStyle name="Dezimal 46 4 2" xfId="13153" xr:uid="{431C590E-B413-44F0-8AC2-9A478729DBD5}"/>
    <cellStyle name="Dezimal 46 4 2 2" xfId="32590" xr:uid="{4C8E2A91-479F-4AB4-9476-77929344AE65}"/>
    <cellStyle name="Dezimal 46 4 3" xfId="32589" xr:uid="{0C0543A2-17E2-433B-BE4B-F49ED4E286D2}"/>
    <cellStyle name="Dezimal 46 5" xfId="13154" xr:uid="{2401ACFF-125E-4E21-8D2E-D835D8D2181F}"/>
    <cellStyle name="Dezimal 46 5 2" xfId="13155" xr:uid="{9959BA32-0741-4FAE-82A1-F7A3823CAB9F}"/>
    <cellStyle name="Dezimal 46 5 2 2" xfId="32592" xr:uid="{736D88C3-1A54-4531-B5BD-13C9139FD1FD}"/>
    <cellStyle name="Dezimal 46 5 3" xfId="32591" xr:uid="{82FB8300-4100-4879-8B09-91A7A6755912}"/>
    <cellStyle name="Dezimal 46 6" xfId="13156" xr:uid="{DB9A50D4-6A48-4F88-BEF4-7A6FF346F32F}"/>
    <cellStyle name="Dezimal 46 6 2" xfId="13157" xr:uid="{D0AB1278-827A-4220-A575-28C7DD7BC5CB}"/>
    <cellStyle name="Dezimal 46 6 2 2" xfId="32594" xr:uid="{9C994C87-BBFD-484B-ABB5-B652DE593AAC}"/>
    <cellStyle name="Dezimal 46 6 3" xfId="32593" xr:uid="{06E300A4-F13C-4150-A8CD-219DD0FFC362}"/>
    <cellStyle name="Dezimal 46 7" xfId="13158" xr:uid="{401BD89A-7CE0-4779-A8B5-2E697E2DE697}"/>
    <cellStyle name="Dezimal 46 7 2" xfId="13159" xr:uid="{FC758F50-A726-49DA-B9BF-6D773DB9A5FF}"/>
    <cellStyle name="Dezimal 46 7 2 2" xfId="32596" xr:uid="{398185B7-EB21-45EB-8A5C-00DFEBB6FE73}"/>
    <cellStyle name="Dezimal 46 7 3" xfId="32595" xr:uid="{112410B9-EB29-4F4A-9EBA-1993EF541DB3}"/>
    <cellStyle name="Dezimal 46 8" xfId="13160" xr:uid="{93A23AD7-8CC7-47E8-BDFB-059F9228645D}"/>
    <cellStyle name="Dezimal 46 8 2" xfId="13161" xr:uid="{0A6FA2DC-3F44-4676-9D42-9849FCFB0824}"/>
    <cellStyle name="Dezimal 46 8 2 2" xfId="32598" xr:uid="{6B79C44C-372E-4336-B21F-652E41824A39}"/>
    <cellStyle name="Dezimal 46 8 3" xfId="32597" xr:uid="{0957B87B-BB3C-472E-B2CB-6161701CF6D5}"/>
    <cellStyle name="Dezimal 46 9" xfId="13162" xr:uid="{F09A0DEE-2861-4B6D-963E-714F59DCB14F}"/>
    <cellStyle name="Dezimal 46 9 2" xfId="13163" xr:uid="{0587B3E2-C680-445A-8228-796515D687FC}"/>
    <cellStyle name="Dezimal 46 9 2 2" xfId="32600" xr:uid="{F0D57022-F80B-467B-962F-A5514EE74FB6}"/>
    <cellStyle name="Dezimal 46 9 3" xfId="32599" xr:uid="{79C61F2A-412C-4936-B364-1B4B1A077500}"/>
    <cellStyle name="Dezimal 47" xfId="13164" xr:uid="{E432E6D0-2C70-4803-A1EC-715045D1EA32}"/>
    <cellStyle name="Dezimal 47 10" xfId="13165" xr:uid="{72D475BE-B00A-477C-A19E-F6D55BB084C7}"/>
    <cellStyle name="Dezimal 47 10 2" xfId="13166" xr:uid="{5AB6DC39-8218-4F29-85CB-7CAC36CDB4DD}"/>
    <cellStyle name="Dezimal 47 10 2 2" xfId="32603" xr:uid="{8088DEAB-9729-4846-9871-89B3AC0FAC80}"/>
    <cellStyle name="Dezimal 47 10 3" xfId="32602" xr:uid="{C847CD15-3D12-4E8C-B5B4-4FF258EB872E}"/>
    <cellStyle name="Dezimal 47 11" xfId="13167" xr:uid="{B71F0920-0019-44CA-A299-EA8DD1B419D6}"/>
    <cellStyle name="Dezimal 47 11 2" xfId="32604" xr:uid="{AC0BB036-85FE-42C8-A027-C398E585B28B}"/>
    <cellStyle name="Dezimal 47 12" xfId="13168" xr:uid="{B6F09404-2406-4749-A47A-877E5789741A}"/>
    <cellStyle name="Dezimal 47 12 2" xfId="32605" xr:uid="{3644C4F6-AB85-4B22-BB2A-76278A1D9CFE}"/>
    <cellStyle name="Dezimal 47 13" xfId="13169" xr:uid="{C43B3E2E-5057-4079-AD05-44CB3381BAB5}"/>
    <cellStyle name="Dezimal 47 13 2" xfId="32606" xr:uid="{3731FE40-3BAD-4344-870D-AAA2F8B89AD7}"/>
    <cellStyle name="Dezimal 47 14" xfId="13170" xr:uid="{8B2FB318-ADC2-48AD-8991-3433C8A36B6A}"/>
    <cellStyle name="Dezimal 47 14 2" xfId="32607" xr:uid="{624BE752-57B1-474F-8E43-25BE60D3DCC9}"/>
    <cellStyle name="Dezimal 47 15" xfId="13171" xr:uid="{8B2E6248-3F01-4962-8866-2E327651711F}"/>
    <cellStyle name="Dezimal 47 15 2" xfId="32608" xr:uid="{8CB52399-4685-4159-86B2-B3AFFEAE5632}"/>
    <cellStyle name="Dezimal 47 16" xfId="13172" xr:uid="{9D5B36D1-845B-4A15-90AC-1FC757F14325}"/>
    <cellStyle name="Dezimal 47 16 2" xfId="32609" xr:uid="{3576547F-4219-4649-839F-B451EAE57555}"/>
    <cellStyle name="Dezimal 47 17" xfId="13173" xr:uid="{D1BB7600-9C67-478A-BDA0-2A71EBDEF2E9}"/>
    <cellStyle name="Dezimal 47 17 2" xfId="32610" xr:uid="{89E3A374-76FF-48F1-B635-5C63B9315F53}"/>
    <cellStyle name="Dezimal 47 18" xfId="13174" xr:uid="{52FFBD90-09F4-4909-BAF9-280F97B8E14A}"/>
    <cellStyle name="Dezimal 47 18 2" xfId="32611" xr:uid="{5ABD8EBA-CAA4-4B7D-A57E-D1C6BFAD8C8C}"/>
    <cellStyle name="Dezimal 47 19" xfId="13175" xr:uid="{39080DAB-FE1B-4942-B3C6-D129A749C494}"/>
    <cellStyle name="Dezimal 47 19 2" xfId="32612" xr:uid="{52118376-896C-42CF-80D0-473A06489E25}"/>
    <cellStyle name="Dezimal 47 2" xfId="13176" xr:uid="{A9329A95-47CC-487B-8320-ACD9F7D178EA}"/>
    <cellStyle name="Dezimal 47 2 2" xfId="13177" xr:uid="{2F4EDC66-83A1-4BA1-BBBB-237C53EB8E2D}"/>
    <cellStyle name="Dezimal 47 2 2 2" xfId="32614" xr:uid="{2DE649DE-96FE-4E7A-988D-D2C2FBFE003D}"/>
    <cellStyle name="Dezimal 47 2 3" xfId="32613" xr:uid="{D86C556A-748B-454E-921E-23C12AF01B20}"/>
    <cellStyle name="Dezimal 47 20" xfId="13178" xr:uid="{20B28A57-9879-4429-982A-E92F5A0CE458}"/>
    <cellStyle name="Dezimal 47 20 2" xfId="32615" xr:uid="{8A5FE187-A723-43E5-A0EC-9F82B41D5BB9}"/>
    <cellStyle name="Dezimal 47 21" xfId="13179" xr:uid="{75E8A322-528E-4E0A-88DD-DB5495C3115E}"/>
    <cellStyle name="Dezimal 47 21 2" xfId="32616" xr:uid="{C6AF2A61-31C2-4290-A04C-D474E616CE7E}"/>
    <cellStyle name="Dezimal 47 22" xfId="13180" xr:uid="{D82F1A40-08C4-4F41-BAD1-6D5CD2ED1FFE}"/>
    <cellStyle name="Dezimal 47 22 2" xfId="32617" xr:uid="{3C7BAB9A-13A0-460B-9E6D-B22C10F554C4}"/>
    <cellStyle name="Dezimal 47 23" xfId="13181" xr:uid="{0584F135-61F4-4AE4-9D28-783A4BD9B195}"/>
    <cellStyle name="Dezimal 47 23 2" xfId="32618" xr:uid="{2BD484A1-8E96-4847-8283-4C4A150BA867}"/>
    <cellStyle name="Dezimal 47 24" xfId="13182" xr:uid="{862B3DED-F52F-4AC4-9261-2718E01A81DB}"/>
    <cellStyle name="Dezimal 47 24 2" xfId="32619" xr:uid="{3EF84C3E-402E-4DC3-A892-67592C17FA96}"/>
    <cellStyle name="Dezimal 47 25" xfId="13183" xr:uid="{CC01DD78-7CB3-4D1C-A8E0-167AEC70BC0E}"/>
    <cellStyle name="Dezimal 47 25 2" xfId="32620" xr:uid="{0F340C2E-9542-4218-9DBE-E403FC88C58C}"/>
    <cellStyle name="Dezimal 47 26" xfId="13184" xr:uid="{6E5BAB05-85E2-43C0-AF25-57F5CDD36FEF}"/>
    <cellStyle name="Dezimal 47 26 2" xfId="32621" xr:uid="{2270DD99-D1CD-42AD-9980-AC1A6E28A821}"/>
    <cellStyle name="Dezimal 47 27" xfId="13185" xr:uid="{5D34B874-0801-4E87-8068-8E763745A731}"/>
    <cellStyle name="Dezimal 47 27 2" xfId="32622" xr:uid="{74197382-A79C-4AD2-A8EE-A0DAC54B5723}"/>
    <cellStyle name="Dezimal 47 28" xfId="13186" xr:uid="{81742BC9-21C5-4365-9993-F57387C929AD}"/>
    <cellStyle name="Dezimal 47 28 2" xfId="32623" xr:uid="{595DCB4D-CBD7-4722-9D4E-F0686B00946B}"/>
    <cellStyle name="Dezimal 47 29" xfId="13187" xr:uid="{CA569452-DE8A-487A-804A-D52601624176}"/>
    <cellStyle name="Dezimal 47 29 2" xfId="32624" xr:uid="{E1762583-C756-4097-BA42-642DE0B10787}"/>
    <cellStyle name="Dezimal 47 3" xfId="13188" xr:uid="{0935FCAC-BCD7-4D6B-BE09-1F7576D6BF56}"/>
    <cellStyle name="Dezimal 47 3 2" xfId="13189" xr:uid="{3A7BCA33-E791-45E5-B956-8B7FD8703ACD}"/>
    <cellStyle name="Dezimal 47 3 2 2" xfId="32626" xr:uid="{D9282EC8-CBD6-49BA-AD9B-050B1CFD1BA2}"/>
    <cellStyle name="Dezimal 47 3 3" xfId="32625" xr:uid="{F8C4E470-7DCB-49F6-95AA-54E7A7E3A2AC}"/>
    <cellStyle name="Dezimal 47 30" xfId="13190" xr:uid="{537096B4-675F-4982-A1BE-C79575E1A67A}"/>
    <cellStyle name="Dezimal 47 30 2" xfId="32627" xr:uid="{912D3D77-FB91-4D57-B70D-FB0963C9EF16}"/>
    <cellStyle name="Dezimal 47 31" xfId="13191" xr:uid="{484EEF96-1E63-4DE3-BF4C-C399CBFAB7DD}"/>
    <cellStyle name="Dezimal 47 31 2" xfId="32628" xr:uid="{3B864D24-41DE-4C48-9204-3BF52BBFCA06}"/>
    <cellStyle name="Dezimal 47 32" xfId="32601" xr:uid="{3C90A952-0661-4A57-B2E9-BBD68CC2492A}"/>
    <cellStyle name="Dezimal 47 4" xfId="13192" xr:uid="{58D4734B-60C7-4AC3-ADC8-EF6516F3A2D6}"/>
    <cellStyle name="Dezimal 47 4 2" xfId="13193" xr:uid="{608C73AC-B314-48A1-9CA2-5A5092720015}"/>
    <cellStyle name="Dezimal 47 4 2 2" xfId="32630" xr:uid="{64E35F78-750A-43A7-8673-8F69E3ED0B15}"/>
    <cellStyle name="Dezimal 47 4 3" xfId="32629" xr:uid="{90C8F6E0-9AA8-4E30-9295-1F5C404F0F7D}"/>
    <cellStyle name="Dezimal 47 5" xfId="13194" xr:uid="{277A1072-C133-43EE-9A32-D35421CD9364}"/>
    <cellStyle name="Dezimal 47 5 2" xfId="13195" xr:uid="{9C3BE022-95CB-4FDA-B6EC-30A8FDD9625B}"/>
    <cellStyle name="Dezimal 47 5 2 2" xfId="32632" xr:uid="{0D1E3EB8-88A3-4FA0-8C18-9BC3403AE12C}"/>
    <cellStyle name="Dezimal 47 5 3" xfId="32631" xr:uid="{FFD207B2-D33F-4561-9130-C1A17C7FD5CE}"/>
    <cellStyle name="Dezimal 47 6" xfId="13196" xr:uid="{FB36A329-9AC7-4CD0-8F2B-026F11632C72}"/>
    <cellStyle name="Dezimal 47 6 2" xfId="13197" xr:uid="{50B4B407-E2C1-47FB-9ABA-CFDD219674FC}"/>
    <cellStyle name="Dezimal 47 6 2 2" xfId="32634" xr:uid="{DD64F05B-3CA8-4810-B3C8-E465EAF7BE51}"/>
    <cellStyle name="Dezimal 47 6 3" xfId="32633" xr:uid="{9E724CC5-9F46-40E6-9417-8C89E166D4CD}"/>
    <cellStyle name="Dezimal 47 7" xfId="13198" xr:uid="{8EBCED19-8926-4A47-BEE8-204E2A4199E7}"/>
    <cellStyle name="Dezimal 47 7 2" xfId="13199" xr:uid="{77D3626F-FEF9-4D5E-8349-8951CF0FF842}"/>
    <cellStyle name="Dezimal 47 7 2 2" xfId="32636" xr:uid="{98B0FAEE-4D61-4F25-BEC6-85F113BFCF86}"/>
    <cellStyle name="Dezimal 47 7 3" xfId="32635" xr:uid="{42BF29C3-19AE-4A4F-98EE-2DDF94DB81A0}"/>
    <cellStyle name="Dezimal 47 8" xfId="13200" xr:uid="{D22F5A1B-2AAC-44A0-902F-0BDDF25F38C9}"/>
    <cellStyle name="Dezimal 47 8 2" xfId="13201" xr:uid="{5D4D1246-7DC8-4B13-A0AA-380A2BC1E913}"/>
    <cellStyle name="Dezimal 47 8 2 2" xfId="32638" xr:uid="{46865C33-DAFC-4252-88FC-8585A4D48F52}"/>
    <cellStyle name="Dezimal 47 8 3" xfId="32637" xr:uid="{8050EA95-220D-4D35-B229-9FD0EA607B04}"/>
    <cellStyle name="Dezimal 47 9" xfId="13202" xr:uid="{A931383C-D620-4005-ACA2-C6F908324743}"/>
    <cellStyle name="Dezimal 47 9 2" xfId="13203" xr:uid="{4215DA47-5CE1-4B42-9BB0-2476B3DAF7D4}"/>
    <cellStyle name="Dezimal 47 9 2 2" xfId="32640" xr:uid="{32127402-EA46-4DBD-BB58-5D40B0169173}"/>
    <cellStyle name="Dezimal 47 9 3" xfId="32639" xr:uid="{70DC434B-6ABD-4695-BAD6-F82CCFBCAFEA}"/>
    <cellStyle name="Dezimal 48" xfId="13204" xr:uid="{B9F04E16-2182-4862-BBFC-9C26238ADFAF}"/>
    <cellStyle name="Dezimal 48 10" xfId="13205" xr:uid="{552D20EE-CA53-4CFF-A6DF-D0A34B7225D5}"/>
    <cellStyle name="Dezimal 48 10 2" xfId="13206" xr:uid="{1C9A4133-F770-420E-B17F-01BFBEF44870}"/>
    <cellStyle name="Dezimal 48 10 2 2" xfId="32643" xr:uid="{45988E76-E65E-42EE-B659-A84899178C70}"/>
    <cellStyle name="Dezimal 48 10 3" xfId="32642" xr:uid="{AA379A73-4E87-4184-A89B-8D249862F189}"/>
    <cellStyle name="Dezimal 48 11" xfId="13207" xr:uid="{1059FD59-2E45-4550-BE88-CFAAADDC2957}"/>
    <cellStyle name="Dezimal 48 11 2" xfId="32644" xr:uid="{05DB0170-EEE6-48F7-8745-9B7613706D34}"/>
    <cellStyle name="Dezimal 48 12" xfId="13208" xr:uid="{5CCF6DCB-396B-43B9-B474-BE0E01FDDEAC}"/>
    <cellStyle name="Dezimal 48 12 2" xfId="32645" xr:uid="{9A5AAF8A-9B64-4DD2-B428-FD6F4D352E2E}"/>
    <cellStyle name="Dezimal 48 13" xfId="13209" xr:uid="{BF0F075F-B848-4DFB-A34D-76F4BC53973A}"/>
    <cellStyle name="Dezimal 48 13 2" xfId="32646" xr:uid="{04647A41-1AD6-4868-9650-6161D538312C}"/>
    <cellStyle name="Dezimal 48 14" xfId="13210" xr:uid="{F097A0DE-C8BB-4372-B165-0F63F31BA3BF}"/>
    <cellStyle name="Dezimal 48 14 2" xfId="32647" xr:uid="{892E190E-4748-4CA5-B515-F50D2562CEF4}"/>
    <cellStyle name="Dezimal 48 15" xfId="13211" xr:uid="{4B7200DB-0023-4C88-822E-FF7C4F382B76}"/>
    <cellStyle name="Dezimal 48 15 2" xfId="32648" xr:uid="{37087632-1FD7-49F4-94B2-1A8193BE1553}"/>
    <cellStyle name="Dezimal 48 16" xfId="13212" xr:uid="{2DBA8D47-7FE2-4E80-A0EE-FE217546DCEB}"/>
    <cellStyle name="Dezimal 48 16 2" xfId="32649" xr:uid="{22744DEB-94E9-46FA-BA22-9E979B722C1F}"/>
    <cellStyle name="Dezimal 48 17" xfId="13213" xr:uid="{559BFA3B-4D09-4817-90F8-AFD5F6A1CFCD}"/>
    <cellStyle name="Dezimal 48 17 2" xfId="32650" xr:uid="{75ACA281-426E-4962-B8B1-E446F7616173}"/>
    <cellStyle name="Dezimal 48 18" xfId="13214" xr:uid="{9809E7DC-AAEB-4AE3-8F11-48C7A9F3353F}"/>
    <cellStyle name="Dezimal 48 18 2" xfId="32651" xr:uid="{5683C2DA-DB19-403B-9F3A-22D010410C9D}"/>
    <cellStyle name="Dezimal 48 19" xfId="13215" xr:uid="{3865B20B-1780-4D1F-86AF-8A22FFB6CFF9}"/>
    <cellStyle name="Dezimal 48 19 2" xfId="32652" xr:uid="{A3D8A5D7-9F6B-48FF-A611-086B4F2F56C4}"/>
    <cellStyle name="Dezimal 48 2" xfId="13216" xr:uid="{5A506E38-A39B-4F8D-8B11-D561F6D79612}"/>
    <cellStyle name="Dezimal 48 2 2" xfId="13217" xr:uid="{C8D240B4-17A9-4F26-BFA9-96B7BB7BB875}"/>
    <cellStyle name="Dezimal 48 2 2 2" xfId="32654" xr:uid="{064435DD-CCE3-4E17-95BB-3666B8E15D37}"/>
    <cellStyle name="Dezimal 48 2 3" xfId="32653" xr:uid="{D77AE3B0-F1CF-427F-B012-3E6124D6B702}"/>
    <cellStyle name="Dezimal 48 20" xfId="13218" xr:uid="{8205665A-D44D-426F-92F1-A0410F38FFA9}"/>
    <cellStyle name="Dezimal 48 20 2" xfId="32655" xr:uid="{53AD0534-5ADC-423B-87EF-0F51C11A4C3D}"/>
    <cellStyle name="Dezimal 48 21" xfId="13219" xr:uid="{5788CB15-26FD-4287-BBCD-3258927B43A2}"/>
    <cellStyle name="Dezimal 48 21 2" xfId="32656" xr:uid="{AA667CA3-2EDB-45FB-B0EB-18F6D83A543E}"/>
    <cellStyle name="Dezimal 48 22" xfId="13220" xr:uid="{D16F54A6-7BD4-4B36-AF9A-4899FDB81B51}"/>
    <cellStyle name="Dezimal 48 22 2" xfId="32657" xr:uid="{B449463B-C07D-477D-AE60-FE826DC3C27C}"/>
    <cellStyle name="Dezimal 48 23" xfId="13221" xr:uid="{7B486A5D-A93F-4948-ABB9-6CE3065ED3EE}"/>
    <cellStyle name="Dezimal 48 23 2" xfId="32658" xr:uid="{7ED6B4A6-C8FF-4153-8E9D-84ED71359590}"/>
    <cellStyle name="Dezimal 48 24" xfId="13222" xr:uid="{05CCEA31-1D7F-4D2D-9513-94924562CAED}"/>
    <cellStyle name="Dezimal 48 24 2" xfId="32659" xr:uid="{32213BFC-C281-465C-9AE7-C4B1F5E5F869}"/>
    <cellStyle name="Dezimal 48 25" xfId="13223" xr:uid="{47BD79DB-D6BF-4D5E-83FF-70C8EF124B15}"/>
    <cellStyle name="Dezimal 48 25 2" xfId="32660" xr:uid="{5710BB4D-4B9C-4B69-9700-E6C7754044B3}"/>
    <cellStyle name="Dezimal 48 26" xfId="13224" xr:uid="{F9FD5AFF-A534-4A4F-AA22-03239D96702A}"/>
    <cellStyle name="Dezimal 48 26 2" xfId="32661" xr:uid="{0EAAECBA-B730-462B-9634-F228550A2487}"/>
    <cellStyle name="Dezimal 48 27" xfId="13225" xr:uid="{916FE846-4132-4454-AD31-CA288679E799}"/>
    <cellStyle name="Dezimal 48 27 2" xfId="32662" xr:uid="{7EE94183-399C-4EA9-BD43-7FAFF74EDBFA}"/>
    <cellStyle name="Dezimal 48 28" xfId="13226" xr:uid="{D9F42930-4333-48A3-A593-9AACBE1D47C9}"/>
    <cellStyle name="Dezimal 48 28 2" xfId="32663" xr:uid="{EFD38B8D-D3B6-464A-B015-D292197E0C5D}"/>
    <cellStyle name="Dezimal 48 29" xfId="13227" xr:uid="{6B143068-4AB1-4A7D-93AE-BAB20B3E4B65}"/>
    <cellStyle name="Dezimal 48 29 2" xfId="32664" xr:uid="{51F20D85-9A47-464C-8573-CF8475776EF3}"/>
    <cellStyle name="Dezimal 48 3" xfId="13228" xr:uid="{499EED05-EF4D-4581-BE97-895B706F7455}"/>
    <cellStyle name="Dezimal 48 3 2" xfId="13229" xr:uid="{517746C4-1CFC-4085-A251-D75B854E3536}"/>
    <cellStyle name="Dezimal 48 3 2 2" xfId="32666" xr:uid="{18B73B54-B342-4389-B297-D43535E01FED}"/>
    <cellStyle name="Dezimal 48 3 3" xfId="32665" xr:uid="{89B17C9B-A6B2-47D7-AD37-FCAE6ED24F6C}"/>
    <cellStyle name="Dezimal 48 30" xfId="13230" xr:uid="{F005021B-6FE9-4FA3-BF71-D5B07E967CEE}"/>
    <cellStyle name="Dezimal 48 30 2" xfId="32667" xr:uid="{1E5BAF41-8E34-4C67-8C9F-B0C019F21890}"/>
    <cellStyle name="Dezimal 48 31" xfId="13231" xr:uid="{3C71E194-3652-4206-921B-054ECBE0A732}"/>
    <cellStyle name="Dezimal 48 31 2" xfId="32668" xr:uid="{F8060C85-748B-487A-B3D7-385B36BCAAB5}"/>
    <cellStyle name="Dezimal 48 32" xfId="32641" xr:uid="{731BDB8B-D0D2-432A-BB84-517D8C241D59}"/>
    <cellStyle name="Dezimal 48 4" xfId="13232" xr:uid="{07856B4F-A8BD-4442-ADE5-9DD94F2602B7}"/>
    <cellStyle name="Dezimal 48 4 2" xfId="13233" xr:uid="{02B2394A-F151-44B5-B28C-426B88AE88A8}"/>
    <cellStyle name="Dezimal 48 4 2 2" xfId="32670" xr:uid="{28CA59B6-5B5D-44E9-83EE-C5480C1693E0}"/>
    <cellStyle name="Dezimal 48 4 3" xfId="32669" xr:uid="{FC1D27BE-3D5F-4560-A329-EF448A9537D9}"/>
    <cellStyle name="Dezimal 48 5" xfId="13234" xr:uid="{743CA19E-5ACC-40DC-AC40-C5D3E504D467}"/>
    <cellStyle name="Dezimal 48 5 2" xfId="13235" xr:uid="{1013DF5D-6C4F-452A-B18F-0F6F7C068055}"/>
    <cellStyle name="Dezimal 48 5 2 2" xfId="32672" xr:uid="{FCFF996D-F5B7-4026-94BC-5827A94B102F}"/>
    <cellStyle name="Dezimal 48 5 3" xfId="32671" xr:uid="{C628ADF8-75AA-4033-A70F-1978BBC4624B}"/>
    <cellStyle name="Dezimal 48 6" xfId="13236" xr:uid="{436D1CFE-3623-47B4-BEC4-2031C1F7A9E6}"/>
    <cellStyle name="Dezimal 48 6 2" xfId="13237" xr:uid="{BA308874-7930-44E0-A511-82173ADAC70E}"/>
    <cellStyle name="Dezimal 48 6 2 2" xfId="32674" xr:uid="{B4587609-CF5F-48B9-A433-79690B748F0B}"/>
    <cellStyle name="Dezimal 48 6 3" xfId="32673" xr:uid="{641F4B1B-32B7-4CFD-8E55-9F954EAABAF1}"/>
    <cellStyle name="Dezimal 48 7" xfId="13238" xr:uid="{BD94BBCA-FEA8-4244-A8C0-66870B53EB00}"/>
    <cellStyle name="Dezimal 48 7 2" xfId="13239" xr:uid="{C73B0B60-5B18-4510-AF14-7CA85F541249}"/>
    <cellStyle name="Dezimal 48 7 2 2" xfId="32676" xr:uid="{9B866D2D-1538-40BE-9DAC-CD4109575500}"/>
    <cellStyle name="Dezimal 48 7 3" xfId="32675" xr:uid="{2E2B4396-4A4A-4B96-A798-C48A18AF7483}"/>
    <cellStyle name="Dezimal 48 8" xfId="13240" xr:uid="{DF87D9F9-7C55-4468-A95B-C2260957A2B6}"/>
    <cellStyle name="Dezimal 48 8 2" xfId="13241" xr:uid="{4B6EF9E5-8725-4889-8097-51EB18256C1F}"/>
    <cellStyle name="Dezimal 48 8 2 2" xfId="32678" xr:uid="{1074AD45-0551-4082-87F6-C3BCC658FB20}"/>
    <cellStyle name="Dezimal 48 8 3" xfId="32677" xr:uid="{B85B3EC7-18FE-4E84-B71B-96B99C689737}"/>
    <cellStyle name="Dezimal 48 9" xfId="13242" xr:uid="{FCCFA3FB-2DC2-49BC-A4D6-38D517FB03A3}"/>
    <cellStyle name="Dezimal 48 9 2" xfId="13243" xr:uid="{D675D280-DD52-4D98-BF13-6BF393F4F934}"/>
    <cellStyle name="Dezimal 48 9 2 2" xfId="32680" xr:uid="{9C834DA2-6244-4561-9243-D558DE329B6D}"/>
    <cellStyle name="Dezimal 48 9 3" xfId="32679" xr:uid="{76B2D552-FE8D-4A76-807D-ED556EA3860F}"/>
    <cellStyle name="Dezimal 49" xfId="13244" xr:uid="{20DA8791-9CC7-4F94-9DE1-B51907577413}"/>
    <cellStyle name="Dezimal 49 10" xfId="13245" xr:uid="{E5DBAFFD-FD78-4A29-AF68-7B1B9702CFB3}"/>
    <cellStyle name="Dezimal 49 10 2" xfId="13246" xr:uid="{FAA7FA2D-275A-4A43-B9EA-10AA3DFFDE21}"/>
    <cellStyle name="Dezimal 49 10 2 2" xfId="32683" xr:uid="{AC786077-E391-4323-A115-0D9C43C46EA2}"/>
    <cellStyle name="Dezimal 49 10 3" xfId="32682" xr:uid="{9825D25D-6AA9-4486-88ED-C66DD81160C4}"/>
    <cellStyle name="Dezimal 49 11" xfId="13247" xr:uid="{6303A7BA-EB1E-4DD4-B86C-72441A0B6FB6}"/>
    <cellStyle name="Dezimal 49 11 2" xfId="32684" xr:uid="{C26A27E5-9E41-40DD-BB3B-3848F30D3836}"/>
    <cellStyle name="Dezimal 49 12" xfId="13248" xr:uid="{085B4672-D632-4F23-A471-E1BF6A74B337}"/>
    <cellStyle name="Dezimal 49 12 2" xfId="32685" xr:uid="{278CA7C0-0942-40DB-ABFD-5C0EE63419C2}"/>
    <cellStyle name="Dezimal 49 13" xfId="13249" xr:uid="{1B1BAAA0-3F2C-48FE-9CE6-D9907E310692}"/>
    <cellStyle name="Dezimal 49 13 2" xfId="32686" xr:uid="{9A96A3B6-4BAA-442A-932D-2184A22F92B2}"/>
    <cellStyle name="Dezimal 49 14" xfId="13250" xr:uid="{74409ADB-FD26-4733-B2BC-2BDFC9D404A5}"/>
    <cellStyle name="Dezimal 49 14 2" xfId="32687" xr:uid="{C8D0299D-BFA4-475B-BB33-1B21676D86FD}"/>
    <cellStyle name="Dezimal 49 15" xfId="13251" xr:uid="{9E7F4972-54D7-45A1-BF30-DD3C097ACBC0}"/>
    <cellStyle name="Dezimal 49 15 2" xfId="32688" xr:uid="{3DB13105-F30C-4381-8749-DEFD81079AE6}"/>
    <cellStyle name="Dezimal 49 16" xfId="13252" xr:uid="{93A6293E-5965-4631-97DD-34185F2F80F6}"/>
    <cellStyle name="Dezimal 49 16 2" xfId="32689" xr:uid="{1007506F-113B-4E0E-88F1-D6C442CE17C1}"/>
    <cellStyle name="Dezimal 49 17" xfId="13253" xr:uid="{02C643A7-002C-4AB4-AE0C-0B967B1858EF}"/>
    <cellStyle name="Dezimal 49 17 2" xfId="32690" xr:uid="{462F1661-ABAD-4C32-95D4-D3EA24D7CE96}"/>
    <cellStyle name="Dezimal 49 18" xfId="13254" xr:uid="{6483E682-26F0-4E20-A6B0-415AA2F7275B}"/>
    <cellStyle name="Dezimal 49 18 2" xfId="32691" xr:uid="{7136F27A-1E8B-4E33-B0FF-48C5004DC3D4}"/>
    <cellStyle name="Dezimal 49 19" xfId="13255" xr:uid="{20E23355-DB38-412A-A934-A54CC8149451}"/>
    <cellStyle name="Dezimal 49 19 2" xfId="32692" xr:uid="{3D5A7879-3F71-4D01-B00C-90C587F39591}"/>
    <cellStyle name="Dezimal 49 2" xfId="13256" xr:uid="{8FEA8296-1026-473C-ABFA-7975A2C79F53}"/>
    <cellStyle name="Dezimal 49 2 2" xfId="13257" xr:uid="{A35CFB7A-C308-4789-853C-E055588AFAE3}"/>
    <cellStyle name="Dezimal 49 2 2 2" xfId="32694" xr:uid="{09932A59-A9DA-43E3-B604-1D67ECAEDC49}"/>
    <cellStyle name="Dezimal 49 2 3" xfId="32693" xr:uid="{BAFADEEA-66F4-41C6-AECE-767914887689}"/>
    <cellStyle name="Dezimal 49 20" xfId="13258" xr:uid="{4FADBC89-3A4B-4ADE-8D08-B8B56972F566}"/>
    <cellStyle name="Dezimal 49 20 2" xfId="32695" xr:uid="{E9E1CB13-2145-4578-81A1-FA6F862B744F}"/>
    <cellStyle name="Dezimal 49 21" xfId="13259" xr:uid="{E1F99BDE-C85E-4997-8045-8FCEF7E996D3}"/>
    <cellStyle name="Dezimal 49 21 2" xfId="32696" xr:uid="{24F3AFE1-6865-46D8-8981-22F527340BCF}"/>
    <cellStyle name="Dezimal 49 22" xfId="13260" xr:uid="{ACED4F54-9D58-4E17-BB4F-E636755011D1}"/>
    <cellStyle name="Dezimal 49 22 2" xfId="32697" xr:uid="{CB9DB500-64FA-4039-9619-F00B013C3C75}"/>
    <cellStyle name="Dezimal 49 23" xfId="13261" xr:uid="{A51EF09C-FEC7-4B13-924C-EFE5AF52E8CA}"/>
    <cellStyle name="Dezimal 49 23 2" xfId="32698" xr:uid="{1C0E5E43-8D70-4F17-ACE6-D35DE8FB9935}"/>
    <cellStyle name="Dezimal 49 24" xfId="13262" xr:uid="{2472727A-B342-4E51-B901-2A4FA1B206FB}"/>
    <cellStyle name="Dezimal 49 24 2" xfId="32699" xr:uid="{989AD289-7552-47DD-92EA-655268D85431}"/>
    <cellStyle name="Dezimal 49 25" xfId="13263" xr:uid="{DD4E5D6A-5B44-4D40-8B9F-F43DB812FD7B}"/>
    <cellStyle name="Dezimal 49 25 2" xfId="32700" xr:uid="{07AD60CF-5F6D-457E-BD4D-A8D8258E1757}"/>
    <cellStyle name="Dezimal 49 26" xfId="13264" xr:uid="{F627EB25-9797-4694-8B5F-73DF341BA869}"/>
    <cellStyle name="Dezimal 49 26 2" xfId="32701" xr:uid="{CD2D4338-7459-488A-AD11-8CD24BD584AB}"/>
    <cellStyle name="Dezimal 49 27" xfId="13265" xr:uid="{004186C9-8D9A-4DE0-B96E-0DF2DE73626A}"/>
    <cellStyle name="Dezimal 49 27 2" xfId="32702" xr:uid="{75495930-D9E9-46EA-AD39-793CE1137074}"/>
    <cellStyle name="Dezimal 49 28" xfId="13266" xr:uid="{68AD25A8-791E-4685-B1EC-FFC79CBB2682}"/>
    <cellStyle name="Dezimal 49 28 2" xfId="32703" xr:uid="{ADE15195-4E34-4EA3-ACC0-2D2E029F375E}"/>
    <cellStyle name="Dezimal 49 29" xfId="13267" xr:uid="{05202B9B-941C-44A2-B825-9302B0DB57EB}"/>
    <cellStyle name="Dezimal 49 29 2" xfId="32704" xr:uid="{2E6C6825-31A3-4EE0-8F79-6F02C3B581BA}"/>
    <cellStyle name="Dezimal 49 3" xfId="13268" xr:uid="{AC1D3749-6E1F-433B-A8AF-397F579878A6}"/>
    <cellStyle name="Dezimal 49 3 2" xfId="13269" xr:uid="{0A73A9FB-BC3A-465B-9518-7EA2EB09F71D}"/>
    <cellStyle name="Dezimal 49 3 2 2" xfId="32706" xr:uid="{C9D86C57-D62A-4ADD-B15B-A67D6AD841BD}"/>
    <cellStyle name="Dezimal 49 3 3" xfId="32705" xr:uid="{DD1058C3-AEF0-42C4-96FF-F1B839EFD5EC}"/>
    <cellStyle name="Dezimal 49 30" xfId="13270" xr:uid="{BF8559D0-A710-4D2A-B539-517D18A8BC4B}"/>
    <cellStyle name="Dezimal 49 30 2" xfId="32707" xr:uid="{6ED13DB3-840D-4ED6-AB2C-A7846B5C6359}"/>
    <cellStyle name="Dezimal 49 31" xfId="13271" xr:uid="{C21FC556-63CC-40DF-8BB8-94045CB84827}"/>
    <cellStyle name="Dezimal 49 31 2" xfId="32708" xr:uid="{B108F49A-843E-4148-820C-EBD17439B831}"/>
    <cellStyle name="Dezimal 49 32" xfId="32681" xr:uid="{F34DA2AE-EC35-4B00-ACDD-CDE14A5332C5}"/>
    <cellStyle name="Dezimal 49 4" xfId="13272" xr:uid="{DC7C1B32-287C-451C-A751-EEE4FF8A9A28}"/>
    <cellStyle name="Dezimal 49 4 2" xfId="13273" xr:uid="{65BB9DAD-35AA-48F6-959D-508AD808468E}"/>
    <cellStyle name="Dezimal 49 4 2 2" xfId="32710" xr:uid="{9F565415-04C1-46F2-8C32-3C81F71D8295}"/>
    <cellStyle name="Dezimal 49 4 3" xfId="32709" xr:uid="{5E7824D3-ACB3-49D1-8B8B-BA9B0A090F66}"/>
    <cellStyle name="Dezimal 49 5" xfId="13274" xr:uid="{9F9CD69E-4AAB-4413-8D93-6D32AF31A336}"/>
    <cellStyle name="Dezimal 49 5 2" xfId="13275" xr:uid="{147EF2C7-DECE-4143-A7C0-439AC260BC02}"/>
    <cellStyle name="Dezimal 49 5 2 2" xfId="32712" xr:uid="{2ED87E16-D1DF-4F64-BEA1-11571CD7B18A}"/>
    <cellStyle name="Dezimal 49 5 3" xfId="32711" xr:uid="{01D6386C-1389-41D1-A374-CC2063A171C0}"/>
    <cellStyle name="Dezimal 49 6" xfId="13276" xr:uid="{ED6E9EDD-4C65-4D71-BBCA-B7B7B20D5183}"/>
    <cellStyle name="Dezimal 49 6 2" xfId="13277" xr:uid="{7ED37C60-F345-4B4D-89DF-2CFC242DECD7}"/>
    <cellStyle name="Dezimal 49 6 2 2" xfId="32714" xr:uid="{382A6918-D3BA-489D-B427-B303E55E596F}"/>
    <cellStyle name="Dezimal 49 6 3" xfId="32713" xr:uid="{0F623B40-C10E-414A-BAF1-C583AB649065}"/>
    <cellStyle name="Dezimal 49 7" xfId="13278" xr:uid="{72C45D9A-4EDB-4131-BF9F-E6BD7CE0E481}"/>
    <cellStyle name="Dezimal 49 7 2" xfId="13279" xr:uid="{C186D17C-0D7A-468C-9D8A-D4D1107864A6}"/>
    <cellStyle name="Dezimal 49 7 2 2" xfId="32716" xr:uid="{3014CCB7-5A27-47F3-AECD-708E04D772FC}"/>
    <cellStyle name="Dezimal 49 7 3" xfId="32715" xr:uid="{DFD83D61-22F7-4122-8CF0-0DF625748865}"/>
    <cellStyle name="Dezimal 49 8" xfId="13280" xr:uid="{78A22B09-3F8E-48CE-BA60-7020797AF6B0}"/>
    <cellStyle name="Dezimal 49 8 2" xfId="13281" xr:uid="{2339F4CA-8231-4974-A9F6-72D92A2371C8}"/>
    <cellStyle name="Dezimal 49 8 2 2" xfId="32718" xr:uid="{03F3FFFB-D82C-4331-812A-EB61635FD3C7}"/>
    <cellStyle name="Dezimal 49 8 3" xfId="32717" xr:uid="{EFD9D991-B9AA-43A2-95E4-76E7BE76E899}"/>
    <cellStyle name="Dezimal 49 9" xfId="13282" xr:uid="{89B4F66A-0A3C-44E7-8FA7-47ADA579D63C}"/>
    <cellStyle name="Dezimal 49 9 2" xfId="13283" xr:uid="{C8D91F80-1A40-469B-B2C4-AFE81B05D24D}"/>
    <cellStyle name="Dezimal 49 9 2 2" xfId="32720" xr:uid="{7A7CDFA5-0EDD-42BB-A9CA-7A517E101A85}"/>
    <cellStyle name="Dezimal 49 9 3" xfId="32719" xr:uid="{85C011BD-E7F1-42CF-A640-4938C6EEBFB8}"/>
    <cellStyle name="Dezimal 5" xfId="13284" xr:uid="{024DFD7A-61D3-4568-9C57-947A1EED4D85}"/>
    <cellStyle name="Dezimal 5 10" xfId="13285" xr:uid="{C047006A-3669-4B6C-BB39-FAB084A8D6A9}"/>
    <cellStyle name="Dezimal 5 10 2" xfId="13286" xr:uid="{AFDD8C7A-3AE7-4D19-AFC4-8838476DB1B5}"/>
    <cellStyle name="Dezimal 5 10 2 2" xfId="32723" xr:uid="{8B09207C-AA2F-488C-B2E4-BF4F906FCBAF}"/>
    <cellStyle name="Dezimal 5 10 3" xfId="32722" xr:uid="{0B37BC33-AB5E-41E7-BA83-D33959A1971B}"/>
    <cellStyle name="Dezimal 5 11" xfId="13287" xr:uid="{36E03ACC-C0FC-4100-B4C7-AEFC9EAAF8F7}"/>
    <cellStyle name="Dezimal 5 11 2" xfId="13288" xr:uid="{60600999-796C-4837-B895-079DEE262A47}"/>
    <cellStyle name="Dezimal 5 11 2 2" xfId="32725" xr:uid="{EE7F1403-F91E-41C5-88B6-311C8F02A19D}"/>
    <cellStyle name="Dezimal 5 11 3" xfId="32724" xr:uid="{FF7B6980-2FF3-48F8-A114-0D5F30FD0E3C}"/>
    <cellStyle name="Dezimal 5 12" xfId="13289" xr:uid="{BFE90823-A89B-49CD-AC56-217A1C50F512}"/>
    <cellStyle name="Dezimal 5 12 2" xfId="13290" xr:uid="{EEE06AA3-5DF8-4F31-A577-6BD88E1B6B6A}"/>
    <cellStyle name="Dezimal 5 12 2 2" xfId="32727" xr:uid="{2B4C3810-11C3-40D6-82FF-4EF452CB69CC}"/>
    <cellStyle name="Dezimal 5 12 3" xfId="32726" xr:uid="{84E4A524-DC73-46E8-8A3B-60E514172FA1}"/>
    <cellStyle name="Dezimal 5 13" xfId="13291" xr:uid="{838B9C85-D580-435B-9CD5-BACF30116BFC}"/>
    <cellStyle name="Dezimal 5 13 2" xfId="13292" xr:uid="{B060A266-44DA-4F96-80DD-FC37328F9C67}"/>
    <cellStyle name="Dezimal 5 13 2 2" xfId="32729" xr:uid="{434A120C-9BAB-4399-B5EE-D7CB87252017}"/>
    <cellStyle name="Dezimal 5 13 3" xfId="32728" xr:uid="{741895D7-99E0-49F3-8C42-5AAC341BFEF5}"/>
    <cellStyle name="Dezimal 5 14" xfId="13293" xr:uid="{A711DF30-BE3A-47D8-8D6E-E4DA7D62333B}"/>
    <cellStyle name="Dezimal 5 14 2" xfId="13294" xr:uid="{2CA14048-B1A2-46BE-9584-3E8866D4479C}"/>
    <cellStyle name="Dezimal 5 14 2 2" xfId="32731" xr:uid="{D5223F99-D4A3-478D-955C-4E999429623D}"/>
    <cellStyle name="Dezimal 5 14 3" xfId="32730" xr:uid="{A0B1FADD-369A-4FC3-AF47-87D5B1A52AA2}"/>
    <cellStyle name="Dezimal 5 15" xfId="13295" xr:uid="{4213F034-51CB-40D4-817D-645DAAC8D9A3}"/>
    <cellStyle name="Dezimal 5 15 2" xfId="13296" xr:uid="{7114E46E-B9A9-42A6-9164-FB281A277308}"/>
    <cellStyle name="Dezimal 5 15 2 2" xfId="32733" xr:uid="{A267314B-B5E3-422E-AF7C-5AD1B1BAA675}"/>
    <cellStyle name="Dezimal 5 15 3" xfId="32732" xr:uid="{735AA000-F035-4C87-8E04-4E24FC8B4697}"/>
    <cellStyle name="Dezimal 5 16" xfId="13297" xr:uid="{E9A3A8D3-A0D3-46EC-8FE7-968E7E1B3D15}"/>
    <cellStyle name="Dezimal 5 16 2" xfId="13298" xr:uid="{485B1B92-E71F-403B-9483-8B5E4D63CA25}"/>
    <cellStyle name="Dezimal 5 16 2 2" xfId="32735" xr:uid="{0AE808EB-7441-47F2-B133-1CAE629F3540}"/>
    <cellStyle name="Dezimal 5 16 3" xfId="32734" xr:uid="{7E7F628D-B719-4E1E-8B0A-133E969119CD}"/>
    <cellStyle name="Dezimal 5 17" xfId="13299" xr:uid="{8BCF1808-437B-42DC-B7DF-A361C7201CEA}"/>
    <cellStyle name="Dezimal 5 17 2" xfId="13300" xr:uid="{DBF851FF-1694-49FC-A99D-FC01A7D0D0F1}"/>
    <cellStyle name="Dezimal 5 17 2 2" xfId="32737" xr:uid="{30869BD1-82BE-4E05-830D-F35933C54D63}"/>
    <cellStyle name="Dezimal 5 17 3" xfId="32736" xr:uid="{CD9A9D91-4558-4319-A6A3-BAE7071197E2}"/>
    <cellStyle name="Dezimal 5 18" xfId="13301" xr:uid="{3DEB7438-C497-49DE-838B-013EC9CE6E37}"/>
    <cellStyle name="Dezimal 5 18 2" xfId="13302" xr:uid="{112AC6E6-182D-4DFE-BBB2-DDF7A7D4A351}"/>
    <cellStyle name="Dezimal 5 18 2 2" xfId="32739" xr:uid="{48CB8201-BB05-49E4-A387-55A4D5661547}"/>
    <cellStyle name="Dezimal 5 18 3" xfId="32738" xr:uid="{C6224A1A-16D2-4399-82A3-90483A7B85C2}"/>
    <cellStyle name="Dezimal 5 19" xfId="13303" xr:uid="{AC253539-C464-4E0F-B1BE-6D645412DF7B}"/>
    <cellStyle name="Dezimal 5 19 2" xfId="13304" xr:uid="{D111FF08-62B3-458C-A32D-DD143FB617B4}"/>
    <cellStyle name="Dezimal 5 19 2 2" xfId="32741" xr:uid="{9359D160-3A23-45E9-B279-9C6279640BD2}"/>
    <cellStyle name="Dezimal 5 19 3" xfId="32740" xr:uid="{701C8AEF-A73C-46DD-8851-29CC94D4B05B}"/>
    <cellStyle name="Dezimal 5 2" xfId="13305" xr:uid="{13CC0264-98CA-4443-9C5B-C57058BC4BA5}"/>
    <cellStyle name="Dezimal 5 2 2" xfId="13306" xr:uid="{CCCFD524-47C7-44A7-B1EB-C78D16469394}"/>
    <cellStyle name="Dezimal 5 2 2 2" xfId="32743" xr:uid="{02C2BF31-DDE4-4994-89FF-11B45721349C}"/>
    <cellStyle name="Dezimal 5 2 3" xfId="32742" xr:uid="{446BFF87-5F94-4AA2-8C57-78F003AE9DD1}"/>
    <cellStyle name="Dezimal 5 2 4" xfId="42165" xr:uid="{943D4DFF-1114-44B4-A27A-B5E59F66C641}"/>
    <cellStyle name="Dezimal 5 20" xfId="13307" xr:uid="{4A82E4D4-B2E7-4009-8277-90B95E78F9A1}"/>
    <cellStyle name="Dezimal 5 20 2" xfId="13308" xr:uid="{AB298736-3891-438E-B1FA-663B53AA0BF0}"/>
    <cellStyle name="Dezimal 5 20 2 2" xfId="32745" xr:uid="{6AE6DD34-FA3E-46B3-8946-A5B3BE87C991}"/>
    <cellStyle name="Dezimal 5 20 3" xfId="32744" xr:uid="{F8D5693F-7133-42AD-A8C9-074BCC2315C0}"/>
    <cellStyle name="Dezimal 5 21" xfId="13309" xr:uid="{A524D7ED-48CA-4589-BFF6-DE377805945B}"/>
    <cellStyle name="Dezimal 5 21 2" xfId="13310" xr:uid="{6DA286C4-63ED-42BC-850E-96CBA6B55A8D}"/>
    <cellStyle name="Dezimal 5 21 2 2" xfId="32747" xr:uid="{46404E5E-ADF9-4363-86C0-83E22DB9DEB4}"/>
    <cellStyle name="Dezimal 5 21 3" xfId="32746" xr:uid="{BB49B481-3FCE-4E4B-9186-0829F533F9C8}"/>
    <cellStyle name="Dezimal 5 22" xfId="13311" xr:uid="{163809AE-EB11-4DC1-80A1-233ED3A4F3B4}"/>
    <cellStyle name="Dezimal 5 22 2" xfId="13312" xr:uid="{B699CCF5-B413-4C4C-AF32-C27DD8A2D34F}"/>
    <cellStyle name="Dezimal 5 22 2 2" xfId="32749" xr:uid="{B0FA722F-D1CF-4EC5-8A6E-A3A19E5A3FE6}"/>
    <cellStyle name="Dezimal 5 22 3" xfId="32748" xr:uid="{E8A2D745-B365-4532-9E7C-D6CF8A263B92}"/>
    <cellStyle name="Dezimal 5 23" xfId="13313" xr:uid="{C7DA225D-D0BE-406F-89C5-5FAD0B2635A4}"/>
    <cellStyle name="Dezimal 5 23 2" xfId="13314" xr:uid="{2581C486-65C0-4E9B-ADFA-FD69897E6624}"/>
    <cellStyle name="Dezimal 5 23 2 2" xfId="32751" xr:uid="{FC973D3A-D48E-48B0-A96B-F4FC5F39ABC3}"/>
    <cellStyle name="Dezimal 5 23 3" xfId="32750" xr:uid="{7FF832C2-05B9-4FB8-A86E-9F91CC2BE85D}"/>
    <cellStyle name="Dezimal 5 24" xfId="13315" xr:uid="{4181B137-8C6E-4E23-9566-6FDA53BA12C7}"/>
    <cellStyle name="Dezimal 5 24 2" xfId="13316" xr:uid="{59967C0D-D499-4F51-934D-1C5E80F38BFC}"/>
    <cellStyle name="Dezimal 5 24 2 2" xfId="32753" xr:uid="{5477C8D1-8382-4E74-80A7-FF9602EA51A7}"/>
    <cellStyle name="Dezimal 5 24 3" xfId="32752" xr:uid="{2BFB6005-339F-4407-9F4F-28D47F2B0C34}"/>
    <cellStyle name="Dezimal 5 25" xfId="13317" xr:uid="{D9BD7501-1AD9-4113-87AA-F690936B4740}"/>
    <cellStyle name="Dezimal 5 25 2" xfId="13318" xr:uid="{6DD7D82C-2B51-42A0-A88C-CFE2F76A1283}"/>
    <cellStyle name="Dezimal 5 25 2 2" xfId="32755" xr:uid="{CC5166FF-2554-43DE-8C16-51431CE6D0AB}"/>
    <cellStyle name="Dezimal 5 25 3" xfId="32754" xr:uid="{F691A499-2B0F-4513-A198-552DBEC0027E}"/>
    <cellStyle name="Dezimal 5 26" xfId="13319" xr:uid="{47DAA0BA-BE9B-47C4-926E-2437DDAF5009}"/>
    <cellStyle name="Dezimal 5 26 2" xfId="13320" xr:uid="{3FD88DC5-332F-4DF1-A848-7CA1547FDB66}"/>
    <cellStyle name="Dezimal 5 26 2 2" xfId="32757" xr:uid="{5A75F53B-8FA9-4D2D-AEA8-F5E286E88DBE}"/>
    <cellStyle name="Dezimal 5 26 3" xfId="32756" xr:uid="{CDA31B08-670F-46AA-8255-CFB0F10F043C}"/>
    <cellStyle name="Dezimal 5 27" xfId="13321" xr:uid="{7B4F4227-089C-40FC-AF42-60251D0BEFCA}"/>
    <cellStyle name="Dezimal 5 27 2" xfId="13322" xr:uid="{41A1D03B-F1B3-4955-85A9-EDBEF94D13DF}"/>
    <cellStyle name="Dezimal 5 27 2 2" xfId="32759" xr:uid="{47558A4A-E461-45B6-86EE-F297D077E8D6}"/>
    <cellStyle name="Dezimal 5 27 3" xfId="32758" xr:uid="{6493D219-176F-46A7-A665-3C6F70E7FD0B}"/>
    <cellStyle name="Dezimal 5 28" xfId="13323" xr:uid="{59F98D8D-4CC3-4908-AA41-4FEB5259869C}"/>
    <cellStyle name="Dezimal 5 28 2" xfId="13324" xr:uid="{D8B5915D-941A-4537-90FA-7D0FD8FBDDBD}"/>
    <cellStyle name="Dezimal 5 28 2 2" xfId="32761" xr:uid="{91736B1A-1753-4D19-8DD5-932BB09CE90F}"/>
    <cellStyle name="Dezimal 5 28 3" xfId="32760" xr:uid="{217F9F98-334F-4A74-8010-58BFA759428B}"/>
    <cellStyle name="Dezimal 5 29" xfId="13325" xr:uid="{55FD6650-75CF-4D63-A640-60E482BCC332}"/>
    <cellStyle name="Dezimal 5 29 2" xfId="32762" xr:uid="{FC5239B0-30B8-48BE-9E52-992E1E0D72B4}"/>
    <cellStyle name="Dezimal 5 3" xfId="13326" xr:uid="{89C67CDF-696B-4142-89CB-F08F62C37068}"/>
    <cellStyle name="Dezimal 5 3 2" xfId="13327" xr:uid="{6DEBDE09-4C48-4417-ABC1-7AF1A1DAD2B1}"/>
    <cellStyle name="Dezimal 5 3 2 2" xfId="32764" xr:uid="{192DC46F-E5FC-4155-9F6C-017F1C12D61F}"/>
    <cellStyle name="Dezimal 5 3 3" xfId="32763" xr:uid="{1ABD6BE7-C62A-4905-B0B2-BEB708C8FE79}"/>
    <cellStyle name="Dezimal 5 30" xfId="32721" xr:uid="{8559B67F-73DD-41AE-8133-1CD2EC009F53}"/>
    <cellStyle name="Dezimal 5 31" xfId="39428" xr:uid="{579AF0F3-CF9C-4200-8ECC-1D23061D5433}"/>
    <cellStyle name="Dezimal 5 4" xfId="13328" xr:uid="{4A06A3B2-B25D-413B-81C4-415C0892A967}"/>
    <cellStyle name="Dezimal 5 4 2" xfId="13329" xr:uid="{AF84E3F9-B083-4848-9465-4295E485EFCC}"/>
    <cellStyle name="Dezimal 5 4 2 2" xfId="32766" xr:uid="{65635D02-DC1A-49CB-B9F8-85A3298ECF5F}"/>
    <cellStyle name="Dezimal 5 4 3" xfId="32765" xr:uid="{14509BB7-A889-40E9-B4EA-59DDAAB8BF0D}"/>
    <cellStyle name="Dezimal 5 5" xfId="13330" xr:uid="{7C551383-A60B-449F-96C4-91455FA1EA9A}"/>
    <cellStyle name="Dezimal 5 5 2" xfId="13331" xr:uid="{E23C2A16-F092-4328-87D6-EE15C75840DE}"/>
    <cellStyle name="Dezimal 5 5 2 2" xfId="32768" xr:uid="{E28DE164-449F-440D-88E5-44D80DCA2453}"/>
    <cellStyle name="Dezimal 5 5 3" xfId="32767" xr:uid="{198A6A06-5668-4346-9695-E16A612F5A29}"/>
    <cellStyle name="Dezimal 5 6" xfId="13332" xr:uid="{A95B3165-2E78-4B68-88B4-122A94E9234C}"/>
    <cellStyle name="Dezimal 5 6 2" xfId="13333" xr:uid="{F92C5F6B-D983-4F5C-ABC3-5B16B2696B79}"/>
    <cellStyle name="Dezimal 5 6 2 2" xfId="32770" xr:uid="{60F93E5A-7B37-46D6-905B-154E95BDC499}"/>
    <cellStyle name="Dezimal 5 6 3" xfId="32769" xr:uid="{AA28898A-FC20-434A-B9B6-CAE0BE73788E}"/>
    <cellStyle name="Dezimal 5 7" xfId="13334" xr:uid="{9F4203C3-4957-4637-83AB-212E6F13BFD8}"/>
    <cellStyle name="Dezimal 5 7 2" xfId="13335" xr:uid="{C943E64C-B804-4E12-AC51-7EBFFEE87A91}"/>
    <cellStyle name="Dezimal 5 7 2 2" xfId="32772" xr:uid="{CE7B2D9C-30DF-448B-8457-3A3EC1CC479E}"/>
    <cellStyle name="Dezimal 5 7 3" xfId="32771" xr:uid="{F5A49B1B-0B7E-4B75-A327-1C12637DD434}"/>
    <cellStyle name="Dezimal 5 8" xfId="13336" xr:uid="{D0B2FECB-77DE-4893-9E8F-2FFC930F4BF0}"/>
    <cellStyle name="Dezimal 5 8 2" xfId="13337" xr:uid="{9B4484FB-D0F2-40C0-8CC2-BEB17C8C11EC}"/>
    <cellStyle name="Dezimal 5 8 2 2" xfId="32774" xr:uid="{337189F6-5C07-44BF-B271-0F0C1F31C049}"/>
    <cellStyle name="Dezimal 5 8 3" xfId="32773" xr:uid="{B4FA240E-92D5-44ED-B8DD-3B00CD7028A1}"/>
    <cellStyle name="Dezimal 5 9" xfId="13338" xr:uid="{EB13968C-6525-4D4E-9140-FA944C42ABE2}"/>
    <cellStyle name="Dezimal 5 9 2" xfId="13339" xr:uid="{62E57E9A-AEDF-43A2-8647-F62C5E3E58C0}"/>
    <cellStyle name="Dezimal 5 9 2 2" xfId="32776" xr:uid="{6BFBB893-0274-4A0E-9D65-BC46EBC24046}"/>
    <cellStyle name="Dezimal 5 9 3" xfId="32775" xr:uid="{1F25BBC6-7F75-4B7F-97EE-73C8261BB732}"/>
    <cellStyle name="Dezimal 50" xfId="13340" xr:uid="{C8016EAD-ABF3-4827-B4A3-25D52BE500FB}"/>
    <cellStyle name="Dezimal 50 10" xfId="13341" xr:uid="{506FDF99-4D01-4399-8D7D-055202FC2899}"/>
    <cellStyle name="Dezimal 50 10 2" xfId="13342" xr:uid="{71259248-EE67-4DC9-8352-140DB7538A50}"/>
    <cellStyle name="Dezimal 50 10 2 2" xfId="32779" xr:uid="{70092B2F-DA90-4FB8-AB69-FC0F24C3289A}"/>
    <cellStyle name="Dezimal 50 10 3" xfId="32778" xr:uid="{448367E8-AD57-4A85-8549-A880E0F75CA0}"/>
    <cellStyle name="Dezimal 50 11" xfId="13343" xr:uid="{E010F21E-418C-45FE-82D7-DACA0ABA6849}"/>
    <cellStyle name="Dezimal 50 11 2" xfId="32780" xr:uid="{8153C02B-39A9-4942-A5AE-16687D9496FF}"/>
    <cellStyle name="Dezimal 50 12" xfId="13344" xr:uid="{BBAF2470-F8F1-4A8D-88C7-379F0EE306FC}"/>
    <cellStyle name="Dezimal 50 12 2" xfId="32781" xr:uid="{17D45AFB-D7A9-4013-99B1-392860D48CAA}"/>
    <cellStyle name="Dezimal 50 13" xfId="13345" xr:uid="{CC284BB7-89EE-473D-A5F7-EB87204DB8C3}"/>
    <cellStyle name="Dezimal 50 13 2" xfId="32782" xr:uid="{8A517868-B586-47FB-8B48-00D65423C581}"/>
    <cellStyle name="Dezimal 50 14" xfId="13346" xr:uid="{516284B3-753F-4BF9-8539-17CD2EC5FF76}"/>
    <cellStyle name="Dezimal 50 14 2" xfId="32783" xr:uid="{1F691D34-3EB2-4F85-A91F-88B06B61FAA9}"/>
    <cellStyle name="Dezimal 50 15" xfId="13347" xr:uid="{B782AC58-F38E-4435-891B-7C3D773872A1}"/>
    <cellStyle name="Dezimal 50 15 2" xfId="32784" xr:uid="{9F857AFD-D989-4A64-AEA3-A5207FB8C108}"/>
    <cellStyle name="Dezimal 50 16" xfId="13348" xr:uid="{B86A22A3-DD53-4FDF-88EA-A4E0021E8C53}"/>
    <cellStyle name="Dezimal 50 16 2" xfId="32785" xr:uid="{0212425A-77F0-4160-8B1B-39B959FA8C19}"/>
    <cellStyle name="Dezimal 50 17" xfId="13349" xr:uid="{DDB74FD7-5779-4586-9839-0726158C6B2E}"/>
    <cellStyle name="Dezimal 50 17 2" xfId="32786" xr:uid="{4E59EC19-F02A-4961-BADC-38EE7200F719}"/>
    <cellStyle name="Dezimal 50 18" xfId="13350" xr:uid="{801D9211-4D8A-4BF8-B5F1-BC7AB16F088B}"/>
    <cellStyle name="Dezimal 50 18 2" xfId="32787" xr:uid="{01DB6BF7-8BE0-4093-B365-4096D5A4EDF4}"/>
    <cellStyle name="Dezimal 50 19" xfId="13351" xr:uid="{84FB9913-AFD0-413D-B8C5-9A5E06711FC4}"/>
    <cellStyle name="Dezimal 50 19 2" xfId="32788" xr:uid="{9E2F5AAB-D731-4134-B19D-2F5F9E49EA43}"/>
    <cellStyle name="Dezimal 50 2" xfId="13352" xr:uid="{DFDDB968-4F67-43D7-A52D-1E610DAB52A3}"/>
    <cellStyle name="Dezimal 50 2 2" xfId="13353" xr:uid="{5DBCCE50-763C-49B3-A780-C1F5FE5A4982}"/>
    <cellStyle name="Dezimal 50 2 2 2" xfId="32790" xr:uid="{A0DB1617-86E2-4BB7-84D0-137567641CC4}"/>
    <cellStyle name="Dezimal 50 2 3" xfId="32789" xr:uid="{59BD9020-C78B-45F3-B4C2-C47FBA39644C}"/>
    <cellStyle name="Dezimal 50 20" xfId="13354" xr:uid="{3E9C1214-A632-4F9E-909F-2CBA99B657C0}"/>
    <cellStyle name="Dezimal 50 20 2" xfId="32791" xr:uid="{45B3F654-00F8-487B-B17F-F4978F038174}"/>
    <cellStyle name="Dezimal 50 21" xfId="13355" xr:uid="{D7E3C1DB-4E67-49CB-9A50-A97B4E821324}"/>
    <cellStyle name="Dezimal 50 21 2" xfId="32792" xr:uid="{843C6A4A-D850-43AE-B91E-735F713E2883}"/>
    <cellStyle name="Dezimal 50 22" xfId="13356" xr:uid="{5A6BCFAB-A95C-4A5F-8DD9-3F7F66D7C75B}"/>
    <cellStyle name="Dezimal 50 22 2" xfId="32793" xr:uid="{CB71207B-AE0E-4D49-AD90-1B0D97C21D02}"/>
    <cellStyle name="Dezimal 50 23" xfId="13357" xr:uid="{3E511BA5-A793-4F4C-9763-8FFF02F7FFEA}"/>
    <cellStyle name="Dezimal 50 23 2" xfId="32794" xr:uid="{EF84D85B-95B7-44EA-B707-6765C33A014E}"/>
    <cellStyle name="Dezimal 50 24" xfId="13358" xr:uid="{776A9CAF-8EFB-4449-A67C-A6C68210E31C}"/>
    <cellStyle name="Dezimal 50 24 2" xfId="32795" xr:uid="{A919D76F-4CC9-420F-88BE-B467AD1F175F}"/>
    <cellStyle name="Dezimal 50 25" xfId="13359" xr:uid="{C74EF985-CFE9-479C-B6CB-8EE3AD888492}"/>
    <cellStyle name="Dezimal 50 25 2" xfId="32796" xr:uid="{D828CC09-B302-4037-954A-63432EE85809}"/>
    <cellStyle name="Dezimal 50 26" xfId="13360" xr:uid="{0F5951F8-118C-42D9-9A9C-451286443B3A}"/>
    <cellStyle name="Dezimal 50 26 2" xfId="32797" xr:uid="{7E18FD85-ABBE-4C64-9735-B62CE2206A0C}"/>
    <cellStyle name="Dezimal 50 27" xfId="13361" xr:uid="{10AEEBC8-6ACD-45DF-A351-A015D13D1337}"/>
    <cellStyle name="Dezimal 50 27 2" xfId="32798" xr:uid="{FCAD0E17-C855-4623-A592-CF314FB71788}"/>
    <cellStyle name="Dezimal 50 28" xfId="13362" xr:uid="{21FC3E2D-9136-496E-BCB2-D88D19F47E5C}"/>
    <cellStyle name="Dezimal 50 28 2" xfId="32799" xr:uid="{2426E353-1D24-4D44-9DEA-087B7D5A8213}"/>
    <cellStyle name="Dezimal 50 29" xfId="13363" xr:uid="{2D471490-19F9-46C2-80AE-017EEF301287}"/>
    <cellStyle name="Dezimal 50 29 2" xfId="32800" xr:uid="{0A92CBB0-39D6-48B7-9431-F3D87709BF69}"/>
    <cellStyle name="Dezimal 50 3" xfId="13364" xr:uid="{75F111CD-65A7-40FC-ABC2-63081C7C6530}"/>
    <cellStyle name="Dezimal 50 3 2" xfId="13365" xr:uid="{87405FF6-DE59-4A9D-A30E-457F9DE5FF5B}"/>
    <cellStyle name="Dezimal 50 3 2 2" xfId="32802" xr:uid="{8910FE37-095B-4206-9B19-200FE56D6985}"/>
    <cellStyle name="Dezimal 50 3 3" xfId="32801" xr:uid="{1BA6BCC2-79C7-482E-BE63-7228237A8EEE}"/>
    <cellStyle name="Dezimal 50 30" xfId="13366" xr:uid="{769C383C-7EBD-45F9-8685-265162806BF3}"/>
    <cellStyle name="Dezimal 50 30 2" xfId="32803" xr:uid="{0D3AE0C8-BDFA-4640-973E-81B4CC461040}"/>
    <cellStyle name="Dezimal 50 31" xfId="13367" xr:uid="{228898E1-134C-4C9A-9610-68398A65B786}"/>
    <cellStyle name="Dezimal 50 31 2" xfId="32804" xr:uid="{6D542261-CAD7-4319-8A75-40EB2086E7B1}"/>
    <cellStyle name="Dezimal 50 32" xfId="32777" xr:uid="{416DED7C-C41F-492D-8EBE-4BDE322F6DFD}"/>
    <cellStyle name="Dezimal 50 4" xfId="13368" xr:uid="{3EA1CA90-81F2-496B-AD7D-7B2C57D9BDB8}"/>
    <cellStyle name="Dezimal 50 4 2" xfId="13369" xr:uid="{39B6506F-363A-44FA-991C-12DE336F2FA4}"/>
    <cellStyle name="Dezimal 50 4 2 2" xfId="32806" xr:uid="{06E616DF-3C7E-4888-BBD8-C6A8816A20E2}"/>
    <cellStyle name="Dezimal 50 4 3" xfId="32805" xr:uid="{E9FA62C7-94C4-4949-9F4B-894A0502661E}"/>
    <cellStyle name="Dezimal 50 5" xfId="13370" xr:uid="{3148DDAB-A524-4A91-B5AE-9F643C296F1A}"/>
    <cellStyle name="Dezimal 50 5 2" xfId="13371" xr:uid="{256B66CC-434B-4138-80D1-4DB5D6E7DFEF}"/>
    <cellStyle name="Dezimal 50 5 2 2" xfId="32808" xr:uid="{4B97A869-2663-4717-9DB8-42B683135339}"/>
    <cellStyle name="Dezimal 50 5 3" xfId="32807" xr:uid="{7033E8A3-28D9-4C9D-B56A-9F86F86F7F92}"/>
    <cellStyle name="Dezimal 50 6" xfId="13372" xr:uid="{FBFF88FB-27AC-45CC-9560-F5DEC05D77B0}"/>
    <cellStyle name="Dezimal 50 6 2" xfId="13373" xr:uid="{54616232-DB1E-49DC-A480-187466DC853E}"/>
    <cellStyle name="Dezimal 50 6 2 2" xfId="32810" xr:uid="{45C58508-111D-41B2-948A-5DF8F3FD83F2}"/>
    <cellStyle name="Dezimal 50 6 3" xfId="32809" xr:uid="{72913ADE-C586-4809-ADD1-D5702A3F9D3E}"/>
    <cellStyle name="Dezimal 50 7" xfId="13374" xr:uid="{EAB0D6D3-3DFA-42AE-8A39-C58FEB76BCC1}"/>
    <cellStyle name="Dezimal 50 7 2" xfId="13375" xr:uid="{352C6A8E-5639-4890-AC08-288040C4512B}"/>
    <cellStyle name="Dezimal 50 7 2 2" xfId="32812" xr:uid="{A1ABB532-8C32-4024-9A96-83AE27DAF56D}"/>
    <cellStyle name="Dezimal 50 7 3" xfId="32811" xr:uid="{05A697CE-236F-4F2D-A3F8-899164B4D478}"/>
    <cellStyle name="Dezimal 50 8" xfId="13376" xr:uid="{887FD002-8F51-4EB7-9CAF-0D1B7B838205}"/>
    <cellStyle name="Dezimal 50 8 2" xfId="13377" xr:uid="{9C4833ED-8DD3-4F18-9788-0483794166BB}"/>
    <cellStyle name="Dezimal 50 8 2 2" xfId="32814" xr:uid="{F9F20FEB-9581-47FF-B23F-2918C25777CF}"/>
    <cellStyle name="Dezimal 50 8 3" xfId="32813" xr:uid="{33C8129F-4C6A-4626-AED0-61F3544526A2}"/>
    <cellStyle name="Dezimal 50 9" xfId="13378" xr:uid="{C06A3C08-AA0E-4B4E-B4AE-022CF2E35577}"/>
    <cellStyle name="Dezimal 50 9 2" xfId="13379" xr:uid="{B42A24F8-E843-4DAA-8178-EB1D6817038E}"/>
    <cellStyle name="Dezimal 50 9 2 2" xfId="32816" xr:uid="{EF70E2E6-757C-4D2C-87ED-E2DB6D14670B}"/>
    <cellStyle name="Dezimal 50 9 3" xfId="32815" xr:uid="{851036E1-22A2-4A89-BE10-AE9E820C1933}"/>
    <cellStyle name="Dezimal 51" xfId="13380" xr:uid="{B5135936-0D5D-4C8B-817E-20C29D258852}"/>
    <cellStyle name="Dezimal 51 10" xfId="13381" xr:uid="{72ED86E6-9296-4743-B1DA-2E02329AB8EF}"/>
    <cellStyle name="Dezimal 51 10 2" xfId="13382" xr:uid="{64219195-75E4-4EF9-B36D-D9179A72377E}"/>
    <cellStyle name="Dezimal 51 10 2 2" xfId="32819" xr:uid="{7450F5CC-F752-4A1D-835E-C8EADB1A63FC}"/>
    <cellStyle name="Dezimal 51 10 3" xfId="32818" xr:uid="{76BBDC01-0EA2-4522-8B75-DB249413AE78}"/>
    <cellStyle name="Dezimal 51 11" xfId="13383" xr:uid="{50CD712E-B4DD-4CDB-8EB6-5F589CC593B0}"/>
    <cellStyle name="Dezimal 51 11 2" xfId="32820" xr:uid="{446072F1-6383-40EF-86D8-28E92F8A18E8}"/>
    <cellStyle name="Dezimal 51 12" xfId="13384" xr:uid="{1F470A8E-6D8A-42ED-AA15-58345FEDD8EE}"/>
    <cellStyle name="Dezimal 51 12 2" xfId="32821" xr:uid="{2F46C277-9064-4ECA-BA8B-7E61A43B717A}"/>
    <cellStyle name="Dezimal 51 13" xfId="13385" xr:uid="{9E2D59DF-41EE-4AD4-BB56-818E3E3A47A7}"/>
    <cellStyle name="Dezimal 51 13 2" xfId="32822" xr:uid="{D39E498E-6ECE-4DF2-BB2F-980D42381D1C}"/>
    <cellStyle name="Dezimal 51 14" xfId="13386" xr:uid="{BC59C6EC-A845-43AC-A1D6-CE942283663F}"/>
    <cellStyle name="Dezimal 51 14 2" xfId="32823" xr:uid="{FB18C658-DD33-43E6-88F3-BD120808B437}"/>
    <cellStyle name="Dezimal 51 15" xfId="13387" xr:uid="{82FCC61A-EEEC-41CD-86E2-048D2550674E}"/>
    <cellStyle name="Dezimal 51 15 2" xfId="32824" xr:uid="{2F303267-CE1D-401A-AE5F-3A5FF8A7C9A1}"/>
    <cellStyle name="Dezimal 51 16" xfId="13388" xr:uid="{5DF6A2F0-C033-4E92-A813-4E87AA75D989}"/>
    <cellStyle name="Dezimal 51 16 2" xfId="32825" xr:uid="{FBC23852-D62C-48DA-93B0-D36D3C303E04}"/>
    <cellStyle name="Dezimal 51 17" xfId="13389" xr:uid="{BE7A9F79-8572-4C9D-A24D-8FF7CA3CC9B7}"/>
    <cellStyle name="Dezimal 51 17 2" xfId="32826" xr:uid="{FC022663-631D-4ACA-9458-2A78B2760D6F}"/>
    <cellStyle name="Dezimal 51 18" xfId="13390" xr:uid="{90E3C248-E9E0-41FD-8264-CE0D67F50CE8}"/>
    <cellStyle name="Dezimal 51 18 2" xfId="32827" xr:uid="{BEA22C4D-2301-460F-B4E6-E97F6D26FCF5}"/>
    <cellStyle name="Dezimal 51 19" xfId="13391" xr:uid="{AEE5BD1C-C189-4CDD-BF0A-0A0CC7DDC465}"/>
    <cellStyle name="Dezimal 51 19 2" xfId="32828" xr:uid="{7A5BC9D4-0732-4D29-974B-D335FA627559}"/>
    <cellStyle name="Dezimal 51 2" xfId="13392" xr:uid="{34FD2B21-8701-4F76-890C-B7EBE951AFF0}"/>
    <cellStyle name="Dezimal 51 2 2" xfId="13393" xr:uid="{801FF661-8378-4591-B1D8-B6FF74961E39}"/>
    <cellStyle name="Dezimal 51 2 2 2" xfId="32830" xr:uid="{9E3DE945-C784-428E-87EB-8F5698E0FC3F}"/>
    <cellStyle name="Dezimal 51 2 3" xfId="32829" xr:uid="{48F2E978-BC36-4BA3-93CE-E54C6EC3F80B}"/>
    <cellStyle name="Dezimal 51 20" xfId="13394" xr:uid="{51873B6D-1D6E-462B-BFDB-F28B55807059}"/>
    <cellStyle name="Dezimal 51 20 2" xfId="32831" xr:uid="{B2D64AD5-05FF-4950-9E6B-984DACB14A28}"/>
    <cellStyle name="Dezimal 51 21" xfId="13395" xr:uid="{83A3CC02-5F9A-4BF1-9E65-6BC2F192A6D4}"/>
    <cellStyle name="Dezimal 51 21 2" xfId="32832" xr:uid="{B5C40520-F035-46BB-ABE7-EA54CB2726D4}"/>
    <cellStyle name="Dezimal 51 22" xfId="13396" xr:uid="{1D7B986B-DB48-4297-BBCE-C4F43889D330}"/>
    <cellStyle name="Dezimal 51 22 2" xfId="32833" xr:uid="{F2512F7C-EF6A-4678-AA36-802742B24C31}"/>
    <cellStyle name="Dezimal 51 23" xfId="13397" xr:uid="{963258D1-B058-4A9B-AC64-2CCB0C32EDD1}"/>
    <cellStyle name="Dezimal 51 23 2" xfId="32834" xr:uid="{0AA3089F-AAD9-4C28-A7B4-7C6AE0828AA5}"/>
    <cellStyle name="Dezimal 51 24" xfId="13398" xr:uid="{26893331-91B6-456D-B337-C6DA9275A680}"/>
    <cellStyle name="Dezimal 51 24 2" xfId="32835" xr:uid="{6BA586E9-B57D-45ED-8660-1D7C8FFE4486}"/>
    <cellStyle name="Dezimal 51 25" xfId="13399" xr:uid="{0CD668CC-29C7-4E9F-801E-41EED1CC5FD6}"/>
    <cellStyle name="Dezimal 51 25 2" xfId="32836" xr:uid="{BA745CFF-BC40-4D67-A424-CFA0173A8052}"/>
    <cellStyle name="Dezimal 51 26" xfId="13400" xr:uid="{195E6026-8EAA-4EDC-99FF-E92580C8F5B1}"/>
    <cellStyle name="Dezimal 51 26 2" xfId="32837" xr:uid="{2D159B24-19BF-4F55-A924-31AAD48B32F2}"/>
    <cellStyle name="Dezimal 51 27" xfId="13401" xr:uid="{925B9F84-5134-4D7B-8501-876377AD068C}"/>
    <cellStyle name="Dezimal 51 27 2" xfId="32838" xr:uid="{C0F76F22-7A39-4FB6-B5F2-61FD216B0AEB}"/>
    <cellStyle name="Dezimal 51 28" xfId="13402" xr:uid="{1C4FB737-E67B-4DF7-A5BE-919CC5953B86}"/>
    <cellStyle name="Dezimal 51 28 2" xfId="32839" xr:uid="{B36B2C65-AAC5-4B96-B98F-C3995E8811F8}"/>
    <cellStyle name="Dezimal 51 29" xfId="13403" xr:uid="{25104D69-A717-450E-B46E-71CB98449B11}"/>
    <cellStyle name="Dezimal 51 29 2" xfId="32840" xr:uid="{890E239A-BDC2-4E07-B4B9-AAE914B1CE85}"/>
    <cellStyle name="Dezimal 51 3" xfId="13404" xr:uid="{B8FC89E1-8549-4659-B75E-F4A69F6AE4A1}"/>
    <cellStyle name="Dezimal 51 3 2" xfId="13405" xr:uid="{1949EA88-99E7-4EDF-8DB1-BB499267D619}"/>
    <cellStyle name="Dezimal 51 3 2 2" xfId="32842" xr:uid="{5ADDA3E3-A0EA-4DA4-B7CF-4D239FB1C3F7}"/>
    <cellStyle name="Dezimal 51 3 3" xfId="32841" xr:uid="{6FEA13B5-9F07-42F2-808D-6016CF9380BC}"/>
    <cellStyle name="Dezimal 51 30" xfId="13406" xr:uid="{747C6051-A209-4A6C-96D4-E069E8AAE6B7}"/>
    <cellStyle name="Dezimal 51 30 2" xfId="32843" xr:uid="{3DD24DCD-BEC9-4FFA-BEC3-2016F2E990D2}"/>
    <cellStyle name="Dezimal 51 31" xfId="13407" xr:uid="{9EC6AF72-B3EA-459D-8F66-B304C5FB6383}"/>
    <cellStyle name="Dezimal 51 31 2" xfId="32844" xr:uid="{281641F5-7C4A-429B-A30A-EC7A8BB485CF}"/>
    <cellStyle name="Dezimal 51 32" xfId="32817" xr:uid="{A5785235-1D3A-4EA9-857C-EC62D297E5ED}"/>
    <cellStyle name="Dezimal 51 4" xfId="13408" xr:uid="{9A62107A-F799-4329-8A8B-7B8E9B5763C5}"/>
    <cellStyle name="Dezimal 51 4 2" xfId="13409" xr:uid="{54D99F98-898A-4B50-A036-B18B6837B5BF}"/>
    <cellStyle name="Dezimal 51 4 2 2" xfId="32846" xr:uid="{15C441B5-5BC1-457A-AACB-42EC096ECB25}"/>
    <cellStyle name="Dezimal 51 4 3" xfId="32845" xr:uid="{6591182E-9A86-4048-9FDD-AD758568D512}"/>
    <cellStyle name="Dezimal 51 5" xfId="13410" xr:uid="{F6E9DAAC-47C7-46AD-AA13-F51D4C46CE36}"/>
    <cellStyle name="Dezimal 51 5 2" xfId="13411" xr:uid="{BEA4844D-E103-4B8F-8566-1D4DC231088B}"/>
    <cellStyle name="Dezimal 51 5 2 2" xfId="32848" xr:uid="{37B35092-57AD-416B-A56A-614444254E3D}"/>
    <cellStyle name="Dezimal 51 5 3" xfId="32847" xr:uid="{E5903B4F-19F5-407B-B152-6ECEED588691}"/>
    <cellStyle name="Dezimal 51 6" xfId="13412" xr:uid="{A827802A-C894-4000-A95B-D1A4F5DA925A}"/>
    <cellStyle name="Dezimal 51 6 2" xfId="13413" xr:uid="{52983D67-CDE4-4B81-A194-8C0389B96AFA}"/>
    <cellStyle name="Dezimal 51 6 2 2" xfId="32850" xr:uid="{C9656173-B368-43E1-950B-FF07860334F7}"/>
    <cellStyle name="Dezimal 51 6 3" xfId="32849" xr:uid="{20857834-3EC1-42E4-AB14-3280FCD70387}"/>
    <cellStyle name="Dezimal 51 7" xfId="13414" xr:uid="{D620A99D-FAB2-445F-96BA-1E2931F709FA}"/>
    <cellStyle name="Dezimal 51 7 2" xfId="13415" xr:uid="{25D6DA57-B61E-418E-9882-499900B477E2}"/>
    <cellStyle name="Dezimal 51 7 2 2" xfId="32852" xr:uid="{9307EA44-5901-484C-8330-0A3A31AC4F40}"/>
    <cellStyle name="Dezimal 51 7 3" xfId="32851" xr:uid="{828788E2-6BAB-45DA-97BF-11553AC594B4}"/>
    <cellStyle name="Dezimal 51 8" xfId="13416" xr:uid="{4F9AF36C-A6FA-48D7-98D5-445671044FE8}"/>
    <cellStyle name="Dezimal 51 8 2" xfId="13417" xr:uid="{D395D70A-F3AE-4FF2-B4B5-50B44AA22031}"/>
    <cellStyle name="Dezimal 51 8 2 2" xfId="32854" xr:uid="{035EA82A-76E2-45F4-B5FF-E4815E3382ED}"/>
    <cellStyle name="Dezimal 51 8 3" xfId="32853" xr:uid="{CDC28473-29DC-4F15-97F0-6D1932595595}"/>
    <cellStyle name="Dezimal 51 9" xfId="13418" xr:uid="{D0F4B6C1-61D6-47B4-88AA-50B760182F1D}"/>
    <cellStyle name="Dezimal 51 9 2" xfId="13419" xr:uid="{DF6AA545-31FB-4FA3-B8B0-91CEFBB52ED7}"/>
    <cellStyle name="Dezimal 51 9 2 2" xfId="32856" xr:uid="{9E48E891-DA04-4D7E-9B49-8DAA690FA189}"/>
    <cellStyle name="Dezimal 51 9 3" xfId="32855" xr:uid="{423E01F7-60E4-4982-975D-0A233CEF0059}"/>
    <cellStyle name="Dezimal 52" xfId="13420" xr:uid="{9F40D3F8-8DBC-4743-A2B5-52632E005B9B}"/>
    <cellStyle name="Dezimal 52 10" xfId="13421" xr:uid="{B25D33ED-CC02-42BB-AAB2-1412093C0B8F}"/>
    <cellStyle name="Dezimal 52 10 2" xfId="13422" xr:uid="{6585E1C4-FC79-4441-B807-31407F9C77D7}"/>
    <cellStyle name="Dezimal 52 10 2 2" xfId="32859" xr:uid="{8C7D571E-0FD3-4FA7-A7A0-4FB97A4853B8}"/>
    <cellStyle name="Dezimal 52 10 3" xfId="32858" xr:uid="{084679E1-5C97-45A2-9B50-10E5C7B7BE3E}"/>
    <cellStyle name="Dezimal 52 11" xfId="13423" xr:uid="{EF5F9682-695D-4213-BB5C-FC997A56519D}"/>
    <cellStyle name="Dezimal 52 11 2" xfId="32860" xr:uid="{DA482626-C23B-4DCF-965F-49ECE09A8A66}"/>
    <cellStyle name="Dezimal 52 12" xfId="13424" xr:uid="{33A7150D-29D9-49D3-BE13-DC3B94A02312}"/>
    <cellStyle name="Dezimal 52 12 2" xfId="32861" xr:uid="{6FD663A7-78E2-4723-B86F-F072615C950D}"/>
    <cellStyle name="Dezimal 52 13" xfId="13425" xr:uid="{AE5B5F28-06E0-495F-B967-20654F22766E}"/>
    <cellStyle name="Dezimal 52 13 2" xfId="32862" xr:uid="{79F9BD7E-B1CA-4513-8E7E-6DFC3245D76B}"/>
    <cellStyle name="Dezimal 52 14" xfId="13426" xr:uid="{3EC3D1A8-7BFD-4017-8FA8-B7141E8ECEE4}"/>
    <cellStyle name="Dezimal 52 14 2" xfId="32863" xr:uid="{08DDD6EA-B23B-453E-BF35-E3453078BA2D}"/>
    <cellStyle name="Dezimal 52 15" xfId="13427" xr:uid="{E4F9BF5C-869A-47C8-AAE2-9CB6279F98B4}"/>
    <cellStyle name="Dezimal 52 15 2" xfId="32864" xr:uid="{EE7143BA-2808-4C52-A9F7-0E73353B4828}"/>
    <cellStyle name="Dezimal 52 16" xfId="13428" xr:uid="{86236710-339A-4716-A24B-41D53832A3B1}"/>
    <cellStyle name="Dezimal 52 16 2" xfId="32865" xr:uid="{53237CEC-8E10-4785-84EF-9C395D0AF2C9}"/>
    <cellStyle name="Dezimal 52 17" xfId="13429" xr:uid="{D2D94C02-C73C-4FA1-A4DC-744EBAF5EBD6}"/>
    <cellStyle name="Dezimal 52 17 2" xfId="32866" xr:uid="{A935FFE1-1D08-4550-AE5A-9391D2F3DC32}"/>
    <cellStyle name="Dezimal 52 18" xfId="13430" xr:uid="{755A8267-2245-4C3A-9CFD-B23E8B6B8E6A}"/>
    <cellStyle name="Dezimal 52 18 2" xfId="32867" xr:uid="{CC91EC72-A665-4121-804E-2FD70BE5FD21}"/>
    <cellStyle name="Dezimal 52 19" xfId="13431" xr:uid="{8207CAF2-4EFC-45CA-9B3F-A11549E4ACD7}"/>
    <cellStyle name="Dezimal 52 19 2" xfId="32868" xr:uid="{E1722086-EAB6-4D5A-8B5C-475161E5549B}"/>
    <cellStyle name="Dezimal 52 2" xfId="13432" xr:uid="{E7F22B89-584B-4332-A1E4-D013341B09D0}"/>
    <cellStyle name="Dezimal 52 2 2" xfId="13433" xr:uid="{43899C8D-EBF2-47BD-A46E-94BD20B637E2}"/>
    <cellStyle name="Dezimal 52 2 2 2" xfId="32870" xr:uid="{A0B4F91D-883E-4315-A4A0-6D494A9D19BD}"/>
    <cellStyle name="Dezimal 52 2 3" xfId="32869" xr:uid="{3FD3F8D9-B432-4393-B3E6-4B43D9748665}"/>
    <cellStyle name="Dezimal 52 20" xfId="13434" xr:uid="{5FE2DB9C-B581-44EC-B877-600C695521FF}"/>
    <cellStyle name="Dezimal 52 20 2" xfId="32871" xr:uid="{71F626A9-5FB0-45F7-91B7-E8695E942A40}"/>
    <cellStyle name="Dezimal 52 21" xfId="13435" xr:uid="{5BC19FD7-DBE7-49AD-BB94-C554F94797D9}"/>
    <cellStyle name="Dezimal 52 21 2" xfId="32872" xr:uid="{3250963D-0173-4B0C-B635-F7A805C10969}"/>
    <cellStyle name="Dezimal 52 22" xfId="13436" xr:uid="{6E255082-245D-43EC-98A6-947D58D515CB}"/>
    <cellStyle name="Dezimal 52 22 2" xfId="32873" xr:uid="{A2C18AC7-3250-4215-AC0A-B422111693BD}"/>
    <cellStyle name="Dezimal 52 23" xfId="13437" xr:uid="{45BFFE79-FD9D-408A-BF97-09E361B737A3}"/>
    <cellStyle name="Dezimal 52 23 2" xfId="32874" xr:uid="{AEBDCABA-0740-495B-A9A2-3E6672C7F75A}"/>
    <cellStyle name="Dezimal 52 24" xfId="13438" xr:uid="{67541070-D529-4AB2-A04B-071A793B8E30}"/>
    <cellStyle name="Dezimal 52 24 2" xfId="32875" xr:uid="{77133CF5-A511-4348-AF65-1C8C65DB7E2E}"/>
    <cellStyle name="Dezimal 52 25" xfId="13439" xr:uid="{8FF5AAD4-E8E9-4769-B7BC-897AC4871A6B}"/>
    <cellStyle name="Dezimal 52 25 2" xfId="32876" xr:uid="{572C8C25-C6F1-4026-951A-1833DE1B06F1}"/>
    <cellStyle name="Dezimal 52 26" xfId="13440" xr:uid="{C321EFA4-E69D-40B7-B4CD-49EB496A23E3}"/>
    <cellStyle name="Dezimal 52 26 2" xfId="32877" xr:uid="{F3759816-FAF6-4DB6-BF13-0E22CCBC3F56}"/>
    <cellStyle name="Dezimal 52 27" xfId="13441" xr:uid="{DEFF6932-BC08-44D4-BE9E-7625485403BA}"/>
    <cellStyle name="Dezimal 52 27 2" xfId="32878" xr:uid="{0772FAA9-E96F-46C6-BA17-ED0192939D07}"/>
    <cellStyle name="Dezimal 52 28" xfId="13442" xr:uid="{61F57895-A7E3-4D12-98D6-67E6AE39BF5B}"/>
    <cellStyle name="Dezimal 52 28 2" xfId="32879" xr:uid="{400C92CB-9E9A-487B-8DA7-D3EDBBE05638}"/>
    <cellStyle name="Dezimal 52 29" xfId="13443" xr:uid="{0618F89A-93D6-42FE-9EE5-32DADF50C5BA}"/>
    <cellStyle name="Dezimal 52 29 2" xfId="32880" xr:uid="{5BA08B02-AFA0-42A8-AD83-A403D80A66C3}"/>
    <cellStyle name="Dezimal 52 3" xfId="13444" xr:uid="{021E8FA8-0FB8-404E-BD6C-D051A00157D3}"/>
    <cellStyle name="Dezimal 52 3 2" xfId="13445" xr:uid="{B33BE067-C2B9-4B97-A711-BBC2A2F73CBE}"/>
    <cellStyle name="Dezimal 52 3 2 2" xfId="32882" xr:uid="{FA24D930-FD38-402E-81E8-95B5A4295614}"/>
    <cellStyle name="Dezimal 52 3 3" xfId="32881" xr:uid="{37E26F40-9559-44EB-B062-D22F82A0C044}"/>
    <cellStyle name="Dezimal 52 30" xfId="13446" xr:uid="{028C4FBE-2BE5-49F2-B643-7546CCD8EDC2}"/>
    <cellStyle name="Dezimal 52 30 2" xfId="32883" xr:uid="{49796ABF-9951-4415-BC48-C4C60DD5DFFA}"/>
    <cellStyle name="Dezimal 52 31" xfId="13447" xr:uid="{6D5F99A0-AC3F-4306-86C2-CFFF3C9CB8E2}"/>
    <cellStyle name="Dezimal 52 31 2" xfId="32884" xr:uid="{49AA16E8-0B8C-4269-9D1C-BEA0F44C0FAC}"/>
    <cellStyle name="Dezimal 52 32" xfId="32857" xr:uid="{7F26DB79-AD63-4308-A724-AA3E57CBEFD9}"/>
    <cellStyle name="Dezimal 52 4" xfId="13448" xr:uid="{6A5CF725-41AD-4544-869B-B31B54643357}"/>
    <cellStyle name="Dezimal 52 4 2" xfId="13449" xr:uid="{18F3296B-BEC2-4A60-AB4E-48E2B272DDE2}"/>
    <cellStyle name="Dezimal 52 4 2 2" xfId="32886" xr:uid="{8D089D02-3D24-4947-9576-B73DAD2C2B4A}"/>
    <cellStyle name="Dezimal 52 4 3" xfId="32885" xr:uid="{42013761-CE56-4BFC-9601-5DEC144EA55B}"/>
    <cellStyle name="Dezimal 52 5" xfId="13450" xr:uid="{482C226E-FEBB-47A2-8B76-006B69347F85}"/>
    <cellStyle name="Dezimal 52 5 2" xfId="13451" xr:uid="{6983A177-08F6-45CD-9507-16D75BBE1331}"/>
    <cellStyle name="Dezimal 52 5 2 2" xfId="32888" xr:uid="{126760E8-C65A-45C6-8AF5-456956E65E09}"/>
    <cellStyle name="Dezimal 52 5 3" xfId="32887" xr:uid="{631D8DC3-C054-40BE-93E7-7335C1D7A96C}"/>
    <cellStyle name="Dezimal 52 6" xfId="13452" xr:uid="{F48C20F3-AF36-4A59-A46C-4369742DB779}"/>
    <cellStyle name="Dezimal 52 6 2" xfId="13453" xr:uid="{3D399B6C-33C7-44CC-8AA6-77B378BF3215}"/>
    <cellStyle name="Dezimal 52 6 2 2" xfId="32890" xr:uid="{274DAE21-88B2-4672-8CB8-91949404CD60}"/>
    <cellStyle name="Dezimal 52 6 3" xfId="32889" xr:uid="{7B0C6998-269C-4FF8-BD98-EFE73C2A974D}"/>
    <cellStyle name="Dezimal 52 7" xfId="13454" xr:uid="{C2454BAE-F64E-4CC3-8F9C-7F3771D26150}"/>
    <cellStyle name="Dezimal 52 7 2" xfId="13455" xr:uid="{15C4BE3D-FAAE-4A95-BEE9-F5776501E1F8}"/>
    <cellStyle name="Dezimal 52 7 2 2" xfId="32892" xr:uid="{D3CEECE9-FFBF-46CC-934B-CD5CA02B26E3}"/>
    <cellStyle name="Dezimal 52 7 3" xfId="32891" xr:uid="{0FAEE38E-C911-4BF9-98C9-F89387D5FC05}"/>
    <cellStyle name="Dezimal 52 8" xfId="13456" xr:uid="{A9A41FC9-3E13-4C7B-810B-5384D3454BF7}"/>
    <cellStyle name="Dezimal 52 8 2" xfId="13457" xr:uid="{32029268-0520-40A3-A753-866CAF4BA039}"/>
    <cellStyle name="Dezimal 52 8 2 2" xfId="32894" xr:uid="{09B01B62-17A0-4C9E-9450-CF02BEE0A2D4}"/>
    <cellStyle name="Dezimal 52 8 3" xfId="32893" xr:uid="{5790C535-0723-4C41-B1E2-2CC602F01178}"/>
    <cellStyle name="Dezimal 52 9" xfId="13458" xr:uid="{712E4B6D-79DC-4530-BE02-F32ED29DC74C}"/>
    <cellStyle name="Dezimal 52 9 2" xfId="13459" xr:uid="{A950DCC6-DE61-49A9-9C46-1379CE33ABE4}"/>
    <cellStyle name="Dezimal 52 9 2 2" xfId="32896" xr:uid="{10C70FF1-3B1F-48B2-A55B-71ACA1EE994E}"/>
    <cellStyle name="Dezimal 52 9 3" xfId="32895" xr:uid="{D154FFF2-423B-437C-A188-65C9FE9F5BE0}"/>
    <cellStyle name="Dezimal 53" xfId="13460" xr:uid="{35DFE97A-D978-45F2-B3A3-0DF036316FD6}"/>
    <cellStyle name="Dezimal 53 10" xfId="13461" xr:uid="{725F06D6-606A-4F92-9462-85B8E3811A88}"/>
    <cellStyle name="Dezimal 53 10 2" xfId="13462" xr:uid="{E84A13B7-1E8E-4E78-BA91-F96B9DF1FC5A}"/>
    <cellStyle name="Dezimal 53 10 2 2" xfId="32899" xr:uid="{CFF71882-B6DE-47C7-BB93-70EE4A0EF36F}"/>
    <cellStyle name="Dezimal 53 10 3" xfId="32898" xr:uid="{2B825C43-5058-4056-8955-B832C3014282}"/>
    <cellStyle name="Dezimal 53 11" xfId="13463" xr:uid="{E3636B77-2AC3-4120-BCD9-0DC902250835}"/>
    <cellStyle name="Dezimal 53 11 2" xfId="32900" xr:uid="{617F3EEB-7E0D-46C8-9539-97BC9DB6C740}"/>
    <cellStyle name="Dezimal 53 12" xfId="13464" xr:uid="{F35CA436-6E06-4645-B4F9-35E49A1181E3}"/>
    <cellStyle name="Dezimal 53 12 2" xfId="32901" xr:uid="{3AC65F65-453E-44BB-A339-EE5E3F553EA6}"/>
    <cellStyle name="Dezimal 53 13" xfId="13465" xr:uid="{79ECA499-B1F8-4CFC-B11D-C62862624615}"/>
    <cellStyle name="Dezimal 53 13 2" xfId="32902" xr:uid="{2A3ACEF4-2AD5-4A14-BEFA-CD847DD67A73}"/>
    <cellStyle name="Dezimal 53 14" xfId="13466" xr:uid="{4A86EA27-04FC-4462-BDB3-8CFA91733375}"/>
    <cellStyle name="Dezimal 53 14 2" xfId="32903" xr:uid="{9345156B-5E2D-49CD-8E74-BA5CC3999E7D}"/>
    <cellStyle name="Dezimal 53 15" xfId="13467" xr:uid="{732ED64C-FA64-4486-A4DF-C5FCFE63F747}"/>
    <cellStyle name="Dezimal 53 15 2" xfId="32904" xr:uid="{9B37C926-99BB-49CB-ACAF-83D70F203807}"/>
    <cellStyle name="Dezimal 53 16" xfId="13468" xr:uid="{C6BEB7A6-4D3C-467C-B809-BAED4010A60A}"/>
    <cellStyle name="Dezimal 53 16 2" xfId="32905" xr:uid="{B90F0C30-24DB-4B0B-86A7-E058CB58DE6B}"/>
    <cellStyle name="Dezimal 53 17" xfId="13469" xr:uid="{332F9F90-EAC3-495F-9BB0-7E5FB43D4AA1}"/>
    <cellStyle name="Dezimal 53 17 2" xfId="32906" xr:uid="{798E58D0-E301-4ADE-9971-B54C4DF77CEE}"/>
    <cellStyle name="Dezimal 53 18" xfId="13470" xr:uid="{E9791A0A-08C1-4FE7-9A3D-A9FBB744EE52}"/>
    <cellStyle name="Dezimal 53 18 2" xfId="32907" xr:uid="{AF602DCE-F441-4413-8429-CBCB84DF9A81}"/>
    <cellStyle name="Dezimal 53 19" xfId="13471" xr:uid="{DA5C119E-0E4A-4718-B4C2-6EBF28F8A68F}"/>
    <cellStyle name="Dezimal 53 19 2" xfId="32908" xr:uid="{E23BF451-73AF-4449-9650-9B51FDB57D90}"/>
    <cellStyle name="Dezimal 53 2" xfId="13472" xr:uid="{E9935D1E-456F-4995-8EF5-126906F31BD2}"/>
    <cellStyle name="Dezimal 53 2 2" xfId="13473" xr:uid="{4797B16B-D9F7-4593-9A57-56DE667DF5DD}"/>
    <cellStyle name="Dezimal 53 2 2 2" xfId="32910" xr:uid="{AF16AF27-5454-44A3-823D-64913A6CE091}"/>
    <cellStyle name="Dezimal 53 2 3" xfId="32909" xr:uid="{C429D7D4-8A35-445B-B53F-C18EB55B802D}"/>
    <cellStyle name="Dezimal 53 20" xfId="13474" xr:uid="{26F9182A-9C0B-42AE-828A-31976802BDAE}"/>
    <cellStyle name="Dezimal 53 20 2" xfId="32911" xr:uid="{B76B9CF4-C451-442C-AFA4-A55BA2EDC602}"/>
    <cellStyle name="Dezimal 53 21" xfId="13475" xr:uid="{0624E5F1-FCDF-4010-B866-F939EE1D465A}"/>
    <cellStyle name="Dezimal 53 21 2" xfId="32912" xr:uid="{7E4CF209-4ECD-4A31-94F6-1C92096B55F3}"/>
    <cellStyle name="Dezimal 53 22" xfId="13476" xr:uid="{76A46192-4B29-426D-86D4-4B2F46127787}"/>
    <cellStyle name="Dezimal 53 22 2" xfId="32913" xr:uid="{670CA3DC-094E-498B-8E14-A860A7BDA308}"/>
    <cellStyle name="Dezimal 53 23" xfId="13477" xr:uid="{655F743F-C244-4E36-8A18-7C454A50BCCF}"/>
    <cellStyle name="Dezimal 53 23 2" xfId="32914" xr:uid="{58213B80-0440-41BF-8D00-4121DAC8A66D}"/>
    <cellStyle name="Dezimal 53 24" xfId="13478" xr:uid="{C3133969-2B04-4AEE-9054-5A463545175C}"/>
    <cellStyle name="Dezimal 53 24 2" xfId="32915" xr:uid="{82A9517D-9083-42D1-A55D-18B096A1B89C}"/>
    <cellStyle name="Dezimal 53 25" xfId="13479" xr:uid="{A06AEA9E-2BC7-4FBB-AE75-B9B09FF2AF07}"/>
    <cellStyle name="Dezimal 53 25 2" xfId="32916" xr:uid="{5F979884-926B-4E22-9CEC-00E72D9B9955}"/>
    <cellStyle name="Dezimal 53 26" xfId="13480" xr:uid="{BFE471A1-341D-4CB7-BF98-6ADB92B6C6BE}"/>
    <cellStyle name="Dezimal 53 26 2" xfId="32917" xr:uid="{ADDECD1D-D1D9-4C68-986B-52B75EB94264}"/>
    <cellStyle name="Dezimal 53 27" xfId="13481" xr:uid="{D5D3E91A-2DFA-47B4-85C1-32720E98543D}"/>
    <cellStyle name="Dezimal 53 27 2" xfId="32918" xr:uid="{BCB64846-C594-47EA-80C6-E5484F5AECD6}"/>
    <cellStyle name="Dezimal 53 28" xfId="13482" xr:uid="{A19D7A78-6C6B-4227-AE68-DB597E27EF1E}"/>
    <cellStyle name="Dezimal 53 28 2" xfId="32919" xr:uid="{1FEBF782-5686-4D03-89BC-FCD0EC07525E}"/>
    <cellStyle name="Dezimal 53 29" xfId="13483" xr:uid="{4DE54316-DED9-4E2A-88C9-CB177836628E}"/>
    <cellStyle name="Dezimal 53 29 2" xfId="32920" xr:uid="{D84D3A0C-92E2-47C7-96AD-412CF9EDF449}"/>
    <cellStyle name="Dezimal 53 3" xfId="13484" xr:uid="{276D2E47-988B-4E4E-9B6C-277945879A10}"/>
    <cellStyle name="Dezimal 53 3 2" xfId="13485" xr:uid="{1D72CA30-08BB-4B8F-8AE8-4B9C47998F7F}"/>
    <cellStyle name="Dezimal 53 3 2 2" xfId="32922" xr:uid="{5D1AFA4F-8A4A-46D9-8966-40E514ED6C8D}"/>
    <cellStyle name="Dezimal 53 3 3" xfId="32921" xr:uid="{C8DB3CA7-A347-4FB0-A2FA-64545C1C788E}"/>
    <cellStyle name="Dezimal 53 30" xfId="13486" xr:uid="{1498A655-6D23-454D-9051-EB91689515DA}"/>
    <cellStyle name="Dezimal 53 30 2" xfId="32923" xr:uid="{4B46F2B5-47B2-45BB-A830-970268C4905B}"/>
    <cellStyle name="Dezimal 53 31" xfId="13487" xr:uid="{8D383CAE-8CD4-4FEA-9887-3210DFECF3A3}"/>
    <cellStyle name="Dezimal 53 31 2" xfId="32924" xr:uid="{A292D6FF-10A9-46FA-917C-415726EADB19}"/>
    <cellStyle name="Dezimal 53 32" xfId="32897" xr:uid="{63A534D3-2ECD-4DDD-BC8C-9811D426C2A4}"/>
    <cellStyle name="Dezimal 53 4" xfId="13488" xr:uid="{68B47048-D264-4D09-AC03-BC4133DADD01}"/>
    <cellStyle name="Dezimal 53 4 2" xfId="13489" xr:uid="{AD796624-9471-4A72-A2C7-1452F3D7B77B}"/>
    <cellStyle name="Dezimal 53 4 2 2" xfId="32926" xr:uid="{BEF55EF0-7462-4A10-8B3C-AEB0EB86B3BC}"/>
    <cellStyle name="Dezimal 53 4 3" xfId="32925" xr:uid="{8ADBE803-123A-4E14-889E-49DCC8EABFC8}"/>
    <cellStyle name="Dezimal 53 5" xfId="13490" xr:uid="{92434A21-C8BC-4F2F-B627-567592EFCEA7}"/>
    <cellStyle name="Dezimal 53 5 2" xfId="13491" xr:uid="{F4AAF4FF-BB11-42B1-A779-639B77AF5646}"/>
    <cellStyle name="Dezimal 53 5 2 2" xfId="32928" xr:uid="{BD91F6CF-591E-4744-8B36-DCCB7C7D880D}"/>
    <cellStyle name="Dezimal 53 5 3" xfId="32927" xr:uid="{026CB21C-C579-4F56-8B5D-9E09EAE93F4C}"/>
    <cellStyle name="Dezimal 53 6" xfId="13492" xr:uid="{1FF0B199-5AA7-4E51-81E5-087A70A0B423}"/>
    <cellStyle name="Dezimal 53 6 2" xfId="13493" xr:uid="{D6A2FA09-9F73-4F6D-A5F0-E957669362E5}"/>
    <cellStyle name="Dezimal 53 6 2 2" xfId="32930" xr:uid="{15FC1507-9E98-4F04-B60D-1C50F1B5E309}"/>
    <cellStyle name="Dezimal 53 6 3" xfId="32929" xr:uid="{99FD7A9F-86B1-44B2-B25C-5FDEEBF3AE9C}"/>
    <cellStyle name="Dezimal 53 7" xfId="13494" xr:uid="{82ADF890-8138-4B9A-927A-49C9A644FE6B}"/>
    <cellStyle name="Dezimal 53 7 2" xfId="13495" xr:uid="{C0A7D95D-7271-45AA-875B-2B053C8E50AB}"/>
    <cellStyle name="Dezimal 53 7 2 2" xfId="32932" xr:uid="{61586855-DC55-48A3-9DC5-4DD794C231C7}"/>
    <cellStyle name="Dezimal 53 7 3" xfId="32931" xr:uid="{124A8D60-365C-453A-ABCD-2804329F0DC9}"/>
    <cellStyle name="Dezimal 53 8" xfId="13496" xr:uid="{B9CA2E27-39D0-46EB-ACA4-CCCCEAC40919}"/>
    <cellStyle name="Dezimal 53 8 2" xfId="13497" xr:uid="{6ABA2666-99A5-4595-A6AF-1E04DE3C902D}"/>
    <cellStyle name="Dezimal 53 8 2 2" xfId="32934" xr:uid="{A4507B4C-2240-4D16-BD28-60733E42B245}"/>
    <cellStyle name="Dezimal 53 8 3" xfId="32933" xr:uid="{64153429-3A26-4059-B02C-E2F59F742C00}"/>
    <cellStyle name="Dezimal 53 9" xfId="13498" xr:uid="{3D220C66-2F7B-4D37-80AF-1C6B413DF910}"/>
    <cellStyle name="Dezimal 53 9 2" xfId="13499" xr:uid="{678D636A-C1B3-4E90-A99C-6262E27FED19}"/>
    <cellStyle name="Dezimal 53 9 2 2" xfId="32936" xr:uid="{E2B9FB82-1AD8-4ECB-8362-221AB6915C1D}"/>
    <cellStyle name="Dezimal 53 9 3" xfId="32935" xr:uid="{ACA3FB35-C802-43CE-8276-CFB5B53A2DCD}"/>
    <cellStyle name="Dezimal 54" xfId="13500" xr:uid="{F7BAA5D8-B6ED-47E9-A5F0-C488B9748FFB}"/>
    <cellStyle name="Dezimal 54 10" xfId="13501" xr:uid="{2629E590-B5B1-4912-AE99-84C9B81B9A99}"/>
    <cellStyle name="Dezimal 54 10 2" xfId="13502" xr:uid="{6D2E215A-85C3-4F19-B32C-D4F33AE26A84}"/>
    <cellStyle name="Dezimal 54 10 2 2" xfId="32939" xr:uid="{662F3C3B-C16E-43AE-9454-689F3F7B7C15}"/>
    <cellStyle name="Dezimal 54 10 3" xfId="32938" xr:uid="{7E55F836-BB00-4A58-B714-DC7D0C7603EC}"/>
    <cellStyle name="Dezimal 54 11" xfId="13503" xr:uid="{3F2C1333-FDBE-46B7-8D3D-B75CED86FD7D}"/>
    <cellStyle name="Dezimal 54 11 2" xfId="32940" xr:uid="{59EFF4A4-B0B0-478C-A988-5BD88A5F282E}"/>
    <cellStyle name="Dezimal 54 12" xfId="13504" xr:uid="{3DF312AD-A5B2-4FFD-9249-3311422EB270}"/>
    <cellStyle name="Dezimal 54 12 2" xfId="32941" xr:uid="{5A241E43-2745-4043-999B-B070A242E4A4}"/>
    <cellStyle name="Dezimal 54 13" xfId="13505" xr:uid="{5C2B07B9-7B72-423E-870F-F5CFB728C0F9}"/>
    <cellStyle name="Dezimal 54 13 2" xfId="32942" xr:uid="{4CD1AEF9-E8F1-4ACD-8B1D-DFB3482B8915}"/>
    <cellStyle name="Dezimal 54 14" xfId="13506" xr:uid="{2E24C057-3CE8-417A-AC34-E50D532D48A3}"/>
    <cellStyle name="Dezimal 54 14 2" xfId="32943" xr:uid="{5F9918B4-957D-4CC3-B5CE-0C0A2F38DA7E}"/>
    <cellStyle name="Dezimal 54 15" xfId="13507" xr:uid="{381BB630-55D1-48A8-9A66-3F958AE61222}"/>
    <cellStyle name="Dezimal 54 15 2" xfId="32944" xr:uid="{361C56A5-4122-4709-9858-610733F176A1}"/>
    <cellStyle name="Dezimal 54 16" xfId="13508" xr:uid="{1D31C6B6-0A52-4637-8476-8B0299A7E818}"/>
    <cellStyle name="Dezimal 54 16 2" xfId="32945" xr:uid="{481EC458-8608-440A-A563-DC4CC292D601}"/>
    <cellStyle name="Dezimal 54 17" xfId="13509" xr:uid="{9CEC0658-49B7-4272-B1B3-5076B4C31436}"/>
    <cellStyle name="Dezimal 54 17 2" xfId="32946" xr:uid="{45882634-C320-4D0B-BA3E-F88D92AA43C8}"/>
    <cellStyle name="Dezimal 54 18" xfId="13510" xr:uid="{19F0C9B4-E8EF-443E-9707-9E885294D0F6}"/>
    <cellStyle name="Dezimal 54 18 2" xfId="32947" xr:uid="{D4D58F87-409C-4728-8C13-39B8B81F684C}"/>
    <cellStyle name="Dezimal 54 19" xfId="13511" xr:uid="{6E05AD4D-3617-47C9-85FA-514B4896174E}"/>
    <cellStyle name="Dezimal 54 19 2" xfId="32948" xr:uid="{4B1A8DA7-6B79-429F-A4A1-8C7DE1ECF43D}"/>
    <cellStyle name="Dezimal 54 2" xfId="13512" xr:uid="{2A737E9D-52BC-406E-B4BD-5DAB8597A4CE}"/>
    <cellStyle name="Dezimal 54 2 2" xfId="13513" xr:uid="{E129B1B3-5066-4651-A299-88A013D133D7}"/>
    <cellStyle name="Dezimal 54 2 2 2" xfId="32950" xr:uid="{D6D564A5-76EA-440C-A359-70B60A7CC8E1}"/>
    <cellStyle name="Dezimal 54 2 3" xfId="32949" xr:uid="{7654D392-19C3-4BF7-9B52-EFCD3876148F}"/>
    <cellStyle name="Dezimal 54 20" xfId="13514" xr:uid="{55B1454B-AD07-4963-A786-83DF006795A4}"/>
    <cellStyle name="Dezimal 54 20 2" xfId="32951" xr:uid="{78F7F8BE-D862-45B0-A31F-9D2C6F5E83B9}"/>
    <cellStyle name="Dezimal 54 21" xfId="13515" xr:uid="{BCFF8B02-F3DF-4DB8-87B1-021147B0A7B1}"/>
    <cellStyle name="Dezimal 54 21 2" xfId="32952" xr:uid="{A871D1B4-8E0A-49B4-B618-710CEF0E6057}"/>
    <cellStyle name="Dezimal 54 22" xfId="13516" xr:uid="{D862CD96-BC72-407E-A387-7924FBDE48D8}"/>
    <cellStyle name="Dezimal 54 22 2" xfId="32953" xr:uid="{C658084C-0847-4D1A-B0B5-18E88777F3AA}"/>
    <cellStyle name="Dezimal 54 23" xfId="13517" xr:uid="{CE076A69-7001-482F-903E-202D75667D2B}"/>
    <cellStyle name="Dezimal 54 23 2" xfId="32954" xr:uid="{BB88732F-ECA5-436D-9C13-A77E3CEBDDFE}"/>
    <cellStyle name="Dezimal 54 24" xfId="13518" xr:uid="{3F01EC9A-F042-4725-A216-828F5752EBCF}"/>
    <cellStyle name="Dezimal 54 24 2" xfId="32955" xr:uid="{247CABF4-F8E2-4A61-A854-3CCF6AFA8CF1}"/>
    <cellStyle name="Dezimal 54 25" xfId="13519" xr:uid="{293A5A32-C1FE-461D-8E73-BCE2623ECB47}"/>
    <cellStyle name="Dezimal 54 25 2" xfId="32956" xr:uid="{CFCE2088-467C-467B-92C6-5C5A48DE5144}"/>
    <cellStyle name="Dezimal 54 26" xfId="13520" xr:uid="{59D7BD7B-C655-4BD7-96BD-99C6731E4001}"/>
    <cellStyle name="Dezimal 54 26 2" xfId="32957" xr:uid="{F9F68BC7-5343-4E41-80CB-65D933A352E2}"/>
    <cellStyle name="Dezimal 54 27" xfId="13521" xr:uid="{ECC31546-1264-4A2C-8206-C15DEAA6C88E}"/>
    <cellStyle name="Dezimal 54 27 2" xfId="32958" xr:uid="{20BB3F9B-DD14-425D-9523-7A834C791472}"/>
    <cellStyle name="Dezimal 54 28" xfId="13522" xr:uid="{DABD806F-08B4-425E-84BD-E9CE800BBCDD}"/>
    <cellStyle name="Dezimal 54 28 2" xfId="32959" xr:uid="{1305DC1B-61F1-45CB-B820-20323AD3E5CD}"/>
    <cellStyle name="Dezimal 54 29" xfId="13523" xr:uid="{E2E31EC0-0105-434B-8132-19AB298EFDE7}"/>
    <cellStyle name="Dezimal 54 29 2" xfId="32960" xr:uid="{D6663971-21FD-4A7D-9995-03A13BC1B281}"/>
    <cellStyle name="Dezimal 54 3" xfId="13524" xr:uid="{66F6E7B8-5A1D-4804-BE98-6895FC0FA70C}"/>
    <cellStyle name="Dezimal 54 3 2" xfId="13525" xr:uid="{20A77C3D-55C4-4408-8045-4D5367A31B25}"/>
    <cellStyle name="Dezimal 54 3 2 2" xfId="32962" xr:uid="{688B1E59-751E-42F3-88DD-4E98A4CAF4E6}"/>
    <cellStyle name="Dezimal 54 3 3" xfId="32961" xr:uid="{F32CA1A7-912C-41A8-9C2B-DE39D47F9EC8}"/>
    <cellStyle name="Dezimal 54 30" xfId="13526" xr:uid="{9FCD1116-210C-45FF-83A8-99450889146F}"/>
    <cellStyle name="Dezimal 54 30 2" xfId="32963" xr:uid="{FB0DDA10-B9EB-420F-933A-92979AB92D9C}"/>
    <cellStyle name="Dezimal 54 31" xfId="13527" xr:uid="{F75238B8-DBA0-45F8-A312-4C207AA49585}"/>
    <cellStyle name="Dezimal 54 31 2" xfId="32964" xr:uid="{39394250-4D74-4E25-86EB-67305AD1883B}"/>
    <cellStyle name="Dezimal 54 32" xfId="32937" xr:uid="{EC658970-73C4-417D-9783-3E4644D37494}"/>
    <cellStyle name="Dezimal 54 4" xfId="13528" xr:uid="{27240D91-175A-456C-B76B-3AE5B0572AA0}"/>
    <cellStyle name="Dezimal 54 4 2" xfId="13529" xr:uid="{C1917739-26AA-4ECC-B255-396A13CE4D7D}"/>
    <cellStyle name="Dezimal 54 4 2 2" xfId="32966" xr:uid="{5D5AEABA-BA50-455A-96CF-84A042B3BF2B}"/>
    <cellStyle name="Dezimal 54 4 3" xfId="32965" xr:uid="{A05463FC-5E97-4E40-9C06-A36E1D4199DA}"/>
    <cellStyle name="Dezimal 54 5" xfId="13530" xr:uid="{FDF60284-ACBA-4A2A-81A1-CC8A505AE635}"/>
    <cellStyle name="Dezimal 54 5 2" xfId="13531" xr:uid="{58D20E7A-4EEA-445A-8A4F-BCF1C987971C}"/>
    <cellStyle name="Dezimal 54 5 2 2" xfId="32968" xr:uid="{527DE86D-9255-47BE-9A5E-5112A464ED79}"/>
    <cellStyle name="Dezimal 54 5 3" xfId="32967" xr:uid="{EAC84905-23DE-4E36-872D-294703905CB6}"/>
    <cellStyle name="Dezimal 54 6" xfId="13532" xr:uid="{E645C24A-8D32-4FAF-8D99-6393A0705B9C}"/>
    <cellStyle name="Dezimal 54 6 2" xfId="13533" xr:uid="{D5FE2D12-A9C0-44EE-88DA-B52C1B5A05D0}"/>
    <cellStyle name="Dezimal 54 6 2 2" xfId="32970" xr:uid="{EF690CAD-4E46-41BD-A84D-95470D726322}"/>
    <cellStyle name="Dezimal 54 6 3" xfId="32969" xr:uid="{A5F1B5A3-A4B7-4D9B-AC8A-8C5E1425B6A9}"/>
    <cellStyle name="Dezimal 54 7" xfId="13534" xr:uid="{69305D30-666F-4708-8696-61476F5FE86D}"/>
    <cellStyle name="Dezimal 54 7 2" xfId="13535" xr:uid="{986B4F70-BAF1-4672-B244-09AB0FE7611B}"/>
    <cellStyle name="Dezimal 54 7 2 2" xfId="32972" xr:uid="{5AA69681-E441-4A61-8CF0-8EA91ED62541}"/>
    <cellStyle name="Dezimal 54 7 3" xfId="32971" xr:uid="{83FE338B-BA49-48C6-90E3-08DC0F58D6C6}"/>
    <cellStyle name="Dezimal 54 8" xfId="13536" xr:uid="{5DFA8E5D-089A-4228-9172-05D8C91D20AA}"/>
    <cellStyle name="Dezimal 54 8 2" xfId="13537" xr:uid="{A33254F0-A123-4A33-86E2-BA33C392497B}"/>
    <cellStyle name="Dezimal 54 8 2 2" xfId="32974" xr:uid="{38ECC28A-9699-4602-85E4-BAACE0F7505C}"/>
    <cellStyle name="Dezimal 54 8 3" xfId="32973" xr:uid="{85BBCEE0-0D8C-462F-AF1E-A059346C116A}"/>
    <cellStyle name="Dezimal 54 9" xfId="13538" xr:uid="{ACFB9409-7202-4BE8-98F8-85845AC7374D}"/>
    <cellStyle name="Dezimal 54 9 2" xfId="13539" xr:uid="{69F96EB8-D9DA-4520-8311-E701F24C83AF}"/>
    <cellStyle name="Dezimal 54 9 2 2" xfId="32976" xr:uid="{BC08239C-F885-473F-A5F0-91707BB27DE9}"/>
    <cellStyle name="Dezimal 54 9 3" xfId="32975" xr:uid="{2EAB6A5F-1D8A-40EC-A19D-459F016ED6B4}"/>
    <cellStyle name="Dezimal 55" xfId="39271" xr:uid="{08D5305D-43F0-4B82-913A-58EA7A775279}"/>
    <cellStyle name="Dezimal 55 10" xfId="13540" xr:uid="{C2C178F2-4371-4889-9558-A7398902040D}"/>
    <cellStyle name="Dezimal 55 10 2" xfId="13541" xr:uid="{86FE321D-92B7-43DC-95DC-2A2234129755}"/>
    <cellStyle name="Dezimal 55 10 2 2" xfId="32978" xr:uid="{8F88AC1F-DBBC-4478-A19F-8D5E1AEA012A}"/>
    <cellStyle name="Dezimal 55 10 3" xfId="32977" xr:uid="{6FA9D517-A27A-4456-935E-FFA5DB914733}"/>
    <cellStyle name="Dezimal 55 2" xfId="13542" xr:uid="{72E24208-D938-45E9-A784-5E8C7D4B2F3B}"/>
    <cellStyle name="Dezimal 55 2 2" xfId="13543" xr:uid="{8F4FBD7E-7D9A-453D-8206-0BE416DF043B}"/>
    <cellStyle name="Dezimal 55 2 2 2" xfId="32980" xr:uid="{C6A06182-9DBD-4CF7-B3BA-71E32D335AF3}"/>
    <cellStyle name="Dezimal 55 2 3" xfId="32979" xr:uid="{1C86C6E2-13E5-48B1-841A-6074F970FC7B}"/>
    <cellStyle name="Dezimal 55 3" xfId="13544" xr:uid="{4D30DDDB-A25F-49E2-B7A9-3F6DB5E8EEA3}"/>
    <cellStyle name="Dezimal 55 3 2" xfId="13545" xr:uid="{82870912-261C-4C8E-93A6-B0C71246F305}"/>
    <cellStyle name="Dezimal 55 3 2 2" xfId="32982" xr:uid="{23D45976-9685-4AD7-AD0D-6BBB08B2D1B2}"/>
    <cellStyle name="Dezimal 55 3 3" xfId="32981" xr:uid="{A1A0D6E2-2DF0-4E98-A110-B0A5B838F7DC}"/>
    <cellStyle name="Dezimal 55 4" xfId="13546" xr:uid="{93DE42D0-12CC-40A7-9822-ED2624EF9C0A}"/>
    <cellStyle name="Dezimal 55 4 2" xfId="13547" xr:uid="{29BA9C12-9D44-4D35-87CC-87865F162280}"/>
    <cellStyle name="Dezimal 55 4 2 2" xfId="32984" xr:uid="{6D561D4A-B31B-45EE-84DA-A0E567AB3BE5}"/>
    <cellStyle name="Dezimal 55 4 3" xfId="32983" xr:uid="{EB0CFDB3-8769-41D6-97F8-2D689944F3E5}"/>
    <cellStyle name="Dezimal 55 5" xfId="13548" xr:uid="{3A770913-DC36-49FF-BFDD-6D23B8506F05}"/>
    <cellStyle name="Dezimal 55 5 2" xfId="13549" xr:uid="{3DE9BD8D-8C28-44DC-992F-ACBE460DDE87}"/>
    <cellStyle name="Dezimal 55 5 2 2" xfId="32986" xr:uid="{B2C78924-2577-4AD5-A507-13442C6C61F4}"/>
    <cellStyle name="Dezimal 55 5 3" xfId="32985" xr:uid="{4ED6C67C-F2BB-40D5-86AD-D389F5638951}"/>
    <cellStyle name="Dezimal 55 6" xfId="13550" xr:uid="{A313FF91-E211-4011-B4EF-C133454119B3}"/>
    <cellStyle name="Dezimal 55 6 2" xfId="13551" xr:uid="{DFDA5415-6FB9-405E-9CD4-2B05DF697A4C}"/>
    <cellStyle name="Dezimal 55 6 2 2" xfId="32988" xr:uid="{50C6D529-E0A8-495D-9C5E-93979B053C08}"/>
    <cellStyle name="Dezimal 55 6 3" xfId="32987" xr:uid="{8D182332-E819-4656-88CA-58C6634BBA23}"/>
    <cellStyle name="Dezimal 55 7" xfId="13552" xr:uid="{220CF36E-940E-478D-BB87-E41CAD88ED43}"/>
    <cellStyle name="Dezimal 55 7 2" xfId="13553" xr:uid="{31FBA001-1B88-46FE-94E4-247DADC58F39}"/>
    <cellStyle name="Dezimal 55 7 2 2" xfId="32990" xr:uid="{C3D6D0BA-3480-4BB1-A44B-C4229897AB76}"/>
    <cellStyle name="Dezimal 55 7 3" xfId="32989" xr:uid="{D1FED2A6-BADA-4EDC-BAD6-586B9D2555A5}"/>
    <cellStyle name="Dezimal 55 8" xfId="13554" xr:uid="{D0EF3A56-9A38-473E-9C55-74B3F4E23283}"/>
    <cellStyle name="Dezimal 55 8 2" xfId="13555" xr:uid="{DFC418C8-7BB8-409F-9E07-939E1D93BEE2}"/>
    <cellStyle name="Dezimal 55 8 2 2" xfId="32992" xr:uid="{6D6CD36D-DDF0-43B1-923E-EF5DD5F16B5A}"/>
    <cellStyle name="Dezimal 55 8 3" xfId="32991" xr:uid="{A10E164A-960B-4D7C-A49C-B9E8183F9750}"/>
    <cellStyle name="Dezimal 55 9" xfId="13556" xr:uid="{4AE6B532-CC0B-4529-B14F-1699CB38550D}"/>
    <cellStyle name="Dezimal 55 9 2" xfId="13557" xr:uid="{2851469B-5B11-4EC4-BFE8-A87E30453C49}"/>
    <cellStyle name="Dezimal 55 9 2 2" xfId="32994" xr:uid="{16A04115-3390-4EB2-9046-C00CFF7D8129}"/>
    <cellStyle name="Dezimal 55 9 3" xfId="32993" xr:uid="{BC4D05C2-4C51-4328-99EC-3DE3CD0ABB78}"/>
    <cellStyle name="Dezimal 56" xfId="13558" xr:uid="{2C62B44D-1B06-47A1-B4A2-8E76F4C8B2C7}"/>
    <cellStyle name="Dezimal 56 10" xfId="13559" xr:uid="{8C12C217-33FB-43DA-AF9C-CBE6B3704774}"/>
    <cellStyle name="Dezimal 56 10 2" xfId="13560" xr:uid="{F96268DF-C5DD-4DA3-8467-E99AA551D3FE}"/>
    <cellStyle name="Dezimal 56 10 2 2" xfId="32997" xr:uid="{8DC942F4-434D-4B51-BF66-8FEA34B34B4A}"/>
    <cellStyle name="Dezimal 56 10 3" xfId="32996" xr:uid="{3E78AB93-9DDE-4D75-A975-965E22E6A79B}"/>
    <cellStyle name="Dezimal 56 11" xfId="13561" xr:uid="{3F1E4099-6E65-44C4-A9AA-99E427F21A8D}"/>
    <cellStyle name="Dezimal 56 11 2" xfId="32998" xr:uid="{DA4B2BA0-09C7-4B80-9595-F410F632B3B1}"/>
    <cellStyle name="Dezimal 56 12" xfId="13562" xr:uid="{292A55D8-4716-46B9-8C88-2C8C8E108157}"/>
    <cellStyle name="Dezimal 56 12 2" xfId="32999" xr:uid="{4C6E838E-CDB5-488C-AF0B-C2558B0F6CC6}"/>
    <cellStyle name="Dezimal 56 13" xfId="13563" xr:uid="{61F59CEA-423C-4D24-83C2-AF063E2C62A3}"/>
    <cellStyle name="Dezimal 56 13 2" xfId="33000" xr:uid="{F14D2AEC-F913-4A95-B6CD-9C45DE23CDB1}"/>
    <cellStyle name="Dezimal 56 14" xfId="13564" xr:uid="{E72A2EE2-29C7-4ACE-A6EB-A27F734431EB}"/>
    <cellStyle name="Dezimal 56 14 2" xfId="33001" xr:uid="{F5548700-45C5-49AD-80A2-A7E3DC47C105}"/>
    <cellStyle name="Dezimal 56 15" xfId="13565" xr:uid="{F61D39A6-0B06-4369-921A-1206ABE7645E}"/>
    <cellStyle name="Dezimal 56 15 2" xfId="33002" xr:uid="{FBEFCFFC-D14C-44AE-9EB6-A2398FA0FA25}"/>
    <cellStyle name="Dezimal 56 16" xfId="13566" xr:uid="{D03D8972-E99C-41CB-9A0D-DE48A280C8F0}"/>
    <cellStyle name="Dezimal 56 16 2" xfId="33003" xr:uid="{03FAE029-2CAE-4B16-A8F3-5C51CD5E7926}"/>
    <cellStyle name="Dezimal 56 17" xfId="13567" xr:uid="{1F8CD6BD-D31C-4D81-A0C3-2CE96C66D6EE}"/>
    <cellStyle name="Dezimal 56 17 2" xfId="33004" xr:uid="{D597B5FD-9610-4ABD-AF8F-BD7C55ACCA77}"/>
    <cellStyle name="Dezimal 56 18" xfId="13568" xr:uid="{48563510-EF32-4488-BEB2-F91F89C5CF86}"/>
    <cellStyle name="Dezimal 56 18 2" xfId="33005" xr:uid="{6CD82F03-EED6-4C61-9513-FC206051CC03}"/>
    <cellStyle name="Dezimal 56 19" xfId="13569" xr:uid="{A5F1D9B3-CD22-4CFE-A374-D0FEA96CDD41}"/>
    <cellStyle name="Dezimal 56 19 2" xfId="33006" xr:uid="{6ED551BA-3C62-4D46-988A-64B8722E3F92}"/>
    <cellStyle name="Dezimal 56 2" xfId="13570" xr:uid="{C51E1B70-D733-43CC-A871-768589AD963B}"/>
    <cellStyle name="Dezimal 56 2 2" xfId="13571" xr:uid="{610EA18F-F462-4ADC-A948-34BA508BD0DB}"/>
    <cellStyle name="Dezimal 56 2 2 2" xfId="33008" xr:uid="{1A44645E-BB8F-4914-ABC9-E243414E98F5}"/>
    <cellStyle name="Dezimal 56 2 3" xfId="33007" xr:uid="{4685161D-FCCC-4981-95F2-CE1BA329A1AE}"/>
    <cellStyle name="Dezimal 56 20" xfId="13572" xr:uid="{38C4283A-7C35-4212-8A98-441335EA75CA}"/>
    <cellStyle name="Dezimal 56 20 2" xfId="33009" xr:uid="{CDF3B5D8-F8ED-4E87-909B-50FD71086A05}"/>
    <cellStyle name="Dezimal 56 21" xfId="13573" xr:uid="{64BA751F-ED26-4693-9209-9D44F86E4F6C}"/>
    <cellStyle name="Dezimal 56 21 2" xfId="33010" xr:uid="{62C6F085-8F89-4E04-8F45-8A6701F4C91E}"/>
    <cellStyle name="Dezimal 56 22" xfId="13574" xr:uid="{99448E42-50D2-4900-81A6-B5B8D79F04EA}"/>
    <cellStyle name="Dezimal 56 22 2" xfId="33011" xr:uid="{46BF964E-BD57-461E-8AD6-8BB67C483808}"/>
    <cellStyle name="Dezimal 56 23" xfId="13575" xr:uid="{77BBC884-BBEC-45B5-8F1F-42C61552BA74}"/>
    <cellStyle name="Dezimal 56 23 2" xfId="33012" xr:uid="{185478D5-32AC-4A5C-B704-B4B1381CF833}"/>
    <cellStyle name="Dezimal 56 24" xfId="13576" xr:uid="{5F603BC1-B2F3-4C57-BA80-2BBC74030602}"/>
    <cellStyle name="Dezimal 56 24 2" xfId="33013" xr:uid="{85B5E33E-EFA1-45F8-82A2-7A10BAFE3330}"/>
    <cellStyle name="Dezimal 56 25" xfId="13577" xr:uid="{BBA3CE51-C783-4BA9-B101-6957E5D1E97A}"/>
    <cellStyle name="Dezimal 56 25 2" xfId="33014" xr:uid="{8B959ABC-998D-4CA2-BCCA-AF86CEF12842}"/>
    <cellStyle name="Dezimal 56 26" xfId="13578" xr:uid="{11A40B39-D6E4-443E-9C6E-313FA9549002}"/>
    <cellStyle name="Dezimal 56 26 2" xfId="33015" xr:uid="{DAC8D7E8-CCDC-4882-A1CD-626A6C7C20CC}"/>
    <cellStyle name="Dezimal 56 27" xfId="13579" xr:uid="{DE262DF1-40B2-4D70-AAC3-77B83ABE066D}"/>
    <cellStyle name="Dezimal 56 27 2" xfId="33016" xr:uid="{B58308A4-6072-47F4-AC90-DC15886D03C7}"/>
    <cellStyle name="Dezimal 56 28" xfId="13580" xr:uid="{07DC76EC-3591-4521-B982-7D2BED424FC1}"/>
    <cellStyle name="Dezimal 56 28 2" xfId="33017" xr:uid="{BB0EDCA6-A96A-4BAB-BB9A-150BDF0C43AE}"/>
    <cellStyle name="Dezimal 56 29" xfId="13581" xr:uid="{C2BCF9B0-72FF-4A8F-9BD0-A8C528868EA3}"/>
    <cellStyle name="Dezimal 56 29 2" xfId="33018" xr:uid="{6AD69266-E2F1-45E4-812C-FC6216F5B7B4}"/>
    <cellStyle name="Dezimal 56 3" xfId="13582" xr:uid="{9AD3726D-5897-4DBA-9077-C5CDEE31C753}"/>
    <cellStyle name="Dezimal 56 3 2" xfId="13583" xr:uid="{260A43BB-59DC-4872-8D94-A5082BDB737F}"/>
    <cellStyle name="Dezimal 56 3 2 2" xfId="33020" xr:uid="{8075DEE7-1E83-4AA7-B8F2-31CDE84FF446}"/>
    <cellStyle name="Dezimal 56 3 3" xfId="33019" xr:uid="{4F390433-8C4E-4E27-8062-B549F504E910}"/>
    <cellStyle name="Dezimal 56 30" xfId="13584" xr:uid="{CBE2E731-6E03-4572-AE63-15D3D2C0F22D}"/>
    <cellStyle name="Dezimal 56 30 2" xfId="33021" xr:uid="{034A0867-6B8D-4B98-8B32-8ACDE3442961}"/>
    <cellStyle name="Dezimal 56 31" xfId="13585" xr:uid="{8B12EF3E-134C-46CB-8395-223F7CD82E77}"/>
    <cellStyle name="Dezimal 56 31 2" xfId="33022" xr:uid="{370218C5-873C-4B59-A7B3-2D8675BFF895}"/>
    <cellStyle name="Dezimal 56 32" xfId="32995" xr:uid="{CF1BC3A6-3503-40AC-927C-7F883145B0C8}"/>
    <cellStyle name="Dezimal 56 4" xfId="13586" xr:uid="{B0B102D2-64D2-42CF-8922-E01EA053D61B}"/>
    <cellStyle name="Dezimal 56 4 2" xfId="13587" xr:uid="{99C6EAE0-0F54-49E4-AB46-59E59953F3DB}"/>
    <cellStyle name="Dezimal 56 4 2 2" xfId="33024" xr:uid="{381BB961-4A5D-4B59-98AD-35EBC8C7DA67}"/>
    <cellStyle name="Dezimal 56 4 3" xfId="33023" xr:uid="{9A967CC6-3FA4-4B34-984A-DE387BF96612}"/>
    <cellStyle name="Dezimal 56 5" xfId="13588" xr:uid="{C5AE8210-9421-495A-87A5-7CF1EC17EB06}"/>
    <cellStyle name="Dezimal 56 5 2" xfId="13589" xr:uid="{53983170-6032-49C7-BDB9-EB283A2E8CE2}"/>
    <cellStyle name="Dezimal 56 5 2 2" xfId="33026" xr:uid="{116B2A40-6BBA-4029-BD83-91A52D5C8CC8}"/>
    <cellStyle name="Dezimal 56 5 3" xfId="33025" xr:uid="{0BD2A747-4DD4-4775-BA28-4165056743FA}"/>
    <cellStyle name="Dezimal 56 6" xfId="13590" xr:uid="{677CEB3A-BBEF-490F-A6F1-D37BDE179F57}"/>
    <cellStyle name="Dezimal 56 6 2" xfId="13591" xr:uid="{AD66A0CF-96DA-4F19-89E1-25163AFF747E}"/>
    <cellStyle name="Dezimal 56 6 2 2" xfId="33028" xr:uid="{9ECD1791-FB43-4FD3-9A5B-D7E5931A60D6}"/>
    <cellStyle name="Dezimal 56 6 3" xfId="33027" xr:uid="{700F8D7F-E198-4297-900F-CA483F4DEA62}"/>
    <cellStyle name="Dezimal 56 7" xfId="13592" xr:uid="{FD52A5F9-EA2C-4F06-AD88-7AA25453B58E}"/>
    <cellStyle name="Dezimal 56 7 2" xfId="13593" xr:uid="{B3EC81D6-B5A5-49F8-A6A5-0B1780EA7617}"/>
    <cellStyle name="Dezimal 56 7 2 2" xfId="33030" xr:uid="{BF0E13B5-8542-475B-8478-2D25D7BF5C71}"/>
    <cellStyle name="Dezimal 56 7 3" xfId="33029" xr:uid="{0B7D60CE-91F2-406F-988B-47CA0A99F081}"/>
    <cellStyle name="Dezimal 56 8" xfId="13594" xr:uid="{2FD78E33-97DF-45BC-A2A5-9E399DDEEA36}"/>
    <cellStyle name="Dezimal 56 8 2" xfId="13595" xr:uid="{8D8CB26C-9178-4D86-8D3E-856FA551CFD4}"/>
    <cellStyle name="Dezimal 56 8 2 2" xfId="33032" xr:uid="{14160D47-F2A1-4E1C-93E1-397C48334354}"/>
    <cellStyle name="Dezimal 56 8 3" xfId="33031" xr:uid="{0003AD93-B53B-4737-81FC-D494ECD83040}"/>
    <cellStyle name="Dezimal 56 9" xfId="13596" xr:uid="{FD82FDC8-A11A-429E-B2C1-23D64788AC52}"/>
    <cellStyle name="Dezimal 56 9 2" xfId="13597" xr:uid="{E8270FDF-7DE2-4C0E-8396-19234F5D98FF}"/>
    <cellStyle name="Dezimal 56 9 2 2" xfId="33034" xr:uid="{E4EF21DB-490C-4119-A3DB-ECDC8B306BB6}"/>
    <cellStyle name="Dezimal 56 9 3" xfId="33033" xr:uid="{E4B79169-5124-49B3-9C8A-E0CD466F810C}"/>
    <cellStyle name="Dezimal 57" xfId="13598" xr:uid="{0DA83832-6797-4463-A6FA-61504006F84B}"/>
    <cellStyle name="Dezimal 57 10" xfId="13599" xr:uid="{5629A33C-E03E-4280-9DD1-A0718F887921}"/>
    <cellStyle name="Dezimal 57 10 2" xfId="13600" xr:uid="{38E76A81-49F5-4F43-8274-0F26753CE092}"/>
    <cellStyle name="Dezimal 57 10 2 2" xfId="33037" xr:uid="{A4DD5F31-EE61-4203-80ED-4C6BAE459994}"/>
    <cellStyle name="Dezimal 57 10 3" xfId="33036" xr:uid="{5CC4BEC4-08CC-4148-A4E8-0F29F15F836C}"/>
    <cellStyle name="Dezimal 57 11" xfId="13601" xr:uid="{64D8BF55-2DE1-4404-8E42-D5577A0173DB}"/>
    <cellStyle name="Dezimal 57 11 2" xfId="33038" xr:uid="{C69CCA4C-27F6-4870-97CC-F9B0F7C13EC7}"/>
    <cellStyle name="Dezimal 57 12" xfId="13602" xr:uid="{6E9C74BD-BD95-4E42-98E6-F491A9A25293}"/>
    <cellStyle name="Dezimal 57 12 2" xfId="33039" xr:uid="{24098BB1-80A2-4C97-A88B-0F1F080D9C8D}"/>
    <cellStyle name="Dezimal 57 13" xfId="13603" xr:uid="{6C5E8E14-9B24-4ED3-9006-AA9530205E74}"/>
    <cellStyle name="Dezimal 57 13 2" xfId="33040" xr:uid="{B4909C99-62C6-4EC0-A4B7-7A918D691888}"/>
    <cellStyle name="Dezimal 57 14" xfId="13604" xr:uid="{13A6FFFD-C253-4053-A246-32B686B9D7DF}"/>
    <cellStyle name="Dezimal 57 14 2" xfId="33041" xr:uid="{06068E35-1C83-47D3-8EFA-9E7B5CE11DB9}"/>
    <cellStyle name="Dezimal 57 15" xfId="13605" xr:uid="{88411BCC-3380-450F-A09C-223862375F6F}"/>
    <cellStyle name="Dezimal 57 15 2" xfId="33042" xr:uid="{53FEBDA0-CE2B-49DE-93D7-EC9E985B8983}"/>
    <cellStyle name="Dezimal 57 16" xfId="13606" xr:uid="{C2F395B6-2685-4A11-B6AF-B98834ED741D}"/>
    <cellStyle name="Dezimal 57 16 2" xfId="33043" xr:uid="{7FFB9BBF-C810-4EFC-8254-E66D08163167}"/>
    <cellStyle name="Dezimal 57 17" xfId="13607" xr:uid="{1D9530AB-15E2-4164-942C-C95406D9BC5D}"/>
    <cellStyle name="Dezimal 57 17 2" xfId="33044" xr:uid="{DC26A553-96B8-44B0-AFEA-49405072B4E0}"/>
    <cellStyle name="Dezimal 57 18" xfId="13608" xr:uid="{88400961-46A8-4092-88DD-1032FD72D936}"/>
    <cellStyle name="Dezimal 57 18 2" xfId="33045" xr:uid="{CC2B7849-8B8C-4D2D-BEBE-63B624204F2F}"/>
    <cellStyle name="Dezimal 57 19" xfId="13609" xr:uid="{B21394BF-2647-4883-9A4B-35640F179DA9}"/>
    <cellStyle name="Dezimal 57 19 2" xfId="33046" xr:uid="{0F26E872-AF24-4532-9273-12495805A2CF}"/>
    <cellStyle name="Dezimal 57 2" xfId="13610" xr:uid="{D0BB4932-8048-4AD7-95DE-CBAF3401C0CD}"/>
    <cellStyle name="Dezimal 57 2 2" xfId="13611" xr:uid="{23F5552A-0254-497C-A92D-401F8C93B128}"/>
    <cellStyle name="Dezimal 57 2 2 2" xfId="33048" xr:uid="{5146AC82-B818-4A0D-B563-873D8B0903D4}"/>
    <cellStyle name="Dezimal 57 2 3" xfId="33047" xr:uid="{AFDEA6D6-8866-46AC-B3D2-9320CA102DB1}"/>
    <cellStyle name="Dezimal 57 20" xfId="13612" xr:uid="{3E22315E-2970-4BC3-AA92-68E21751F94F}"/>
    <cellStyle name="Dezimal 57 20 2" xfId="33049" xr:uid="{B8E2F696-072B-4E70-B7FB-A9B368EFFD4D}"/>
    <cellStyle name="Dezimal 57 21" xfId="13613" xr:uid="{505C666D-C2F1-4041-962E-6E67648D24CF}"/>
    <cellStyle name="Dezimal 57 21 2" xfId="33050" xr:uid="{4E788CE8-DD64-44D8-9A94-1B817F64427B}"/>
    <cellStyle name="Dezimal 57 22" xfId="13614" xr:uid="{4B26EDA2-32D7-4B70-850F-386A63686A99}"/>
    <cellStyle name="Dezimal 57 22 2" xfId="33051" xr:uid="{8385B810-7AEA-4ACB-B5E0-B9675BB355DE}"/>
    <cellStyle name="Dezimal 57 23" xfId="13615" xr:uid="{9A3F084E-88B0-4D68-8777-415D43EBAFA9}"/>
    <cellStyle name="Dezimal 57 23 2" xfId="33052" xr:uid="{C5B6F272-9541-40DB-9442-2A9F4642B114}"/>
    <cellStyle name="Dezimal 57 24" xfId="13616" xr:uid="{16C3AA8A-8099-470D-8438-2FBB3B645F4B}"/>
    <cellStyle name="Dezimal 57 24 2" xfId="33053" xr:uid="{42A824A5-D90F-4502-B5B5-0EC96FEDA9E1}"/>
    <cellStyle name="Dezimal 57 25" xfId="13617" xr:uid="{ED304ED4-5B13-44D9-BB81-054A7C65A2DA}"/>
    <cellStyle name="Dezimal 57 25 2" xfId="33054" xr:uid="{0942D147-A814-48E1-AC05-D3546B3B82A0}"/>
    <cellStyle name="Dezimal 57 26" xfId="13618" xr:uid="{477801D6-7A4A-4941-94E5-96A0BEDC1A59}"/>
    <cellStyle name="Dezimal 57 26 2" xfId="33055" xr:uid="{C4168572-4EC8-49A0-B496-F3F88B1A1A9E}"/>
    <cellStyle name="Dezimal 57 27" xfId="13619" xr:uid="{DAC918BB-FCEF-4023-9C0E-7E0BBB4C15BB}"/>
    <cellStyle name="Dezimal 57 27 2" xfId="33056" xr:uid="{1DE1A62F-E3C2-48F6-81E6-E5F40DCF7C17}"/>
    <cellStyle name="Dezimal 57 28" xfId="13620" xr:uid="{9A962873-3170-4E19-AB88-D0D2A42E4292}"/>
    <cellStyle name="Dezimal 57 28 2" xfId="33057" xr:uid="{DA53C83A-430C-45A1-984C-6476926E548E}"/>
    <cellStyle name="Dezimal 57 29" xfId="13621" xr:uid="{2E5609AD-2DBB-41AC-84F6-56DE60C12B5D}"/>
    <cellStyle name="Dezimal 57 29 2" xfId="33058" xr:uid="{4083A1BC-223C-4114-8E57-A04685C9332F}"/>
    <cellStyle name="Dezimal 57 3" xfId="13622" xr:uid="{45AE7C42-11CB-49DB-BBA3-BA8C8360A945}"/>
    <cellStyle name="Dezimal 57 3 2" xfId="13623" xr:uid="{AC4062BB-7EF7-4FBA-A452-619E2198ACD3}"/>
    <cellStyle name="Dezimal 57 3 2 2" xfId="33060" xr:uid="{FD4389B9-F04E-429F-9439-83E1884F5CC7}"/>
    <cellStyle name="Dezimal 57 3 3" xfId="33059" xr:uid="{9711C920-C82D-4506-8324-54662E8B90C6}"/>
    <cellStyle name="Dezimal 57 30" xfId="13624" xr:uid="{FAC79347-DEFF-4C67-96D5-B945DA28EA79}"/>
    <cellStyle name="Dezimal 57 30 2" xfId="33061" xr:uid="{68219C28-3BAF-4522-8135-23E070212A39}"/>
    <cellStyle name="Dezimal 57 31" xfId="13625" xr:uid="{8DB512C9-E9DB-4AFF-9254-371673EA0245}"/>
    <cellStyle name="Dezimal 57 31 2" xfId="33062" xr:uid="{BD6FFE58-B5FB-4C73-8605-CAA61B3BF13E}"/>
    <cellStyle name="Dezimal 57 32" xfId="33035" xr:uid="{D0156293-F171-4FA3-BE51-14F0F387B9AA}"/>
    <cellStyle name="Dezimal 57 4" xfId="13626" xr:uid="{86E708B4-8669-471E-BB60-AD50E4737DA4}"/>
    <cellStyle name="Dezimal 57 4 2" xfId="13627" xr:uid="{7F95C2DD-3F94-44E5-AF12-D08D28E206DC}"/>
    <cellStyle name="Dezimal 57 4 2 2" xfId="33064" xr:uid="{73A3DC9B-95C1-47C3-9999-A9DF1CA195B3}"/>
    <cellStyle name="Dezimal 57 4 3" xfId="33063" xr:uid="{6EEB2099-8A38-4FD8-8C31-F0533D392AAE}"/>
    <cellStyle name="Dezimal 57 5" xfId="13628" xr:uid="{EBC9B067-71F3-4AE2-B0C2-3BBC9B46710E}"/>
    <cellStyle name="Dezimal 57 5 2" xfId="13629" xr:uid="{0F2812A0-CDA3-4E25-AB29-E3BC6ED62727}"/>
    <cellStyle name="Dezimal 57 5 2 2" xfId="33066" xr:uid="{9678065B-7870-43D1-B471-9D315301AE00}"/>
    <cellStyle name="Dezimal 57 5 3" xfId="33065" xr:uid="{3CE258D4-B471-4E48-B78B-1E6D4E3EBDD0}"/>
    <cellStyle name="Dezimal 57 6" xfId="13630" xr:uid="{D65BCBCE-E38D-476E-BE38-0DEE7643DE3C}"/>
    <cellStyle name="Dezimal 57 6 2" xfId="13631" xr:uid="{8A40D715-914B-443A-AE64-A1C22ED3D44E}"/>
    <cellStyle name="Dezimal 57 6 2 2" xfId="33068" xr:uid="{92E8E141-F569-4F4A-B973-E6AAF72FB2B8}"/>
    <cellStyle name="Dezimal 57 6 3" xfId="33067" xr:uid="{9FECE8C0-FD20-4069-8A3F-3A54AC9426FC}"/>
    <cellStyle name="Dezimal 57 7" xfId="13632" xr:uid="{50B6A4D8-98C0-49F9-9CEE-7A8D639ACDF7}"/>
    <cellStyle name="Dezimal 57 7 2" xfId="13633" xr:uid="{459BC1D0-692C-4EB9-8204-C41DB542EAA5}"/>
    <cellStyle name="Dezimal 57 7 2 2" xfId="33070" xr:uid="{61ABF673-1FED-4ACC-B3B0-149F5EF02D6A}"/>
    <cellStyle name="Dezimal 57 7 3" xfId="33069" xr:uid="{6E69B1CC-A497-4EA6-8E9E-765C64328555}"/>
    <cellStyle name="Dezimal 57 8" xfId="13634" xr:uid="{EA67A0EA-FC0A-42E7-A3D0-4469F8BCA89D}"/>
    <cellStyle name="Dezimal 57 8 2" xfId="13635" xr:uid="{55759C3C-EA24-4F6D-BC7A-29C8BD223AC5}"/>
    <cellStyle name="Dezimal 57 8 2 2" xfId="33072" xr:uid="{7621AE82-F976-428B-BC71-A18566F3CB59}"/>
    <cellStyle name="Dezimal 57 8 3" xfId="33071" xr:uid="{DBB423E9-88AF-45C9-BB96-8F91856DD56F}"/>
    <cellStyle name="Dezimal 57 9" xfId="13636" xr:uid="{A7466E5D-27EC-4E7C-B80B-E2420828DE36}"/>
    <cellStyle name="Dezimal 57 9 2" xfId="13637" xr:uid="{ECD45B01-0C52-4D79-9352-03157EFCC005}"/>
    <cellStyle name="Dezimal 57 9 2 2" xfId="33074" xr:uid="{1BEE1707-C6ED-4C27-8BAC-01F5BB9BD87E}"/>
    <cellStyle name="Dezimal 57 9 3" xfId="33073" xr:uid="{E992424A-9020-4A01-8C85-66AE979705AB}"/>
    <cellStyle name="Dezimal 58" xfId="13638" xr:uid="{D47B00A0-896F-4AF8-B5AD-1A96DC74B9DC}"/>
    <cellStyle name="Dezimal 58 10" xfId="13639" xr:uid="{0038A677-BD47-4CCD-A44D-9B68C8624830}"/>
    <cellStyle name="Dezimal 58 10 2" xfId="13640" xr:uid="{6203489A-8D42-4C1B-9E6E-E8862C13B220}"/>
    <cellStyle name="Dezimal 58 10 2 2" xfId="33077" xr:uid="{67FFBC98-1F35-491A-A2F9-FCFD352D33E9}"/>
    <cellStyle name="Dezimal 58 10 3" xfId="33076" xr:uid="{62426DE0-668B-4ABE-8B2D-F0D10D3E389F}"/>
    <cellStyle name="Dezimal 58 11" xfId="13641" xr:uid="{9FFEEB2D-157A-482B-935E-9CE67B0BBBC4}"/>
    <cellStyle name="Dezimal 58 11 2" xfId="33078" xr:uid="{75455655-89D9-4490-A8FE-7D5FFDBA8455}"/>
    <cellStyle name="Dezimal 58 12" xfId="13642" xr:uid="{7349F601-96EA-4161-809F-DAD512218585}"/>
    <cellStyle name="Dezimal 58 12 2" xfId="33079" xr:uid="{5ED14D7D-2738-4254-99E2-73F7B1F8DA90}"/>
    <cellStyle name="Dezimal 58 13" xfId="13643" xr:uid="{FC01FE90-B63B-4FD9-BE26-1ACC65044006}"/>
    <cellStyle name="Dezimal 58 13 2" xfId="33080" xr:uid="{9E0E3C3A-E4E0-4CD7-B99E-7AEF5CD8B013}"/>
    <cellStyle name="Dezimal 58 14" xfId="13644" xr:uid="{041A76B0-65B3-4555-AC4B-B81B2E49A1A4}"/>
    <cellStyle name="Dezimal 58 14 2" xfId="33081" xr:uid="{F6B1487D-4C45-482D-B26E-6512B8AA3F2A}"/>
    <cellStyle name="Dezimal 58 15" xfId="13645" xr:uid="{D3E035DE-72B7-4A46-B05A-E4A4669769CB}"/>
    <cellStyle name="Dezimal 58 15 2" xfId="33082" xr:uid="{3677BFD3-E835-46D5-881B-C0AA2CDDBEEE}"/>
    <cellStyle name="Dezimal 58 16" xfId="13646" xr:uid="{339FE881-7C67-4B2E-B0C0-38AB9EA17F13}"/>
    <cellStyle name="Dezimal 58 16 2" xfId="33083" xr:uid="{1CEC33C4-2120-4545-804B-0C9E8CC4D447}"/>
    <cellStyle name="Dezimal 58 17" xfId="13647" xr:uid="{E3F737F0-BD69-4106-8597-76FD424B6E20}"/>
    <cellStyle name="Dezimal 58 17 2" xfId="33084" xr:uid="{E97CB406-2411-4560-B39D-F387D08D85DA}"/>
    <cellStyle name="Dezimal 58 18" xfId="13648" xr:uid="{CBC2E582-6417-442F-AE56-0ABC49119308}"/>
    <cellStyle name="Dezimal 58 18 2" xfId="33085" xr:uid="{5047F120-9D94-48CF-A5CE-455C4AB15D89}"/>
    <cellStyle name="Dezimal 58 19" xfId="13649" xr:uid="{836BE58B-A817-4D3E-B7E1-71C7CF7D2D44}"/>
    <cellStyle name="Dezimal 58 19 2" xfId="33086" xr:uid="{1160B8B6-7782-4863-8B1B-0F0B9E0B5A09}"/>
    <cellStyle name="Dezimal 58 2" xfId="13650" xr:uid="{E1714FF0-C5B0-43EC-A341-AA5B95536A28}"/>
    <cellStyle name="Dezimal 58 2 2" xfId="13651" xr:uid="{26FF4AEB-5031-48C3-867C-506E8CA25CE3}"/>
    <cellStyle name="Dezimal 58 2 2 2" xfId="33088" xr:uid="{500F3FA0-1F12-42F8-A929-021C29978F0F}"/>
    <cellStyle name="Dezimal 58 2 3" xfId="33087" xr:uid="{1A07F492-35BA-4C49-B215-4512E71B789C}"/>
    <cellStyle name="Dezimal 58 20" xfId="13652" xr:uid="{785F8D91-128D-4E12-A0AA-3179A2A62BC0}"/>
    <cellStyle name="Dezimal 58 20 2" xfId="33089" xr:uid="{957B730F-5CE5-47AF-B582-11C81C6E7646}"/>
    <cellStyle name="Dezimal 58 21" xfId="13653" xr:uid="{70E7013D-C1EE-4611-8D43-FA37FDADD9E7}"/>
    <cellStyle name="Dezimal 58 21 2" xfId="33090" xr:uid="{EAC0685D-54E3-45A3-8AA8-5C4C20BC6A55}"/>
    <cellStyle name="Dezimal 58 22" xfId="13654" xr:uid="{47281A68-9665-4FA4-91C0-A87EC1460B45}"/>
    <cellStyle name="Dezimal 58 22 2" xfId="33091" xr:uid="{F52220D7-2307-4973-9FFF-902D8354F09E}"/>
    <cellStyle name="Dezimal 58 23" xfId="13655" xr:uid="{23C188C4-4F18-40C0-987D-762505798618}"/>
    <cellStyle name="Dezimal 58 23 2" xfId="33092" xr:uid="{D2708C53-3C8F-4BDF-9926-6C641273AAD9}"/>
    <cellStyle name="Dezimal 58 24" xfId="13656" xr:uid="{CCC6387F-906B-4182-955C-6F9AEBD63968}"/>
    <cellStyle name="Dezimal 58 24 2" xfId="33093" xr:uid="{11666F04-CBF3-4A72-AF44-A2F5521C0547}"/>
    <cellStyle name="Dezimal 58 25" xfId="13657" xr:uid="{CE1AEE25-98D7-49ED-B886-6B0370F1FC0B}"/>
    <cellStyle name="Dezimal 58 25 2" xfId="33094" xr:uid="{2E630998-3729-4FF0-B6BD-2F67FF810497}"/>
    <cellStyle name="Dezimal 58 26" xfId="13658" xr:uid="{0C04F5AE-CE68-46A5-BC8A-CB7FAB107525}"/>
    <cellStyle name="Dezimal 58 26 2" xfId="33095" xr:uid="{DC4D7C66-70D9-4664-BE66-F16819ECA9CD}"/>
    <cellStyle name="Dezimal 58 27" xfId="13659" xr:uid="{1A40CDD7-67DF-4C9A-B2B9-69A0EE27087F}"/>
    <cellStyle name="Dezimal 58 27 2" xfId="33096" xr:uid="{39DABFE3-87F9-4F1E-B66C-48087DB63DA3}"/>
    <cellStyle name="Dezimal 58 28" xfId="13660" xr:uid="{03EF466C-FAD7-4518-99DD-CF355E70A59B}"/>
    <cellStyle name="Dezimal 58 28 2" xfId="33097" xr:uid="{9F3BED8C-8501-4A15-88A6-69980729EAF6}"/>
    <cellStyle name="Dezimal 58 29" xfId="13661" xr:uid="{3B9DFEDF-4E90-46FF-B8D5-01BCC1FD3C20}"/>
    <cellStyle name="Dezimal 58 29 2" xfId="33098" xr:uid="{1D330272-1520-4552-8477-E1EB121003A7}"/>
    <cellStyle name="Dezimal 58 3" xfId="13662" xr:uid="{3C888599-F89E-4526-B88E-985BBA90A23A}"/>
    <cellStyle name="Dezimal 58 3 2" xfId="13663" xr:uid="{513574A3-3559-49CB-9635-B399DF1363C6}"/>
    <cellStyle name="Dezimal 58 3 2 2" xfId="33100" xr:uid="{9E9C58F1-44A8-4831-8280-38C41F168E1E}"/>
    <cellStyle name="Dezimal 58 3 3" xfId="33099" xr:uid="{E012CDDA-5532-4566-8252-290289232F30}"/>
    <cellStyle name="Dezimal 58 30" xfId="13664" xr:uid="{6946A08A-689E-419E-BC84-DCEA3A3CAF5A}"/>
    <cellStyle name="Dezimal 58 30 2" xfId="33101" xr:uid="{481FC162-46CC-4A83-A8C8-CF0F8BC5C181}"/>
    <cellStyle name="Dezimal 58 31" xfId="13665" xr:uid="{A8E37E4D-9D9D-4E7C-BA5B-4DC70F4985F7}"/>
    <cellStyle name="Dezimal 58 31 2" xfId="33102" xr:uid="{7E4133FA-6296-47EA-B95A-F423988F1377}"/>
    <cellStyle name="Dezimal 58 32" xfId="33075" xr:uid="{E4BB17A2-6BFD-48D3-A71A-5DB3558A448F}"/>
    <cellStyle name="Dezimal 58 4" xfId="13666" xr:uid="{C15E9811-689D-494D-B0E0-5727AEB35D4E}"/>
    <cellStyle name="Dezimal 58 4 2" xfId="13667" xr:uid="{A77E85BA-E745-45ED-B8E6-B630D11F7B6F}"/>
    <cellStyle name="Dezimal 58 4 2 2" xfId="33104" xr:uid="{48DC7C6D-96A1-420E-8031-357248E1E0C5}"/>
    <cellStyle name="Dezimal 58 4 3" xfId="33103" xr:uid="{A32853EA-C959-4B09-B9DC-16765F056A72}"/>
    <cellStyle name="Dezimal 58 5" xfId="13668" xr:uid="{B2310C8F-7797-415F-970D-D5860B2C0767}"/>
    <cellStyle name="Dezimal 58 5 2" xfId="13669" xr:uid="{1D2D4CE1-D85A-4EA2-8107-CBD321B8630D}"/>
    <cellStyle name="Dezimal 58 5 2 2" xfId="33106" xr:uid="{4E8B2C66-0449-4C79-A975-DFF1DB810EFB}"/>
    <cellStyle name="Dezimal 58 5 3" xfId="33105" xr:uid="{8EFA52E5-F0D7-4D63-835F-06BAF10893DB}"/>
    <cellStyle name="Dezimal 58 6" xfId="13670" xr:uid="{6AC2549C-1D8E-47F9-B177-C14E303D1EAE}"/>
    <cellStyle name="Dezimal 58 6 2" xfId="13671" xr:uid="{1E7FD578-2B03-4EA1-B887-BE07E9119D3F}"/>
    <cellStyle name="Dezimal 58 6 2 2" xfId="33108" xr:uid="{66BD023E-CBBE-4208-9D1E-FC156A403471}"/>
    <cellStyle name="Dezimal 58 6 3" xfId="33107" xr:uid="{0131F4E8-A601-4D11-ADA3-743DD9116B64}"/>
    <cellStyle name="Dezimal 58 7" xfId="13672" xr:uid="{7ABD3D26-8485-4216-96AE-2442A1A16E39}"/>
    <cellStyle name="Dezimal 58 7 2" xfId="13673" xr:uid="{FAA5D6AA-3451-457A-88C3-37CC7C95820D}"/>
    <cellStyle name="Dezimal 58 7 2 2" xfId="33110" xr:uid="{23DA98A4-2EA9-4B40-9E4D-6A9A0E96FEB6}"/>
    <cellStyle name="Dezimal 58 7 3" xfId="33109" xr:uid="{841AF47D-9919-4183-A3C6-1949E537251F}"/>
    <cellStyle name="Dezimal 58 8" xfId="13674" xr:uid="{E367EB29-06D2-4A45-B1F2-478500EF6D76}"/>
    <cellStyle name="Dezimal 58 8 2" xfId="13675" xr:uid="{4F7BC894-A352-42C2-9E29-24FF34694D7C}"/>
    <cellStyle name="Dezimal 58 8 2 2" xfId="33112" xr:uid="{9CBD30C6-CEAE-425C-AC6E-BBB7565783A9}"/>
    <cellStyle name="Dezimal 58 8 3" xfId="33111" xr:uid="{7954DABE-FD8A-4A08-BD31-C3F87E40186C}"/>
    <cellStyle name="Dezimal 58 9" xfId="13676" xr:uid="{B414FBAB-7B21-4FD9-BAC4-B3B0C8F3EE56}"/>
    <cellStyle name="Dezimal 58 9 2" xfId="13677" xr:uid="{E4DD421A-1B6C-4941-A8C9-503BB03E801A}"/>
    <cellStyle name="Dezimal 58 9 2 2" xfId="33114" xr:uid="{6FCFCE91-34A4-4485-A9A1-34A0A1B2CC6D}"/>
    <cellStyle name="Dezimal 58 9 3" xfId="33113" xr:uid="{92EBABF6-C309-4E98-AC66-B7A03784F2CB}"/>
    <cellStyle name="Dezimal 59" xfId="13678" xr:uid="{B7C5709B-ED6A-46F8-9771-46676328D419}"/>
    <cellStyle name="Dezimal 59 10" xfId="13679" xr:uid="{EAD497B7-4586-492E-967B-8A41EE812E2D}"/>
    <cellStyle name="Dezimal 59 10 2" xfId="13680" xr:uid="{994264ED-303F-4CBE-8142-062014274874}"/>
    <cellStyle name="Dezimal 59 10 2 2" xfId="33117" xr:uid="{52DD808A-6AAD-42E8-9DD5-C72331ACBEE7}"/>
    <cellStyle name="Dezimal 59 10 3" xfId="33116" xr:uid="{588CB7B8-EC7F-4779-AA69-420C42F62360}"/>
    <cellStyle name="Dezimal 59 11" xfId="13681" xr:uid="{BA63D8F3-924E-40D8-9B23-CF683F4BB322}"/>
    <cellStyle name="Dezimal 59 11 2" xfId="33118" xr:uid="{A62B67E9-FE36-4815-96E1-4490A96F9CA8}"/>
    <cellStyle name="Dezimal 59 12" xfId="13682" xr:uid="{5187641B-B6A1-4903-B64B-6B2311CA7AE7}"/>
    <cellStyle name="Dezimal 59 12 2" xfId="33119" xr:uid="{A50925EB-BD29-4FC0-A724-16B746979ACF}"/>
    <cellStyle name="Dezimal 59 13" xfId="13683" xr:uid="{DC9BE9BE-1146-49F6-82C3-39BD8A0B7869}"/>
    <cellStyle name="Dezimal 59 13 2" xfId="33120" xr:uid="{13F1EBB9-12DC-4619-9EE4-B3DB641858D1}"/>
    <cellStyle name="Dezimal 59 14" xfId="13684" xr:uid="{9161D2BD-5FEB-42C0-8CEF-57C4C6629D85}"/>
    <cellStyle name="Dezimal 59 14 2" xfId="33121" xr:uid="{B4C82BB5-0C3C-4372-BBEC-033B40478CFD}"/>
    <cellStyle name="Dezimal 59 15" xfId="13685" xr:uid="{719E0C5A-E5DE-4234-A76B-E0CF49E461C8}"/>
    <cellStyle name="Dezimal 59 15 2" xfId="33122" xr:uid="{85764F0F-D255-4D7C-98B2-54790A76216B}"/>
    <cellStyle name="Dezimal 59 16" xfId="13686" xr:uid="{4ECCBECE-33E2-48B2-98DB-162F47FE0E6A}"/>
    <cellStyle name="Dezimal 59 16 2" xfId="33123" xr:uid="{04446B0F-07F9-492B-85CC-F9BD66277169}"/>
    <cellStyle name="Dezimal 59 17" xfId="13687" xr:uid="{C55DB12B-DD48-4B70-8996-CEE5CD67E14B}"/>
    <cellStyle name="Dezimal 59 17 2" xfId="33124" xr:uid="{F37B4831-B859-464A-AD7B-2627AB0AAA9B}"/>
    <cellStyle name="Dezimal 59 18" xfId="13688" xr:uid="{BBE32E2C-F71D-42B0-9F4D-1DBE85FCEA85}"/>
    <cellStyle name="Dezimal 59 18 2" xfId="33125" xr:uid="{227051C6-F316-4315-848A-A57081731880}"/>
    <cellStyle name="Dezimal 59 19" xfId="13689" xr:uid="{3BE44D13-396D-4DB8-8A7F-F4EED57ADFAA}"/>
    <cellStyle name="Dezimal 59 19 2" xfId="33126" xr:uid="{F8485CC2-6A84-4FD8-8CA5-89B6C9276AA4}"/>
    <cellStyle name="Dezimal 59 2" xfId="13690" xr:uid="{4F2D9015-8A42-4D6F-9D14-63CDE35DD8DE}"/>
    <cellStyle name="Dezimal 59 2 2" xfId="13691" xr:uid="{F317CF9C-0C3F-407B-AA05-8483B772E2E4}"/>
    <cellStyle name="Dezimal 59 2 2 2" xfId="33128" xr:uid="{48470637-0BFA-4DD4-AA79-4853A33C2140}"/>
    <cellStyle name="Dezimal 59 2 3" xfId="33127" xr:uid="{7D478830-35C5-4688-82FF-B5839FF64165}"/>
    <cellStyle name="Dezimal 59 20" xfId="13692" xr:uid="{00A5007B-175C-454D-BE92-6F7FB78E9C26}"/>
    <cellStyle name="Dezimal 59 20 2" xfId="33129" xr:uid="{37AED71B-77B4-4A94-B28D-3D0DDABCC8C9}"/>
    <cellStyle name="Dezimal 59 21" xfId="13693" xr:uid="{8D95838F-2A78-408F-BDCB-113FAE2D6C39}"/>
    <cellStyle name="Dezimal 59 21 2" xfId="33130" xr:uid="{0ECDFE3D-8C1C-4756-A4FC-2EC736B7E52A}"/>
    <cellStyle name="Dezimal 59 22" xfId="13694" xr:uid="{772344D8-BFC3-4FA0-931B-02544C2632ED}"/>
    <cellStyle name="Dezimal 59 22 2" xfId="33131" xr:uid="{DE98DC54-87CA-4F51-9D07-5C7C0294D405}"/>
    <cellStyle name="Dezimal 59 23" xfId="13695" xr:uid="{4E01F816-D8EA-4BFD-ABE1-AA7A402736BE}"/>
    <cellStyle name="Dezimal 59 23 2" xfId="33132" xr:uid="{23E4A328-919C-4F45-8941-543671A21381}"/>
    <cellStyle name="Dezimal 59 24" xfId="13696" xr:uid="{22436C0A-5EC7-4013-8C1F-814ABFD86DB4}"/>
    <cellStyle name="Dezimal 59 24 2" xfId="33133" xr:uid="{2D4ED15F-056D-44A6-A8BF-F403DA3F8990}"/>
    <cellStyle name="Dezimal 59 25" xfId="13697" xr:uid="{F2AC75C9-B15A-4824-AB56-D541A40E5871}"/>
    <cellStyle name="Dezimal 59 25 2" xfId="33134" xr:uid="{CED06D74-6B67-4E7B-983A-6A71BC1BC748}"/>
    <cellStyle name="Dezimal 59 26" xfId="13698" xr:uid="{8AB9D888-67FE-4B9F-9593-62E59E6F91AC}"/>
    <cellStyle name="Dezimal 59 26 2" xfId="33135" xr:uid="{B96EDF7B-5E5D-4A7C-AF0B-7580DBD8386C}"/>
    <cellStyle name="Dezimal 59 27" xfId="13699" xr:uid="{1D4552DC-B013-46B9-BF4C-BF8A52A91B88}"/>
    <cellStyle name="Dezimal 59 27 2" xfId="33136" xr:uid="{9754D569-D2BB-4930-913B-D78F8EBA46FD}"/>
    <cellStyle name="Dezimal 59 28" xfId="13700" xr:uid="{13624E5D-817F-464B-845B-24D98686C9C3}"/>
    <cellStyle name="Dezimal 59 28 2" xfId="33137" xr:uid="{DD8ECF8A-B2C7-42ED-9310-2BB8D8FB0399}"/>
    <cellStyle name="Dezimal 59 29" xfId="13701" xr:uid="{19410964-D2DD-4772-B58F-33A681B25AAD}"/>
    <cellStyle name="Dezimal 59 29 2" xfId="33138" xr:uid="{2B8314C2-C636-4508-A0AC-7BFF416469EA}"/>
    <cellStyle name="Dezimal 59 3" xfId="13702" xr:uid="{487CF152-A8B7-4AB6-9926-D5BD486C4129}"/>
    <cellStyle name="Dezimal 59 3 2" xfId="13703" xr:uid="{94491C23-31CB-4000-B15A-D3D3715A92C4}"/>
    <cellStyle name="Dezimal 59 3 2 2" xfId="33140" xr:uid="{8FF359E8-C41B-412B-A77B-3ECE46BD7D37}"/>
    <cellStyle name="Dezimal 59 3 3" xfId="33139" xr:uid="{24AC6D39-3923-48FC-A913-BA9F8D0BFC64}"/>
    <cellStyle name="Dezimal 59 30" xfId="13704" xr:uid="{3EDEB5F9-4060-4841-A4E6-9E86D8455AD9}"/>
    <cellStyle name="Dezimal 59 30 2" xfId="33141" xr:uid="{EB4CAD1B-93A9-4272-8AB1-21654F07CF52}"/>
    <cellStyle name="Dezimal 59 31" xfId="13705" xr:uid="{927CEB6E-90F5-465E-B499-3DF3A9FD7A2E}"/>
    <cellStyle name="Dezimal 59 31 2" xfId="33142" xr:uid="{9799C8C7-FB1B-41F7-B68A-C35BE993A97D}"/>
    <cellStyle name="Dezimal 59 32" xfId="33115" xr:uid="{4D15559A-0665-4702-B725-7542D511112D}"/>
    <cellStyle name="Dezimal 59 4" xfId="13706" xr:uid="{4BC8A584-CCF1-4F06-8B53-B9C40214D873}"/>
    <cellStyle name="Dezimal 59 4 2" xfId="13707" xr:uid="{58DEBBF5-8FE1-4D83-8DF4-E110F40507E9}"/>
    <cellStyle name="Dezimal 59 4 2 2" xfId="33144" xr:uid="{181428E5-BF87-4708-9811-07C680DF490F}"/>
    <cellStyle name="Dezimal 59 4 3" xfId="33143" xr:uid="{DD3306A8-3A3A-495D-A25D-9A24EAC624D1}"/>
    <cellStyle name="Dezimal 59 5" xfId="13708" xr:uid="{F95FDBBC-C561-4CFC-9555-72FA02638C59}"/>
    <cellStyle name="Dezimal 59 5 2" xfId="13709" xr:uid="{96440CAC-0D0A-4665-9098-4D8DEFCCE622}"/>
    <cellStyle name="Dezimal 59 5 2 2" xfId="33146" xr:uid="{BFF61BDE-33F1-4F8D-922F-4865ED52C4D2}"/>
    <cellStyle name="Dezimal 59 5 3" xfId="33145" xr:uid="{F85D7BF7-7CD2-4869-A651-B59439584FDC}"/>
    <cellStyle name="Dezimal 59 6" xfId="13710" xr:uid="{7A8596C7-11B6-4EDC-9145-8FDBB6129502}"/>
    <cellStyle name="Dezimal 59 6 2" xfId="13711" xr:uid="{7C93B466-D84B-4DB7-9DA6-978E459F60C0}"/>
    <cellStyle name="Dezimal 59 6 2 2" xfId="33148" xr:uid="{D5477C91-2142-4537-9E35-2D2720E0655C}"/>
    <cellStyle name="Dezimal 59 6 3" xfId="33147" xr:uid="{EDFA6438-733C-4A99-B5A4-1A9F722D944C}"/>
    <cellStyle name="Dezimal 59 7" xfId="13712" xr:uid="{DBF3BE7F-F06A-4D34-95AA-1ECD45CDD32B}"/>
    <cellStyle name="Dezimal 59 7 2" xfId="13713" xr:uid="{027F56BD-EB65-4FCE-87EA-418BEEBB0BC9}"/>
    <cellStyle name="Dezimal 59 7 2 2" xfId="33150" xr:uid="{8E0F4F70-3FDF-41DB-9FB9-9EF4B32349AD}"/>
    <cellStyle name="Dezimal 59 7 3" xfId="33149" xr:uid="{42CA525C-8ACA-4936-BC70-E320373AE8B1}"/>
    <cellStyle name="Dezimal 59 8" xfId="13714" xr:uid="{7DD390D5-6299-4B5F-B64B-511D435D8185}"/>
    <cellStyle name="Dezimal 59 8 2" xfId="13715" xr:uid="{B8D7A5DB-5004-47D4-A046-D372E344D143}"/>
    <cellStyle name="Dezimal 59 8 2 2" xfId="33152" xr:uid="{7D91CBD4-7051-4844-A0F1-8F222E3C0EAF}"/>
    <cellStyle name="Dezimal 59 8 3" xfId="33151" xr:uid="{DE9A12B9-0EDB-4BA0-9E81-534F28283462}"/>
    <cellStyle name="Dezimal 59 9" xfId="13716" xr:uid="{06C44005-EC38-4B54-93BF-8A45F6B1D413}"/>
    <cellStyle name="Dezimal 59 9 2" xfId="13717" xr:uid="{6744756E-BD1B-4D87-BA12-3830BC07A300}"/>
    <cellStyle name="Dezimal 59 9 2 2" xfId="33154" xr:uid="{D8374830-62F4-4C9D-974A-317345542C29}"/>
    <cellStyle name="Dezimal 59 9 3" xfId="33153" xr:uid="{6D54AC46-BB3B-4372-9EBC-BA5F3BCE79C9}"/>
    <cellStyle name="Dezimal 6" xfId="13718" xr:uid="{891AE590-4398-4B85-A033-5104C62AF39C}"/>
    <cellStyle name="Dezimal 6 10" xfId="13719" xr:uid="{CB5BB449-3F75-4148-9533-595340EA5B05}"/>
    <cellStyle name="Dezimal 6 10 2" xfId="13720" xr:uid="{9F4A56E6-F6B3-40F4-B3FC-8063E9C4CCFF}"/>
    <cellStyle name="Dezimal 6 10 2 2" xfId="33157" xr:uid="{C320049E-1F9D-4352-87DC-0BAC40958D2D}"/>
    <cellStyle name="Dezimal 6 10 3" xfId="33156" xr:uid="{07FE73DB-BDB6-4FD6-BEB7-526F62702A3D}"/>
    <cellStyle name="Dezimal 6 11" xfId="13721" xr:uid="{BA73B0C0-7E13-471D-B80F-6CA12133E433}"/>
    <cellStyle name="Dezimal 6 11 2" xfId="13722" xr:uid="{7AA0DDE2-9E4A-46E9-8379-6C17DD5ADCA3}"/>
    <cellStyle name="Dezimal 6 11 2 2" xfId="33159" xr:uid="{8E4CDC87-74F2-42BB-A504-499671B0689D}"/>
    <cellStyle name="Dezimal 6 11 3" xfId="33158" xr:uid="{CF24A23C-9113-4F93-AB71-1928F6A9241B}"/>
    <cellStyle name="Dezimal 6 12" xfId="13723" xr:uid="{22925AFA-5ABC-4DF3-AF35-64A8ECB0BF81}"/>
    <cellStyle name="Dezimal 6 12 2" xfId="13724" xr:uid="{EDBF0C64-6F73-4BBB-8EEF-65FB8D4B3234}"/>
    <cellStyle name="Dezimal 6 12 2 2" xfId="33161" xr:uid="{9B88E2D5-7BFF-45A5-93E4-05CAAB0083AB}"/>
    <cellStyle name="Dezimal 6 12 3" xfId="33160" xr:uid="{826546E0-70B9-4999-98A3-D6ADC3940909}"/>
    <cellStyle name="Dezimal 6 13" xfId="13725" xr:uid="{4EE69B07-EC54-49A5-B3A0-7EC6B4E170FF}"/>
    <cellStyle name="Dezimal 6 13 2" xfId="13726" xr:uid="{B294E589-6700-4D09-8508-F3B252230C65}"/>
    <cellStyle name="Dezimal 6 13 2 2" xfId="33163" xr:uid="{A576121C-8EDC-4F1A-AFEB-44D929D9C064}"/>
    <cellStyle name="Dezimal 6 13 3" xfId="33162" xr:uid="{62AFD48E-503E-4D8F-B080-088B72A318E9}"/>
    <cellStyle name="Dezimal 6 14" xfId="13727" xr:uid="{FB27B83C-3F64-41FF-ADEB-0A1063F0D977}"/>
    <cellStyle name="Dezimal 6 14 2" xfId="13728" xr:uid="{B968996D-47D6-4DCA-96F5-16EE00187876}"/>
    <cellStyle name="Dezimal 6 14 2 2" xfId="33165" xr:uid="{AD9401C6-FDE4-458E-B590-3CADE23AD283}"/>
    <cellStyle name="Dezimal 6 14 3" xfId="33164" xr:uid="{9F4C45B4-F26D-4F77-B137-B27D9697665A}"/>
    <cellStyle name="Dezimal 6 15" xfId="13729" xr:uid="{F780EF6D-2C0A-4E8D-8D97-F1830FF76187}"/>
    <cellStyle name="Dezimal 6 15 2" xfId="13730" xr:uid="{F5AF34B8-93DC-4E8E-9934-D246FA2179CB}"/>
    <cellStyle name="Dezimal 6 15 2 2" xfId="33167" xr:uid="{2FAB7A14-B1F6-4168-8773-D5198AE1BEBD}"/>
    <cellStyle name="Dezimal 6 15 3" xfId="33166" xr:uid="{BECF9FB9-047A-4932-B44F-5A3573C346FE}"/>
    <cellStyle name="Dezimal 6 16" xfId="13731" xr:uid="{69A0E49F-662C-44CB-9739-12C0EBCBA3ED}"/>
    <cellStyle name="Dezimal 6 16 2" xfId="13732" xr:uid="{CFB03BF7-0AC6-4509-91DF-01045876FAE9}"/>
    <cellStyle name="Dezimal 6 16 2 2" xfId="33169" xr:uid="{91FF0F05-B4A2-4938-B1E9-CFEF7F85DC54}"/>
    <cellStyle name="Dezimal 6 16 3" xfId="33168" xr:uid="{2206D611-19F5-431F-B5DB-9F917981ECF8}"/>
    <cellStyle name="Dezimal 6 17" xfId="13733" xr:uid="{491B46FF-33D1-4E9B-9B94-44F2D5F4D3A0}"/>
    <cellStyle name="Dezimal 6 17 2" xfId="13734" xr:uid="{6376CA5D-12F3-4F06-B70F-8CEA729B1BD5}"/>
    <cellStyle name="Dezimal 6 17 2 2" xfId="33171" xr:uid="{B7F772B0-4BE8-4271-A9DA-BD6D38C551C0}"/>
    <cellStyle name="Dezimal 6 17 3" xfId="33170" xr:uid="{003591C1-C7EA-4E84-A8AF-4DD67A3238D2}"/>
    <cellStyle name="Dezimal 6 18" xfId="13735" xr:uid="{48FBBE4A-B981-4EEF-803B-01835CC1C0F0}"/>
    <cellStyle name="Dezimal 6 18 2" xfId="13736" xr:uid="{C735DFD6-C283-4E2F-8E67-25E0B703019D}"/>
    <cellStyle name="Dezimal 6 18 2 2" xfId="33173" xr:uid="{93BE626C-9660-4CB3-B062-62E1CAC2CB1F}"/>
    <cellStyle name="Dezimal 6 18 3" xfId="33172" xr:uid="{8F2D5159-4258-4D6B-914D-5404978BB36E}"/>
    <cellStyle name="Dezimal 6 19" xfId="13737" xr:uid="{E2FD768F-5374-4667-823F-452641106FE7}"/>
    <cellStyle name="Dezimal 6 19 2" xfId="13738" xr:uid="{C3994281-6DD1-49B3-B716-5992D4B005D3}"/>
    <cellStyle name="Dezimal 6 19 2 2" xfId="33175" xr:uid="{0197A638-DCAA-47C5-9FAF-CC1EE355D358}"/>
    <cellStyle name="Dezimal 6 19 3" xfId="33174" xr:uid="{D3DE526C-0619-438C-855D-BE70824D6465}"/>
    <cellStyle name="Dezimal 6 2" xfId="13739" xr:uid="{76861D5B-6F65-4B1F-AA9E-A307FD5618E5}"/>
    <cellStyle name="Dezimal 6 2 2" xfId="13740" xr:uid="{6D366BF7-1043-4CEC-AF30-AB4525D82263}"/>
    <cellStyle name="Dezimal 6 2 2 2" xfId="33177" xr:uid="{BE120686-5249-43D1-B678-46F6A80523DB}"/>
    <cellStyle name="Dezimal 6 2 3" xfId="33176" xr:uid="{1C12B3B4-6AE5-45E3-BE42-C77AFA19A2B6}"/>
    <cellStyle name="Dezimal 6 2 4" xfId="42153" xr:uid="{53861391-B70A-4C33-BDF8-024A7AD8F834}"/>
    <cellStyle name="Dezimal 6 20" xfId="13741" xr:uid="{AC6675D0-8E04-49C9-B989-00BC4C4F9E86}"/>
    <cellStyle name="Dezimal 6 20 2" xfId="13742" xr:uid="{18636F87-FBAA-4135-A146-2D8EA62DD2A4}"/>
    <cellStyle name="Dezimal 6 20 2 2" xfId="33179" xr:uid="{72E40A77-AC19-47DA-ADDA-3292381ED2B7}"/>
    <cellStyle name="Dezimal 6 20 3" xfId="33178" xr:uid="{7D93441E-DE0C-48CA-B207-BC0D3DC54BAC}"/>
    <cellStyle name="Dezimal 6 21" xfId="13743" xr:uid="{943B60FA-2CCB-4BD6-8A89-8762D682ACC7}"/>
    <cellStyle name="Dezimal 6 21 2" xfId="13744" xr:uid="{49509B9F-71DA-4EDF-A90D-C8CB01EE478D}"/>
    <cellStyle name="Dezimal 6 21 2 2" xfId="33181" xr:uid="{1FA456FD-C1E5-46CE-8B99-E46A14698C4B}"/>
    <cellStyle name="Dezimal 6 21 3" xfId="33180" xr:uid="{F0A973F6-C482-4A3F-AA17-3E8789BC8E6F}"/>
    <cellStyle name="Dezimal 6 22" xfId="13745" xr:uid="{41EEE5A6-6A49-4C42-A665-8F2BF6E5B74E}"/>
    <cellStyle name="Dezimal 6 22 2" xfId="13746" xr:uid="{9BCFF6D5-ED9B-4419-865F-A616720BE6C1}"/>
    <cellStyle name="Dezimal 6 22 2 2" xfId="33183" xr:uid="{4906259A-C1A5-4B5C-A80E-6F52D63A09B0}"/>
    <cellStyle name="Dezimal 6 22 3" xfId="33182" xr:uid="{47D44DB8-F528-47F4-88CD-619C48CDC056}"/>
    <cellStyle name="Dezimal 6 23" xfId="13747" xr:uid="{391B1333-6856-472B-8E10-4E0AA37CEA5C}"/>
    <cellStyle name="Dezimal 6 23 2" xfId="13748" xr:uid="{ABDFC1E0-C74B-4012-84AE-0B00156204E4}"/>
    <cellStyle name="Dezimal 6 23 2 2" xfId="33185" xr:uid="{07D0484B-43AD-4B24-B1A3-3A36EEB0BA75}"/>
    <cellStyle name="Dezimal 6 23 3" xfId="33184" xr:uid="{73675584-7CB1-49A1-8095-8C4C1BF79EBA}"/>
    <cellStyle name="Dezimal 6 24" xfId="13749" xr:uid="{DCDD2DAA-6DBF-4C84-A850-B60A2D394A98}"/>
    <cellStyle name="Dezimal 6 24 2" xfId="13750" xr:uid="{93482227-CC08-4E16-BE1F-1F68BD75DFDE}"/>
    <cellStyle name="Dezimal 6 24 2 2" xfId="33187" xr:uid="{A451E619-A50B-4CB9-8F38-64B9CED336B8}"/>
    <cellStyle name="Dezimal 6 24 3" xfId="33186" xr:uid="{7E1F20C1-5F4A-4800-89D2-4CEE867A77E4}"/>
    <cellStyle name="Dezimal 6 25" xfId="13751" xr:uid="{2D04C63F-03EE-4BFB-AEC6-ABA7CCB056CB}"/>
    <cellStyle name="Dezimal 6 25 2" xfId="13752" xr:uid="{947A8B33-D568-4779-8B26-C1682158C343}"/>
    <cellStyle name="Dezimal 6 25 2 2" xfId="33189" xr:uid="{BEEBA92E-32C1-45B8-A1C4-31C3EF4EE7AD}"/>
    <cellStyle name="Dezimal 6 25 3" xfId="33188" xr:uid="{9C054EB9-2330-4D95-A8A7-252009E13F0C}"/>
    <cellStyle name="Dezimal 6 26" xfId="13753" xr:uid="{24B0829E-9714-4E78-AB3C-0E00CBE205DD}"/>
    <cellStyle name="Dezimal 6 26 2" xfId="13754" xr:uid="{B5635FC8-DE64-43A4-B18A-F0556D6CECBD}"/>
    <cellStyle name="Dezimal 6 26 2 2" xfId="33191" xr:uid="{73E91AF1-0D3D-46ED-9464-878F796CF82A}"/>
    <cellStyle name="Dezimal 6 26 3" xfId="33190" xr:uid="{7357B89E-3253-4185-A254-1784F89A5A0A}"/>
    <cellStyle name="Dezimal 6 27" xfId="13755" xr:uid="{D9D97484-BA28-4BCE-A6AB-D7FC5DDF4712}"/>
    <cellStyle name="Dezimal 6 27 2" xfId="13756" xr:uid="{56923AE3-756C-43DD-A3EA-4F78F68D2729}"/>
    <cellStyle name="Dezimal 6 27 2 2" xfId="33193" xr:uid="{241E5E80-251A-4355-B592-97619F4C3E20}"/>
    <cellStyle name="Dezimal 6 27 3" xfId="33192" xr:uid="{D918F6E1-E314-43DF-8D0E-F4911302B193}"/>
    <cellStyle name="Dezimal 6 28" xfId="13757" xr:uid="{6A753A8B-21C9-4D0A-B8CB-A35A755121D4}"/>
    <cellStyle name="Dezimal 6 28 2" xfId="13758" xr:uid="{2D8151D6-AD25-49F9-B0FB-A416BFD7072C}"/>
    <cellStyle name="Dezimal 6 28 2 2" xfId="33195" xr:uid="{D976BC80-A12A-4AB9-ABFE-1DAAE8BC4D4F}"/>
    <cellStyle name="Dezimal 6 28 3" xfId="33194" xr:uid="{F5562F0F-376B-415C-896D-633EEB36A5EA}"/>
    <cellStyle name="Dezimal 6 29" xfId="13759" xr:uid="{47A6AE8E-38A0-4840-91C0-5D824E0267A0}"/>
    <cellStyle name="Dezimal 6 29 2" xfId="33196" xr:uid="{83D70E65-81C0-4FC8-AA15-9C116DC90E5A}"/>
    <cellStyle name="Dezimal 6 3" xfId="13760" xr:uid="{623F9104-A817-4B65-8285-3016BCA14180}"/>
    <cellStyle name="Dezimal 6 3 2" xfId="13761" xr:uid="{26E16FF0-2442-4AB2-9FC7-9C62998BD67E}"/>
    <cellStyle name="Dezimal 6 3 2 2" xfId="33198" xr:uid="{1BE6ABAD-F4E4-46D4-8461-1E36ADD45824}"/>
    <cellStyle name="Dezimal 6 3 3" xfId="33197" xr:uid="{617B86CF-9159-43FA-8AA8-CD5D3F5F091D}"/>
    <cellStyle name="Dezimal 6 30" xfId="33155" xr:uid="{D2ADD748-16F7-405D-9A6D-812C40B4B443}"/>
    <cellStyle name="Dezimal 6 31" xfId="39429" xr:uid="{13E39BC8-DD3B-419C-88A6-22FA2743A704}"/>
    <cellStyle name="Dezimal 6 4" xfId="13762" xr:uid="{D2B21BF8-4AEC-48C7-A56E-CD2CA042FFF6}"/>
    <cellStyle name="Dezimal 6 4 2" xfId="13763" xr:uid="{10F9A5A9-BD87-449A-A00D-B48EE1656CD8}"/>
    <cellStyle name="Dezimal 6 4 2 2" xfId="33200" xr:uid="{BEF548C7-32FB-4446-BF57-B91637AF6A17}"/>
    <cellStyle name="Dezimal 6 4 3" xfId="33199" xr:uid="{BD482BB2-0D50-4217-AD1E-68F27B09D801}"/>
    <cellStyle name="Dezimal 6 5" xfId="13764" xr:uid="{564E4530-D9DD-42C6-9C6B-0C7BB1BD63EA}"/>
    <cellStyle name="Dezimal 6 5 2" xfId="13765" xr:uid="{684F5362-ECB0-49EA-A7F3-1E9618348459}"/>
    <cellStyle name="Dezimal 6 5 2 2" xfId="33202" xr:uid="{F461EF40-F781-44E1-9DE1-695CBA1481F7}"/>
    <cellStyle name="Dezimal 6 5 3" xfId="33201" xr:uid="{3F96DAAF-F648-434C-BFEE-F93EE6EE47BC}"/>
    <cellStyle name="Dezimal 6 6" xfId="13766" xr:uid="{2820EF6F-BFD1-40D2-AA6C-499606EABDAF}"/>
    <cellStyle name="Dezimal 6 6 2" xfId="13767" xr:uid="{82CA2B3D-BBF1-41FE-BE59-D3B642DBA109}"/>
    <cellStyle name="Dezimal 6 6 2 2" xfId="33204" xr:uid="{03C82538-297E-4087-AE36-75E49A460411}"/>
    <cellStyle name="Dezimal 6 6 3" xfId="33203" xr:uid="{544DC8EA-143A-4058-8CC2-85EBDFAA8766}"/>
    <cellStyle name="Dezimal 6 7" xfId="13768" xr:uid="{B7596605-2E97-40BB-93C5-EC25D536868F}"/>
    <cellStyle name="Dezimal 6 7 2" xfId="13769" xr:uid="{D5856099-9CC7-4E68-9D68-83866AF91CA8}"/>
    <cellStyle name="Dezimal 6 7 2 2" xfId="33206" xr:uid="{CB9B3F75-C34C-4C73-B9A4-BE06E420F0C5}"/>
    <cellStyle name="Dezimal 6 7 3" xfId="33205" xr:uid="{AA443424-9E54-4374-B426-217FF84B08E1}"/>
    <cellStyle name="Dezimal 6 8" xfId="13770" xr:uid="{B510082D-5DF9-492B-A018-6324578F7C77}"/>
    <cellStyle name="Dezimal 6 8 2" xfId="13771" xr:uid="{8DFA0F81-4A2C-42B4-99CF-E8BDE7D91293}"/>
    <cellStyle name="Dezimal 6 8 2 2" xfId="33208" xr:uid="{5E61787D-A165-43F8-92FF-7C9F63F3CF01}"/>
    <cellStyle name="Dezimal 6 8 3" xfId="33207" xr:uid="{390CD3F0-562B-4C5E-B02D-8C1EAF911B88}"/>
    <cellStyle name="Dezimal 6 9" xfId="13772" xr:uid="{31CEE2AD-B056-493D-8057-8C7CBF6FB893}"/>
    <cellStyle name="Dezimal 6 9 2" xfId="13773" xr:uid="{03477BFB-83CB-4C8B-B085-A27EE6E5D6EA}"/>
    <cellStyle name="Dezimal 6 9 2 2" xfId="33210" xr:uid="{4EFC9021-935B-44D6-906F-0B8ACC554481}"/>
    <cellStyle name="Dezimal 6 9 3" xfId="33209" xr:uid="{904F14F6-2D59-4E24-8024-6B30C25D89DB}"/>
    <cellStyle name="Dezimal 60" xfId="13774" xr:uid="{33080DF4-CB99-4160-A08A-FC3BB526D474}"/>
    <cellStyle name="Dezimal 60 10" xfId="13775" xr:uid="{6BD49D09-AABB-48F2-8EFB-6078C59DBFB2}"/>
    <cellStyle name="Dezimal 60 10 2" xfId="13776" xr:uid="{D0631416-4665-421C-9B05-C3F0713D5E23}"/>
    <cellStyle name="Dezimal 60 10 2 2" xfId="33213" xr:uid="{0DA8E100-9241-45AB-926F-9267513B0DC1}"/>
    <cellStyle name="Dezimal 60 10 3" xfId="33212" xr:uid="{F6421ACE-3DB5-4C8D-96DB-47DA10ED859D}"/>
    <cellStyle name="Dezimal 60 11" xfId="13777" xr:uid="{3F6FC0DB-0574-4A97-82E2-8FF77CF2428A}"/>
    <cellStyle name="Dezimal 60 11 2" xfId="33214" xr:uid="{5F653663-CDEB-4B89-A67C-6474F23FAD47}"/>
    <cellStyle name="Dezimal 60 12" xfId="13778" xr:uid="{C607C480-1EB7-4BAA-A058-15CC9A308B36}"/>
    <cellStyle name="Dezimal 60 12 2" xfId="33215" xr:uid="{0D25AFCF-A762-49C2-BAF1-C7255F656EF7}"/>
    <cellStyle name="Dezimal 60 13" xfId="13779" xr:uid="{36CFCD58-E069-4963-96E8-6B4654DDC644}"/>
    <cellStyle name="Dezimal 60 13 2" xfId="33216" xr:uid="{BF1F5D16-ED9A-4B04-A4D7-E73E8E6C111D}"/>
    <cellStyle name="Dezimal 60 14" xfId="13780" xr:uid="{C15262D1-6CF8-433D-BB74-D68634920217}"/>
    <cellStyle name="Dezimal 60 14 2" xfId="33217" xr:uid="{2A166BF9-799A-4C11-A66F-9EF83C7AF6B8}"/>
    <cellStyle name="Dezimal 60 15" xfId="13781" xr:uid="{D44552B4-3E65-4860-ABE2-534031C45858}"/>
    <cellStyle name="Dezimal 60 15 2" xfId="33218" xr:uid="{53900EE7-2CFB-4D68-B845-03FC1A8D3FE7}"/>
    <cellStyle name="Dezimal 60 16" xfId="13782" xr:uid="{E86BE10F-F124-4966-9AD9-F21A345CD732}"/>
    <cellStyle name="Dezimal 60 16 2" xfId="33219" xr:uid="{07020294-F7B1-4BD9-8B92-F16DA4893B1A}"/>
    <cellStyle name="Dezimal 60 17" xfId="13783" xr:uid="{41461603-558F-4467-884F-97AA55D8BADE}"/>
    <cellStyle name="Dezimal 60 17 2" xfId="33220" xr:uid="{2E5C64C1-3132-495A-A719-DDFBADAEFF39}"/>
    <cellStyle name="Dezimal 60 18" xfId="13784" xr:uid="{1687373D-F5F4-4A00-A9A4-2CD44669120F}"/>
    <cellStyle name="Dezimal 60 18 2" xfId="33221" xr:uid="{CADBA497-C7EB-4927-8C2C-05F9FDA036C5}"/>
    <cellStyle name="Dezimal 60 19" xfId="13785" xr:uid="{6C9BC883-CA41-4313-AFB6-6C2410D69E3B}"/>
    <cellStyle name="Dezimal 60 19 2" xfId="33222" xr:uid="{C9E4E996-5666-406F-97B2-6923DF0022A9}"/>
    <cellStyle name="Dezimal 60 2" xfId="13786" xr:uid="{2A46E2FE-3F05-4BB8-ABA6-820E99B227B7}"/>
    <cellStyle name="Dezimal 60 2 2" xfId="13787" xr:uid="{CB883E52-A284-465E-9173-C6CA817FCB8F}"/>
    <cellStyle name="Dezimal 60 2 2 2" xfId="33224" xr:uid="{B0C32B7C-838F-4F20-8867-72AAB83BF923}"/>
    <cellStyle name="Dezimal 60 2 3" xfId="33223" xr:uid="{4D90EEA6-1140-479A-B263-6A0D63232110}"/>
    <cellStyle name="Dezimal 60 20" xfId="13788" xr:uid="{34FE5DB0-96A5-4511-8A2D-322B237914EF}"/>
    <cellStyle name="Dezimal 60 20 2" xfId="33225" xr:uid="{CC21E27F-DAC3-4CB3-A4AA-8DD103569E94}"/>
    <cellStyle name="Dezimal 60 21" xfId="13789" xr:uid="{D89FF172-7DBF-4973-8972-0AB414B5DF05}"/>
    <cellStyle name="Dezimal 60 21 2" xfId="33226" xr:uid="{20CC0797-1FC7-4DB7-B8F3-29A9896626CD}"/>
    <cellStyle name="Dezimal 60 22" xfId="13790" xr:uid="{53B1ACC0-367D-459D-B083-94E2567DF23E}"/>
    <cellStyle name="Dezimal 60 22 2" xfId="33227" xr:uid="{19D83068-0BF3-4A50-BC95-86DD9C94C6C4}"/>
    <cellStyle name="Dezimal 60 23" xfId="13791" xr:uid="{56F8BBDE-E1ED-4C91-BE52-EA37C1EBABBA}"/>
    <cellStyle name="Dezimal 60 23 2" xfId="33228" xr:uid="{20BC06FE-669E-43BC-B248-19DE88FA4ACE}"/>
    <cellStyle name="Dezimal 60 24" xfId="13792" xr:uid="{1F399DCC-A4B0-4DC0-B12E-A97AA9115720}"/>
    <cellStyle name="Dezimal 60 24 2" xfId="33229" xr:uid="{656C66C3-F0FA-4778-88BE-56B94419CA46}"/>
    <cellStyle name="Dezimal 60 25" xfId="13793" xr:uid="{66CA18CD-A2C1-4769-96AA-F3278A3E43D7}"/>
    <cellStyle name="Dezimal 60 25 2" xfId="33230" xr:uid="{8ED3B4CA-869D-49F5-B8BA-19A7F58F39C4}"/>
    <cellStyle name="Dezimal 60 26" xfId="13794" xr:uid="{3B46E831-A713-4C6B-93E1-A016B955879C}"/>
    <cellStyle name="Dezimal 60 26 2" xfId="33231" xr:uid="{21875C63-C54C-4B1C-A375-0FCF69CD656E}"/>
    <cellStyle name="Dezimal 60 27" xfId="13795" xr:uid="{98B80120-C68F-48DA-920E-1C39B600A444}"/>
    <cellStyle name="Dezimal 60 27 2" xfId="33232" xr:uid="{FF8780B9-9C96-4785-A17A-0F0614D53D31}"/>
    <cellStyle name="Dezimal 60 28" xfId="13796" xr:uid="{FBD763A5-A022-4A93-9A6D-0A4F3A42A7B2}"/>
    <cellStyle name="Dezimal 60 28 2" xfId="33233" xr:uid="{C0AA8D31-D6C8-47A3-B1D5-8B95CDC2952F}"/>
    <cellStyle name="Dezimal 60 29" xfId="13797" xr:uid="{E9384679-5CF8-4064-9630-44B2B2DD2560}"/>
    <cellStyle name="Dezimal 60 29 2" xfId="33234" xr:uid="{9EB37BE4-3733-4827-806B-46551E242589}"/>
    <cellStyle name="Dezimal 60 3" xfId="13798" xr:uid="{915E1058-0287-40AA-8EEE-EE9A09F91707}"/>
    <cellStyle name="Dezimal 60 3 2" xfId="13799" xr:uid="{EA9538C9-92D4-4655-B0F8-61027D6463CD}"/>
    <cellStyle name="Dezimal 60 3 2 2" xfId="33236" xr:uid="{F40AED77-463D-4BC2-95B1-06B87B6450B7}"/>
    <cellStyle name="Dezimal 60 3 3" xfId="33235" xr:uid="{6C6A4450-4CF8-456A-8D2F-8BA41D2B136B}"/>
    <cellStyle name="Dezimal 60 30" xfId="13800" xr:uid="{8937109C-649A-44D6-8514-6477B2776CBB}"/>
    <cellStyle name="Dezimal 60 30 2" xfId="33237" xr:uid="{38110656-5401-4224-8480-78FDD589BFCD}"/>
    <cellStyle name="Dezimal 60 31" xfId="13801" xr:uid="{69574FC7-4DA1-4FA5-909F-2B1CA74E6785}"/>
    <cellStyle name="Dezimal 60 31 2" xfId="33238" xr:uid="{DCC5473C-A2E1-462B-A239-7246A9A7C44D}"/>
    <cellStyle name="Dezimal 60 32" xfId="33211" xr:uid="{7EC3AE86-D5BE-4F33-A05E-2CFD4BB20034}"/>
    <cellStyle name="Dezimal 60 4" xfId="13802" xr:uid="{DC880952-BC9B-4D29-8D64-9C2756733BA4}"/>
    <cellStyle name="Dezimal 60 4 2" xfId="13803" xr:uid="{13F8C5BE-47C6-4FBC-A9EA-AA8BD32ACD14}"/>
    <cellStyle name="Dezimal 60 4 2 2" xfId="33240" xr:uid="{BE40A62D-4056-4DD3-A2CC-4242D0031DFE}"/>
    <cellStyle name="Dezimal 60 4 3" xfId="33239" xr:uid="{B5AA2196-ACA4-4D91-8E2E-C3B18FE5FCFF}"/>
    <cellStyle name="Dezimal 60 5" xfId="13804" xr:uid="{98E0B2FE-5FAB-4A57-89CF-9C964F7C219E}"/>
    <cellStyle name="Dezimal 60 5 2" xfId="13805" xr:uid="{7BF099E7-3603-459F-8FCB-F16FBFA291AA}"/>
    <cellStyle name="Dezimal 60 5 2 2" xfId="33242" xr:uid="{88664D1C-53E8-4DDE-A767-63C2DC22281F}"/>
    <cellStyle name="Dezimal 60 5 3" xfId="33241" xr:uid="{111EECAD-3F5A-4045-BA5E-FD0CA8F2DCEE}"/>
    <cellStyle name="Dezimal 60 6" xfId="13806" xr:uid="{4130659D-0E58-4CAB-9452-AF53A462D5C6}"/>
    <cellStyle name="Dezimal 60 6 2" xfId="13807" xr:uid="{0CDC3926-7C7D-452B-BA92-65CC5C6252DD}"/>
    <cellStyle name="Dezimal 60 6 2 2" xfId="33244" xr:uid="{C4A19A40-397F-4972-AA51-D32690C3A51A}"/>
    <cellStyle name="Dezimal 60 6 3" xfId="33243" xr:uid="{C079A336-0263-49D9-BFAF-9AC4F58C44A6}"/>
    <cellStyle name="Dezimal 60 7" xfId="13808" xr:uid="{E82E1F06-5125-4715-B80B-A48A60B90BC1}"/>
    <cellStyle name="Dezimal 60 7 2" xfId="13809" xr:uid="{1F66209A-252F-4E59-B4E3-186A020F7DDE}"/>
    <cellStyle name="Dezimal 60 7 2 2" xfId="33246" xr:uid="{826CBF76-C1D3-4019-835F-07DF343C7780}"/>
    <cellStyle name="Dezimal 60 7 3" xfId="33245" xr:uid="{57E1F142-815A-4A22-B7ED-E5BA2C7A3EC3}"/>
    <cellStyle name="Dezimal 60 8" xfId="13810" xr:uid="{FDA14280-C857-4A3E-9160-E988C32DE13B}"/>
    <cellStyle name="Dezimal 60 8 2" xfId="13811" xr:uid="{7625F993-C187-4C74-85F5-97A24344F293}"/>
    <cellStyle name="Dezimal 60 8 2 2" xfId="33248" xr:uid="{59717491-096F-48FE-8969-0D0BB3C2B7AA}"/>
    <cellStyle name="Dezimal 60 8 3" xfId="33247" xr:uid="{C4B2D4F6-DD88-4FDD-BCF9-37B6E920BF54}"/>
    <cellStyle name="Dezimal 60 9" xfId="13812" xr:uid="{093EB99D-0CF3-4EE5-9C63-57C6049F7CE3}"/>
    <cellStyle name="Dezimal 60 9 2" xfId="13813" xr:uid="{EE98961E-DCC0-4903-BEFB-2227C4DEF612}"/>
    <cellStyle name="Dezimal 60 9 2 2" xfId="33250" xr:uid="{DE6500BD-81A4-4B5A-B517-706419151B2B}"/>
    <cellStyle name="Dezimal 60 9 3" xfId="33249" xr:uid="{3E204077-C32B-4E13-9873-99E249B69DEA}"/>
    <cellStyle name="Dezimal 61" xfId="13814" xr:uid="{87CFF0E3-22B1-4AAA-ADF2-3FF7BECA160C}"/>
    <cellStyle name="Dezimal 61 10" xfId="13815" xr:uid="{81098802-936C-4DCA-AA66-25B3C6CDF9D4}"/>
    <cellStyle name="Dezimal 61 10 2" xfId="13816" xr:uid="{DBDE6A9D-D7D1-4F08-88AB-1C8FAE9ED26A}"/>
    <cellStyle name="Dezimal 61 10 2 2" xfId="33253" xr:uid="{18FB8E80-7A4E-4B2B-8DEF-03539F5DCE37}"/>
    <cellStyle name="Dezimal 61 10 3" xfId="33252" xr:uid="{637D23CA-30A2-40BA-8567-6C333BF2515C}"/>
    <cellStyle name="Dezimal 61 11" xfId="13817" xr:uid="{408BE95D-69CC-4348-8FC8-D83DEB863DEA}"/>
    <cellStyle name="Dezimal 61 11 2" xfId="33254" xr:uid="{CAD3488A-EF65-43C4-A785-BCB1FD3ED2AF}"/>
    <cellStyle name="Dezimal 61 12" xfId="13818" xr:uid="{22FD25E9-1CA0-48C5-875B-B8EFF10FA3BE}"/>
    <cellStyle name="Dezimal 61 12 2" xfId="33255" xr:uid="{9FCCE12E-3E35-47AE-900F-B06D09A630ED}"/>
    <cellStyle name="Dezimal 61 13" xfId="13819" xr:uid="{6918B455-8497-4B05-9BF5-93B8E6663466}"/>
    <cellStyle name="Dezimal 61 13 2" xfId="33256" xr:uid="{84A19980-C2D9-431B-B2E4-D4CA45E9D0CD}"/>
    <cellStyle name="Dezimal 61 14" xfId="13820" xr:uid="{E3A87EF0-D868-4009-9B1D-6C94DD61E156}"/>
    <cellStyle name="Dezimal 61 14 2" xfId="33257" xr:uid="{C9A3FC13-D724-4FF7-8268-14E02D94BE80}"/>
    <cellStyle name="Dezimal 61 15" xfId="13821" xr:uid="{872A7741-7D0A-493F-9919-65C652F09FF6}"/>
    <cellStyle name="Dezimal 61 15 2" xfId="33258" xr:uid="{FDBED152-B08C-4311-ADDE-B0B9F32800B7}"/>
    <cellStyle name="Dezimal 61 16" xfId="13822" xr:uid="{34B01103-8AEF-4F70-A1FD-C1AA1F5ADAFE}"/>
    <cellStyle name="Dezimal 61 16 2" xfId="33259" xr:uid="{DD253B32-6D92-4A58-823D-E547FD3406FB}"/>
    <cellStyle name="Dezimal 61 17" xfId="13823" xr:uid="{BCF971B7-0FF2-40FA-8A91-81EA6768C9C5}"/>
    <cellStyle name="Dezimal 61 17 2" xfId="33260" xr:uid="{62973F89-33C6-4291-ADD5-CDAA99643315}"/>
    <cellStyle name="Dezimal 61 18" xfId="13824" xr:uid="{CD50BBD5-FAC4-461B-BF89-3DA5E07FDA93}"/>
    <cellStyle name="Dezimal 61 18 2" xfId="33261" xr:uid="{A1703939-4C24-4F2B-B5AF-592661786576}"/>
    <cellStyle name="Dezimal 61 19" xfId="13825" xr:uid="{FC9594F7-5ACF-4FC3-9A8C-78FA67E92666}"/>
    <cellStyle name="Dezimal 61 19 2" xfId="33262" xr:uid="{39E7376A-6EBA-4444-8073-1EBEDAB25611}"/>
    <cellStyle name="Dezimal 61 2" xfId="13826" xr:uid="{97944BFA-56B5-4C28-9462-717A96AF7185}"/>
    <cellStyle name="Dezimal 61 2 2" xfId="13827" xr:uid="{743A91EA-04C1-4437-908E-D036CBF4B680}"/>
    <cellStyle name="Dezimal 61 2 2 2" xfId="33264" xr:uid="{000E94A5-3C8B-451C-B617-06623F415768}"/>
    <cellStyle name="Dezimal 61 2 3" xfId="33263" xr:uid="{3A502102-EDD3-4375-B9CC-89990BA2F2FD}"/>
    <cellStyle name="Dezimal 61 20" xfId="13828" xr:uid="{2D9DF15D-14CB-47A1-9E48-BD5E85C44E9D}"/>
    <cellStyle name="Dezimal 61 20 2" xfId="33265" xr:uid="{322F93EB-44BA-43FC-8824-0104486975E4}"/>
    <cellStyle name="Dezimal 61 21" xfId="13829" xr:uid="{4FF13E5A-BA88-4382-BFBF-1EC7C0CFF235}"/>
    <cellStyle name="Dezimal 61 21 2" xfId="33266" xr:uid="{325022A5-150E-4406-A2A8-E12C850985B5}"/>
    <cellStyle name="Dezimal 61 22" xfId="13830" xr:uid="{A59F8D89-E311-4D57-85C7-B28D130B0F22}"/>
    <cellStyle name="Dezimal 61 22 2" xfId="33267" xr:uid="{930853E0-FBDC-4E6D-A0FA-97204BC2C5DF}"/>
    <cellStyle name="Dezimal 61 23" xfId="13831" xr:uid="{A3B580C1-B623-4D68-8D2B-3871130DDD60}"/>
    <cellStyle name="Dezimal 61 23 2" xfId="33268" xr:uid="{A710EC75-0B6F-4201-A5E9-79B294FABA88}"/>
    <cellStyle name="Dezimal 61 24" xfId="13832" xr:uid="{EEF45C99-3B4C-4D24-AE66-20C4488F080B}"/>
    <cellStyle name="Dezimal 61 24 2" xfId="33269" xr:uid="{BC34A64C-DE58-4D4F-B2CB-3EC935F16320}"/>
    <cellStyle name="Dezimal 61 25" xfId="13833" xr:uid="{1849976E-A4FA-45EB-B8CD-22D2059B2419}"/>
    <cellStyle name="Dezimal 61 25 2" xfId="33270" xr:uid="{7F9E8C43-7DF4-4BA8-960E-C0CEC7B857B2}"/>
    <cellStyle name="Dezimal 61 26" xfId="13834" xr:uid="{317E8C82-70DB-4E11-BFA8-1DB182736506}"/>
    <cellStyle name="Dezimal 61 26 2" xfId="33271" xr:uid="{73639F71-C990-4E77-94E2-025D5512D76C}"/>
    <cellStyle name="Dezimal 61 27" xfId="13835" xr:uid="{65A9D248-A585-49D0-8B80-D596E833E9DF}"/>
    <cellStyle name="Dezimal 61 27 2" xfId="33272" xr:uid="{FBBBA12B-77F6-40E4-B97B-7259C7E2E4E2}"/>
    <cellStyle name="Dezimal 61 28" xfId="13836" xr:uid="{4FA08B4B-3C89-4A2F-A4A7-A0FB6797DB4F}"/>
    <cellStyle name="Dezimal 61 28 2" xfId="33273" xr:uid="{2B719E81-98E4-4731-9747-775CE5E1C10C}"/>
    <cellStyle name="Dezimal 61 29" xfId="13837" xr:uid="{723D4F6B-4BDD-4EEE-A1C6-155D16396B26}"/>
    <cellStyle name="Dezimal 61 29 2" xfId="33274" xr:uid="{5E965E64-5CCD-4602-9204-E7CA94A41653}"/>
    <cellStyle name="Dezimal 61 3" xfId="13838" xr:uid="{E949B198-B122-49EC-87ED-5A2516C1D2C2}"/>
    <cellStyle name="Dezimal 61 3 2" xfId="13839" xr:uid="{CF060557-F486-4117-80AD-CC1CFB898FB1}"/>
    <cellStyle name="Dezimal 61 3 2 2" xfId="33276" xr:uid="{BB54314A-6830-411F-BCA1-145F27C655C7}"/>
    <cellStyle name="Dezimal 61 3 3" xfId="33275" xr:uid="{780D01B4-B7F8-4146-929C-5628E666A878}"/>
    <cellStyle name="Dezimal 61 30" xfId="13840" xr:uid="{FD0AB232-CAB5-4F72-80FB-5B9C606FA860}"/>
    <cellStyle name="Dezimal 61 30 2" xfId="33277" xr:uid="{8FC43FFE-CDBB-4399-B3BB-6A308BEFD519}"/>
    <cellStyle name="Dezimal 61 31" xfId="13841" xr:uid="{B7A02C7F-F4B3-4453-B1CB-BC47119E7960}"/>
    <cellStyle name="Dezimal 61 31 2" xfId="33278" xr:uid="{DF443F6A-776A-49DB-BF99-B007DB06404C}"/>
    <cellStyle name="Dezimal 61 32" xfId="33251" xr:uid="{0A8CA135-3B3A-4BA2-9E07-772C3321E5D3}"/>
    <cellStyle name="Dezimal 61 4" xfId="13842" xr:uid="{DB8DCA9A-953A-4E52-A814-99B85008F0E4}"/>
    <cellStyle name="Dezimal 61 4 2" xfId="13843" xr:uid="{58205558-1208-42C2-8E28-ECF4048D7CE2}"/>
    <cellStyle name="Dezimal 61 4 2 2" xfId="33280" xr:uid="{A29FEC61-DB74-4EDC-9E2E-81EAB95B29C1}"/>
    <cellStyle name="Dezimal 61 4 3" xfId="33279" xr:uid="{5B8515D7-4811-4262-A472-34DAFE04339A}"/>
    <cellStyle name="Dezimal 61 5" xfId="13844" xr:uid="{55123DD1-E939-4D1D-AC0A-7650C7ADA27B}"/>
    <cellStyle name="Dezimal 61 5 2" xfId="13845" xr:uid="{84FB1901-D8F8-4F0D-9D4E-C0D5C0642998}"/>
    <cellStyle name="Dezimal 61 5 2 2" xfId="33282" xr:uid="{A19545CC-E1D4-4C67-8D68-2F62035E23BB}"/>
    <cellStyle name="Dezimal 61 5 3" xfId="33281" xr:uid="{39957162-029B-41E7-991D-A7E72FEBE44C}"/>
    <cellStyle name="Dezimal 61 6" xfId="13846" xr:uid="{EC95D3A6-E292-4D05-9D34-C5C8D40755FE}"/>
    <cellStyle name="Dezimal 61 6 2" xfId="13847" xr:uid="{937A6E2B-F34D-41AA-A584-8E170C8A733A}"/>
    <cellStyle name="Dezimal 61 6 2 2" xfId="33284" xr:uid="{4133E630-58C7-4F08-864A-9B41E3F7AF93}"/>
    <cellStyle name="Dezimal 61 6 3" xfId="33283" xr:uid="{C53459A8-23CC-4EF5-A40F-A9AEA341BA01}"/>
    <cellStyle name="Dezimal 61 7" xfId="13848" xr:uid="{B0A43B42-5F1F-4ADB-BA74-732FDDB99E38}"/>
    <cellStyle name="Dezimal 61 7 2" xfId="13849" xr:uid="{9F8E0B5F-96B7-4D14-8D23-77C04E647E81}"/>
    <cellStyle name="Dezimal 61 7 2 2" xfId="33286" xr:uid="{B6FD20C1-F21B-44EC-A1A7-58912EB59C69}"/>
    <cellStyle name="Dezimal 61 7 3" xfId="33285" xr:uid="{8BA95681-A707-4D0F-AF67-EDC8E2534D5B}"/>
    <cellStyle name="Dezimal 61 8" xfId="13850" xr:uid="{5C1E5A7F-BFA8-450B-8974-7DDB3DFF2BA0}"/>
    <cellStyle name="Dezimal 61 8 2" xfId="13851" xr:uid="{0F5FCD10-4329-48EC-AF36-119D4396FF88}"/>
    <cellStyle name="Dezimal 61 8 2 2" xfId="33288" xr:uid="{BB7B68AD-3478-4810-87E5-13595E2A2155}"/>
    <cellStyle name="Dezimal 61 8 3" xfId="33287" xr:uid="{46541E15-B4A6-4880-92FC-FC329FEB6A5C}"/>
    <cellStyle name="Dezimal 61 9" xfId="13852" xr:uid="{66EC50EA-D468-4BB5-9D59-1B9AA3309569}"/>
    <cellStyle name="Dezimal 61 9 2" xfId="13853" xr:uid="{67B34906-9419-4588-9E4D-DE8DB283072A}"/>
    <cellStyle name="Dezimal 61 9 2 2" xfId="33290" xr:uid="{C0FC4400-A8C3-4E40-AF77-92F307D3C3EE}"/>
    <cellStyle name="Dezimal 61 9 3" xfId="33289" xr:uid="{EBAB6B0C-3A5E-4AA3-819C-E14A38534779}"/>
    <cellStyle name="Dezimal 62" xfId="13854" xr:uid="{5C54D8A2-A05C-4738-AAA4-6125FB406366}"/>
    <cellStyle name="Dezimal 62 10" xfId="13855" xr:uid="{0892CEC1-9074-4DE7-8710-372434B7A756}"/>
    <cellStyle name="Dezimal 62 10 2" xfId="13856" xr:uid="{6CEC9ABA-FBB8-4BA9-BCBC-80A0DB7BE7A8}"/>
    <cellStyle name="Dezimal 62 10 2 2" xfId="33293" xr:uid="{03989051-9ACF-4628-8366-6EAF09717A45}"/>
    <cellStyle name="Dezimal 62 10 3" xfId="33292" xr:uid="{321D8869-2050-4F49-B56F-28E32BE9EC63}"/>
    <cellStyle name="Dezimal 62 11" xfId="13857" xr:uid="{858E43FD-649E-4AA3-A8F9-875211E81D0C}"/>
    <cellStyle name="Dezimal 62 11 2" xfId="33294" xr:uid="{344C8713-73D2-484F-93A3-484F48DF646F}"/>
    <cellStyle name="Dezimal 62 12" xfId="13858" xr:uid="{B568B8BB-0EA2-4886-89BE-D890CBD0EE05}"/>
    <cellStyle name="Dezimal 62 12 2" xfId="33295" xr:uid="{AE1F2E42-D403-465A-B524-EF18651E1352}"/>
    <cellStyle name="Dezimal 62 13" xfId="13859" xr:uid="{4B686F10-2373-413B-BA2C-BBAEB5BD0ED7}"/>
    <cellStyle name="Dezimal 62 13 2" xfId="33296" xr:uid="{6ACA4D61-C961-412F-9362-C3B96F6F2409}"/>
    <cellStyle name="Dezimal 62 14" xfId="13860" xr:uid="{BD5D3D42-3640-4442-B1B0-8420648C7067}"/>
    <cellStyle name="Dezimal 62 14 2" xfId="33297" xr:uid="{92A76D00-33C1-46DB-959D-422D7FB01483}"/>
    <cellStyle name="Dezimal 62 15" xfId="13861" xr:uid="{1A7EE0DF-38C3-418B-B4DC-0E6F0DDBEFCD}"/>
    <cellStyle name="Dezimal 62 15 2" xfId="33298" xr:uid="{37051974-ADD3-4039-858F-23B1921762CD}"/>
    <cellStyle name="Dezimal 62 16" xfId="13862" xr:uid="{CA865D5F-F771-446C-82E6-FF85B81EC1AC}"/>
    <cellStyle name="Dezimal 62 16 2" xfId="33299" xr:uid="{CC2282A4-F08B-436E-A14A-2D79F887E5C9}"/>
    <cellStyle name="Dezimal 62 17" xfId="13863" xr:uid="{DC911798-4CC8-4C27-B912-2F8CEF0DC916}"/>
    <cellStyle name="Dezimal 62 17 2" xfId="33300" xr:uid="{2FD030BB-7918-4D44-AA5A-5759DCC6AEA8}"/>
    <cellStyle name="Dezimal 62 18" xfId="13864" xr:uid="{D3F9C54A-5E03-45BE-9217-A781D888674E}"/>
    <cellStyle name="Dezimal 62 18 2" xfId="33301" xr:uid="{FDDA2041-540D-4D41-901F-EBA2C53FD069}"/>
    <cellStyle name="Dezimal 62 19" xfId="13865" xr:uid="{9B35A310-8E4F-4D2F-89C3-02BF2430F53C}"/>
    <cellStyle name="Dezimal 62 19 2" xfId="33302" xr:uid="{9EF0FBA1-BB44-4028-AE49-CA742525E140}"/>
    <cellStyle name="Dezimal 62 2" xfId="13866" xr:uid="{C2448E1E-1F7B-4E0F-868D-24DAB0C59264}"/>
    <cellStyle name="Dezimal 62 2 2" xfId="13867" xr:uid="{7756538C-A5FF-4C67-9D58-9A187D64246F}"/>
    <cellStyle name="Dezimal 62 2 2 2" xfId="33304" xr:uid="{DAFB1DCF-8ABB-45EB-9F3A-9744F6E427ED}"/>
    <cellStyle name="Dezimal 62 2 3" xfId="33303" xr:uid="{1FCB16DB-5C89-42ED-91A8-F5A063CB00C1}"/>
    <cellStyle name="Dezimal 62 20" xfId="13868" xr:uid="{0CC791BE-E72B-4AAC-980E-A2381CB9DFF4}"/>
    <cellStyle name="Dezimal 62 20 2" xfId="33305" xr:uid="{5302910C-6F14-4746-AF91-3583E6FA7B8C}"/>
    <cellStyle name="Dezimal 62 21" xfId="13869" xr:uid="{4E22AA1C-CD9A-41F6-B9CF-DAB85E0B5B94}"/>
    <cellStyle name="Dezimal 62 21 2" xfId="33306" xr:uid="{F43A91A7-7DEC-48A5-BCFE-EA4FD9A5490B}"/>
    <cellStyle name="Dezimal 62 22" xfId="13870" xr:uid="{2E69C9AB-3C07-4100-9420-9F8C562C8310}"/>
    <cellStyle name="Dezimal 62 22 2" xfId="33307" xr:uid="{DED5EE71-6FA6-4B80-8782-E64CBE654B44}"/>
    <cellStyle name="Dezimal 62 23" xfId="13871" xr:uid="{0CF63E06-3B82-42AD-97A9-3724212BBBE0}"/>
    <cellStyle name="Dezimal 62 23 2" xfId="33308" xr:uid="{E5D2A573-99A7-40DE-A093-86015D1931C5}"/>
    <cellStyle name="Dezimal 62 24" xfId="13872" xr:uid="{924F5E86-466A-48FE-985A-957330842E73}"/>
    <cellStyle name="Dezimal 62 24 2" xfId="33309" xr:uid="{0EB856A9-E0FC-48E6-84BA-A5963667D6CA}"/>
    <cellStyle name="Dezimal 62 25" xfId="13873" xr:uid="{AA2DF207-B79D-4EB9-8F01-0F4A8C274AAF}"/>
    <cellStyle name="Dezimal 62 25 2" xfId="33310" xr:uid="{5B7B9AC2-FB01-4B52-9404-5F1C3D41E8C2}"/>
    <cellStyle name="Dezimal 62 26" xfId="13874" xr:uid="{D1B52851-81AB-4B25-9FE6-AEC10B439940}"/>
    <cellStyle name="Dezimal 62 26 2" xfId="33311" xr:uid="{9A580F55-4D09-4721-AAA0-B0B0EA01D80C}"/>
    <cellStyle name="Dezimal 62 27" xfId="13875" xr:uid="{EFC4AB26-2374-4579-9445-4AE57AA1A6B4}"/>
    <cellStyle name="Dezimal 62 27 2" xfId="33312" xr:uid="{CEC8A82A-A88B-407A-A47A-AE797D310EFF}"/>
    <cellStyle name="Dezimal 62 28" xfId="13876" xr:uid="{79AD467E-5DC4-460F-8963-6309F4F807E0}"/>
    <cellStyle name="Dezimal 62 28 2" xfId="33313" xr:uid="{5C65FEB0-A106-4FCC-A927-2542A3EA3787}"/>
    <cellStyle name="Dezimal 62 29" xfId="13877" xr:uid="{BE6D239F-4532-4A04-B385-F4DF32380E2D}"/>
    <cellStyle name="Dezimal 62 29 2" xfId="33314" xr:uid="{88691189-25F0-4B46-B289-B79A3444B761}"/>
    <cellStyle name="Dezimal 62 3" xfId="13878" xr:uid="{BB6F3939-7E7A-433F-AB0D-5FEEE5B1249D}"/>
    <cellStyle name="Dezimal 62 3 2" xfId="13879" xr:uid="{53BCFCC3-0626-4A8A-BA7F-8DFA9EA84F10}"/>
    <cellStyle name="Dezimal 62 3 2 2" xfId="33316" xr:uid="{7D6F79BD-04D5-4213-AD09-07E8DFA46432}"/>
    <cellStyle name="Dezimal 62 3 3" xfId="33315" xr:uid="{8EE93063-6591-44E7-BC40-4C3673962950}"/>
    <cellStyle name="Dezimal 62 30" xfId="13880" xr:uid="{58C406F0-33A1-4861-858D-8F177BC18102}"/>
    <cellStyle name="Dezimal 62 30 2" xfId="33317" xr:uid="{AB2134DA-084B-47F7-8EDF-3716B46D2B82}"/>
    <cellStyle name="Dezimal 62 31" xfId="13881" xr:uid="{1C851431-860B-4065-BBC7-5483CF3DD5DE}"/>
    <cellStyle name="Dezimal 62 31 2" xfId="33318" xr:uid="{A53F702C-2C18-48B0-88FE-643F45FD13D0}"/>
    <cellStyle name="Dezimal 62 32" xfId="33291" xr:uid="{1AE07467-E894-4F36-90E1-C55543555B80}"/>
    <cellStyle name="Dezimal 62 4" xfId="13882" xr:uid="{649F8684-2E4D-4B6C-9AC5-1421C269D336}"/>
    <cellStyle name="Dezimal 62 4 2" xfId="13883" xr:uid="{78499CA6-6870-41BC-9A34-87F0C4BDD683}"/>
    <cellStyle name="Dezimal 62 4 2 2" xfId="33320" xr:uid="{AFA0A4AF-3F21-4CEB-A622-38FD4B3752F3}"/>
    <cellStyle name="Dezimal 62 4 3" xfId="33319" xr:uid="{38302D90-6215-402E-A475-C69C371CC8CD}"/>
    <cellStyle name="Dezimal 62 5" xfId="13884" xr:uid="{B1CC8795-BF13-4E64-AC69-AB5EEB390AEC}"/>
    <cellStyle name="Dezimal 62 5 2" xfId="13885" xr:uid="{6275A779-D81C-408E-AE01-E4763B3AE5FE}"/>
    <cellStyle name="Dezimal 62 5 2 2" xfId="33322" xr:uid="{109D4409-F78D-4851-BB23-1A38D2331420}"/>
    <cellStyle name="Dezimal 62 5 3" xfId="33321" xr:uid="{B53BF7AD-43B5-4350-8172-55B90DA9EB7E}"/>
    <cellStyle name="Dezimal 62 6" xfId="13886" xr:uid="{7C05A26B-5144-4E06-8038-BDD23A958258}"/>
    <cellStyle name="Dezimal 62 6 2" xfId="13887" xr:uid="{158CEE5F-2ED0-450A-B55F-33E362DCA035}"/>
    <cellStyle name="Dezimal 62 6 2 2" xfId="33324" xr:uid="{2F35CF6D-1C87-4CE9-8107-1A80E520F92E}"/>
    <cellStyle name="Dezimal 62 6 3" xfId="33323" xr:uid="{3388975F-736D-41B5-8CBF-27FC22D67E38}"/>
    <cellStyle name="Dezimal 62 7" xfId="13888" xr:uid="{244CB4D4-3569-4358-BB2B-655EA2CCC956}"/>
    <cellStyle name="Dezimal 62 7 2" xfId="13889" xr:uid="{2B9B039A-4B73-4243-A146-B51741649051}"/>
    <cellStyle name="Dezimal 62 7 2 2" xfId="33326" xr:uid="{273B3E6D-76B2-4E63-AEA7-BA9810811FDD}"/>
    <cellStyle name="Dezimal 62 7 3" xfId="33325" xr:uid="{3A0C4CCF-4F04-46C7-97AD-1AC553C714AB}"/>
    <cellStyle name="Dezimal 62 8" xfId="13890" xr:uid="{010828C4-BB90-422F-93DE-5BD9C1115008}"/>
    <cellStyle name="Dezimal 62 8 2" xfId="13891" xr:uid="{DE55483D-8A2A-4411-BA21-659C8E0A6B94}"/>
    <cellStyle name="Dezimal 62 8 2 2" xfId="33328" xr:uid="{A8FFE156-7AB3-4A9D-A4D3-CF67D28898BC}"/>
    <cellStyle name="Dezimal 62 8 3" xfId="33327" xr:uid="{A7F0B536-3946-4A8C-8AFC-D4101F5CD45D}"/>
    <cellStyle name="Dezimal 62 9" xfId="13892" xr:uid="{77FA1A0C-3376-4CEB-A1A7-3A410DB721F8}"/>
    <cellStyle name="Dezimal 62 9 2" xfId="13893" xr:uid="{5F0093B0-2D72-4458-A452-CB8C599D84CE}"/>
    <cellStyle name="Dezimal 62 9 2 2" xfId="33330" xr:uid="{B580013C-92F7-4D6D-918E-7CC591AF96F0}"/>
    <cellStyle name="Dezimal 62 9 3" xfId="33329" xr:uid="{6E638393-7C20-4118-9ABB-0174D003915F}"/>
    <cellStyle name="Dezimal 63" xfId="13894" xr:uid="{63CD1C9B-9DB7-4F2D-A497-F84122E0FA5F}"/>
    <cellStyle name="Dezimal 63 10" xfId="13895" xr:uid="{8D3BE315-E996-4277-BEFB-7639909EF4E0}"/>
    <cellStyle name="Dezimal 63 10 2" xfId="13896" xr:uid="{66BDDBEA-89ED-4A29-AC6D-4ED476522E51}"/>
    <cellStyle name="Dezimal 63 10 2 2" xfId="33333" xr:uid="{A9DC05EB-E0BF-45BF-91E9-6234ACB6E0D4}"/>
    <cellStyle name="Dezimal 63 10 3" xfId="33332" xr:uid="{DA1961E4-9477-4C0A-943E-BCF4770F6C7A}"/>
    <cellStyle name="Dezimal 63 11" xfId="13897" xr:uid="{D6AF12AC-9E3C-44E4-A060-C9A1C5EA8508}"/>
    <cellStyle name="Dezimal 63 11 2" xfId="33334" xr:uid="{D49B2AFF-F178-4BD0-B000-93F332E76103}"/>
    <cellStyle name="Dezimal 63 12" xfId="13898" xr:uid="{2D03146C-A383-4447-9304-2B53F0364A44}"/>
    <cellStyle name="Dezimal 63 12 2" xfId="33335" xr:uid="{DF0C22CF-6785-4142-B3EE-0EFB35DEF4F1}"/>
    <cellStyle name="Dezimal 63 13" xfId="13899" xr:uid="{FE799F03-3DCE-4B48-891A-17535C518100}"/>
    <cellStyle name="Dezimal 63 13 2" xfId="33336" xr:uid="{462AC1FA-2CDE-4CF3-84EA-A611C86C6A19}"/>
    <cellStyle name="Dezimal 63 14" xfId="13900" xr:uid="{000E6CDE-69CE-4C36-AE75-F999BB660E14}"/>
    <cellStyle name="Dezimal 63 14 2" xfId="33337" xr:uid="{0ED43955-677B-473E-80E5-5AF4F2C5E154}"/>
    <cellStyle name="Dezimal 63 15" xfId="13901" xr:uid="{261D95D0-A145-424B-A299-651365DB9248}"/>
    <cellStyle name="Dezimal 63 15 2" xfId="33338" xr:uid="{654FAFA8-42A3-4D5D-9303-5C702F08184D}"/>
    <cellStyle name="Dezimal 63 16" xfId="13902" xr:uid="{6EAFE7FC-6688-40D1-9521-58D007DC1C3A}"/>
    <cellStyle name="Dezimal 63 16 2" xfId="33339" xr:uid="{F44F8BCC-0A29-4570-B1BC-921A658FD2C1}"/>
    <cellStyle name="Dezimal 63 17" xfId="13903" xr:uid="{E65A4E8C-6E3A-44C4-8F36-752D3FBA1C22}"/>
    <cellStyle name="Dezimal 63 17 2" xfId="33340" xr:uid="{A1B1651D-878F-47E6-A7DF-2A7CBD4F2B0F}"/>
    <cellStyle name="Dezimal 63 18" xfId="13904" xr:uid="{8DC3FE3D-7836-42B6-976B-D41DA80ACF87}"/>
    <cellStyle name="Dezimal 63 18 2" xfId="33341" xr:uid="{C808EB48-75CE-4D23-A41D-8FCFA624B034}"/>
    <cellStyle name="Dezimal 63 19" xfId="13905" xr:uid="{94243E0E-00A2-4CBC-8120-840FA8E5B047}"/>
    <cellStyle name="Dezimal 63 19 2" xfId="33342" xr:uid="{3097CCE3-8B05-4097-8AE0-A917E1E2F962}"/>
    <cellStyle name="Dezimal 63 2" xfId="13906" xr:uid="{9FA44E88-4498-4BB9-B763-2457AA5B45F8}"/>
    <cellStyle name="Dezimal 63 2 2" xfId="13907" xr:uid="{8E767332-3FF5-49E9-A38C-C617E62DD217}"/>
    <cellStyle name="Dezimal 63 2 2 2" xfId="33344" xr:uid="{D6B7E4C4-2E69-4996-88AD-34D0CB097D74}"/>
    <cellStyle name="Dezimal 63 2 3" xfId="33343" xr:uid="{D33E1952-82BE-4543-A5AE-15AE2419E07C}"/>
    <cellStyle name="Dezimal 63 20" xfId="13908" xr:uid="{2A4E5C62-076E-4C2E-8C9B-33CB9F27EC02}"/>
    <cellStyle name="Dezimal 63 20 2" xfId="33345" xr:uid="{217086C1-EC5A-415D-B8E6-A380EEF8D868}"/>
    <cellStyle name="Dezimal 63 21" xfId="13909" xr:uid="{D30D8D73-1E8C-42EF-9544-3BE53667BE66}"/>
    <cellStyle name="Dezimal 63 21 2" xfId="33346" xr:uid="{3D43E681-1995-49FB-98E3-35BAC42B5F59}"/>
    <cellStyle name="Dezimal 63 22" xfId="13910" xr:uid="{52440DE2-926E-4D25-93FE-3A5974A3DAB6}"/>
    <cellStyle name="Dezimal 63 22 2" xfId="33347" xr:uid="{1FA03B3C-01F6-4045-BFA4-7DFB853029AB}"/>
    <cellStyle name="Dezimal 63 23" xfId="13911" xr:uid="{B8F467EF-50F2-40FD-AE1E-A52EF5DA2A84}"/>
    <cellStyle name="Dezimal 63 23 2" xfId="33348" xr:uid="{A409B046-47AF-4E18-946D-04E784EED753}"/>
    <cellStyle name="Dezimal 63 24" xfId="13912" xr:uid="{2B6F3E92-F4FA-41B0-AC08-DA56B3FFF990}"/>
    <cellStyle name="Dezimal 63 24 2" xfId="33349" xr:uid="{AC6F01E7-A432-4D67-B290-8F00012DD725}"/>
    <cellStyle name="Dezimal 63 25" xfId="13913" xr:uid="{694ABBE2-A4CC-42DE-9CB5-01C02FE46310}"/>
    <cellStyle name="Dezimal 63 25 2" xfId="33350" xr:uid="{2080FEFB-63C3-4056-B278-FBBD7D260276}"/>
    <cellStyle name="Dezimal 63 26" xfId="13914" xr:uid="{3173A968-3231-486D-A4AD-783ECA06C06B}"/>
    <cellStyle name="Dezimal 63 26 2" xfId="33351" xr:uid="{AA2F4FE1-5487-473F-BC5F-4891092FE5E5}"/>
    <cellStyle name="Dezimal 63 27" xfId="13915" xr:uid="{464571DE-6B7C-4DB1-832B-6B34EFF783C8}"/>
    <cellStyle name="Dezimal 63 27 2" xfId="33352" xr:uid="{43F0E4A4-C10A-4DB3-A0F2-8FCD438B2DD9}"/>
    <cellStyle name="Dezimal 63 28" xfId="13916" xr:uid="{2D2D63A5-D523-4F37-9349-8FA6491E8ADE}"/>
    <cellStyle name="Dezimal 63 28 2" xfId="33353" xr:uid="{9BAB58CD-EDC8-45CB-856E-9327F7421DE2}"/>
    <cellStyle name="Dezimal 63 29" xfId="13917" xr:uid="{647EEA30-E3B3-4B0E-B31B-CE8969EA14B8}"/>
    <cellStyle name="Dezimal 63 29 2" xfId="33354" xr:uid="{D543B6CA-07EC-476D-BEC8-38CCBD144A16}"/>
    <cellStyle name="Dezimal 63 3" xfId="13918" xr:uid="{33C6F61B-1FEF-4C56-A100-1628E9193639}"/>
    <cellStyle name="Dezimal 63 3 2" xfId="13919" xr:uid="{9CCA91DE-932A-466F-9254-BBA8E00B3EE7}"/>
    <cellStyle name="Dezimal 63 3 2 2" xfId="33356" xr:uid="{8E0D46F9-C7DE-474C-9415-7506B6D78D39}"/>
    <cellStyle name="Dezimal 63 3 3" xfId="33355" xr:uid="{5D3CF00E-E719-4CEB-BE86-8C8F3FACE733}"/>
    <cellStyle name="Dezimal 63 30" xfId="13920" xr:uid="{DD363FD7-26A1-49BF-9C9C-5067B917AB3B}"/>
    <cellStyle name="Dezimal 63 30 2" xfId="33357" xr:uid="{03985E72-91DD-4440-870F-CF4A5643647B}"/>
    <cellStyle name="Dezimal 63 31" xfId="13921" xr:uid="{E6627FFF-7E8E-407A-90FE-59223488D063}"/>
    <cellStyle name="Dezimal 63 31 2" xfId="33358" xr:uid="{8B38610F-B143-4664-9888-7B409DDEA5EF}"/>
    <cellStyle name="Dezimal 63 32" xfId="33331" xr:uid="{FA4C8931-A956-4EFC-8C63-6B7625948539}"/>
    <cellStyle name="Dezimal 63 4" xfId="13922" xr:uid="{30FD3614-431C-49D4-B89E-5B148E1418B5}"/>
    <cellStyle name="Dezimal 63 4 2" xfId="13923" xr:uid="{60FAD54D-9477-4AAC-AD76-6CB00E9729AD}"/>
    <cellStyle name="Dezimal 63 4 2 2" xfId="33360" xr:uid="{9126B86E-F971-446B-AE5B-9A53C1C0581D}"/>
    <cellStyle name="Dezimal 63 4 3" xfId="33359" xr:uid="{6BD10E4B-B6AF-44E2-95E2-10B722EE914E}"/>
    <cellStyle name="Dezimal 63 5" xfId="13924" xr:uid="{68B635D9-B383-4A99-B9EE-1AA2D06F9885}"/>
    <cellStyle name="Dezimal 63 5 2" xfId="13925" xr:uid="{2A2D86E5-6A62-40A5-B8BB-12B2ACC8AF0C}"/>
    <cellStyle name="Dezimal 63 5 2 2" xfId="33362" xr:uid="{EFA99403-B908-48E5-B828-38E8491B0418}"/>
    <cellStyle name="Dezimal 63 5 3" xfId="33361" xr:uid="{89FFE153-E9E0-4B6F-BC8C-0602442E2F73}"/>
    <cellStyle name="Dezimal 63 6" xfId="13926" xr:uid="{D786568D-B043-4488-ABB2-CA2890BC3CAD}"/>
    <cellStyle name="Dezimal 63 6 2" xfId="13927" xr:uid="{09B173F4-EBB7-48F9-A8EF-F2FDAED9D5E9}"/>
    <cellStyle name="Dezimal 63 6 2 2" xfId="33364" xr:uid="{BB64A08A-1DDE-4178-A2CE-BD6755138F77}"/>
    <cellStyle name="Dezimal 63 6 3" xfId="33363" xr:uid="{D0CA264C-B03F-447B-8BF3-242D9E03F42E}"/>
    <cellStyle name="Dezimal 63 7" xfId="13928" xr:uid="{5007C3E6-0A98-45F7-9AEE-BF48D6AAD98E}"/>
    <cellStyle name="Dezimal 63 7 2" xfId="13929" xr:uid="{6F966D3F-EF5D-4C28-AF9B-E6272E9DC09D}"/>
    <cellStyle name="Dezimal 63 7 2 2" xfId="33366" xr:uid="{2124D438-B20A-411F-88C0-E8114B6DB799}"/>
    <cellStyle name="Dezimal 63 7 3" xfId="33365" xr:uid="{E1BE4983-EA2A-4CCF-B541-5E329F30A0CD}"/>
    <cellStyle name="Dezimal 63 8" xfId="13930" xr:uid="{66FF4553-8A71-4710-891F-3E5E14383EC5}"/>
    <cellStyle name="Dezimal 63 8 2" xfId="13931" xr:uid="{6561EA30-9984-47A5-B622-D66113BF7DBF}"/>
    <cellStyle name="Dezimal 63 8 2 2" xfId="33368" xr:uid="{C6089468-B4AA-4740-A358-71D6DB8EAE4E}"/>
    <cellStyle name="Dezimal 63 8 3" xfId="33367" xr:uid="{994C2284-557D-49C4-A7BC-B213F2A77D27}"/>
    <cellStyle name="Dezimal 63 9" xfId="13932" xr:uid="{F76E87B8-4526-4F4A-8901-B0FA45A1EFFC}"/>
    <cellStyle name="Dezimal 63 9 2" xfId="13933" xr:uid="{1D8742CD-F5CF-4DB4-A22E-2FD21701355A}"/>
    <cellStyle name="Dezimal 63 9 2 2" xfId="33370" xr:uid="{7C217824-7AA9-4D40-AF59-60C31962B75E}"/>
    <cellStyle name="Dezimal 63 9 3" xfId="33369" xr:uid="{13483ED2-3B19-4F21-80E5-5D10CC3E84ED}"/>
    <cellStyle name="Dezimal 64" xfId="13934" xr:uid="{B961787C-3CAF-4E4F-B3EB-4899EDCD320B}"/>
    <cellStyle name="Dezimal 64 10" xfId="13935" xr:uid="{FD15D90D-9233-4277-B089-61B6F90F855B}"/>
    <cellStyle name="Dezimal 64 10 2" xfId="13936" xr:uid="{A917956B-93C9-4DCB-B73F-74F6DD0B70FD}"/>
    <cellStyle name="Dezimal 64 10 2 2" xfId="33373" xr:uid="{ED8C1481-6335-4467-8197-0D0A1B5FB296}"/>
    <cellStyle name="Dezimal 64 10 3" xfId="33372" xr:uid="{B57C06E1-B7E9-403F-89A4-BFD991BC01DA}"/>
    <cellStyle name="Dezimal 64 11" xfId="13937" xr:uid="{BDD5B9F8-B09A-41CF-917C-550DD3E20DDE}"/>
    <cellStyle name="Dezimal 64 11 2" xfId="33374" xr:uid="{9194C2EF-B1DB-4B43-B33E-AA7F9E6098EF}"/>
    <cellStyle name="Dezimal 64 12" xfId="13938" xr:uid="{B0B470F7-1D0F-42D9-B7F8-C4E341BABB30}"/>
    <cellStyle name="Dezimal 64 12 2" xfId="33375" xr:uid="{876FA36E-A4DB-45E0-87B9-B02CDE1D8B4C}"/>
    <cellStyle name="Dezimal 64 13" xfId="13939" xr:uid="{C9183B52-77B9-4C71-AD4F-C4299AF0AB9F}"/>
    <cellStyle name="Dezimal 64 13 2" xfId="33376" xr:uid="{233DC2F0-0E83-44AF-8713-B93A562190E1}"/>
    <cellStyle name="Dezimal 64 14" xfId="13940" xr:uid="{E313B729-36B5-46A2-AFFF-8482F4FE1CD8}"/>
    <cellStyle name="Dezimal 64 14 2" xfId="33377" xr:uid="{B28CFC9E-2729-4284-8313-0BEF3EFC76DB}"/>
    <cellStyle name="Dezimal 64 15" xfId="13941" xr:uid="{FB060549-3084-4ABE-9388-01AE5D5E92CA}"/>
    <cellStyle name="Dezimal 64 15 2" xfId="33378" xr:uid="{ADCE51C9-B837-4F18-AD22-5B5EEED0D4E4}"/>
    <cellStyle name="Dezimal 64 16" xfId="13942" xr:uid="{61E44A6E-58DB-4C66-850E-31FE2EFA7EE5}"/>
    <cellStyle name="Dezimal 64 16 2" xfId="33379" xr:uid="{CA3B6017-DA59-4E30-ADC9-2D409F5C2CFE}"/>
    <cellStyle name="Dezimal 64 17" xfId="13943" xr:uid="{8430E416-4ACA-40CB-ACE3-597D881829ED}"/>
    <cellStyle name="Dezimal 64 17 2" xfId="33380" xr:uid="{BB9DEAB6-E471-4E08-AA09-7E0416FF027C}"/>
    <cellStyle name="Dezimal 64 18" xfId="13944" xr:uid="{8298E437-3D1A-4AB8-9CC2-03CA6B96802F}"/>
    <cellStyle name="Dezimal 64 18 2" xfId="33381" xr:uid="{C699072B-A582-4C7F-96F3-2E69FF36994F}"/>
    <cellStyle name="Dezimal 64 19" xfId="13945" xr:uid="{ABA7EFF9-B599-4355-93EE-4F8A01B5296D}"/>
    <cellStyle name="Dezimal 64 19 2" xfId="33382" xr:uid="{29593136-72D4-42B9-B2BA-B79889AA1D8A}"/>
    <cellStyle name="Dezimal 64 2" xfId="13946" xr:uid="{E15D4247-7124-4B60-A6CE-BFB0D6E325A0}"/>
    <cellStyle name="Dezimal 64 2 2" xfId="13947" xr:uid="{7CFF2FFB-03B1-42EE-BBAC-1089190DBCE8}"/>
    <cellStyle name="Dezimal 64 2 2 2" xfId="33384" xr:uid="{337ED975-81E9-4DB2-891E-7E6FF80B55FD}"/>
    <cellStyle name="Dezimal 64 2 3" xfId="33383" xr:uid="{CB9AC611-5BD2-43B2-8C3E-ED4AA930666F}"/>
    <cellStyle name="Dezimal 64 20" xfId="13948" xr:uid="{DD7BC978-0F34-4334-AFE5-8592FBD3D3B9}"/>
    <cellStyle name="Dezimal 64 20 2" xfId="33385" xr:uid="{223B7CD7-C6F0-4B59-869F-3C2129AC507E}"/>
    <cellStyle name="Dezimal 64 21" xfId="13949" xr:uid="{76184722-ADC4-4CF9-A879-CF1C634B56DE}"/>
    <cellStyle name="Dezimal 64 21 2" xfId="33386" xr:uid="{E12A4642-A5E6-4725-AC3B-F86F362DC879}"/>
    <cellStyle name="Dezimal 64 22" xfId="13950" xr:uid="{5285A31D-3C01-428E-82EA-CA88AB3BD06B}"/>
    <cellStyle name="Dezimal 64 22 2" xfId="33387" xr:uid="{3765717B-53BD-44FD-BADB-8C6D2158FC33}"/>
    <cellStyle name="Dezimal 64 23" xfId="13951" xr:uid="{CB5C7D3C-1A8A-4193-8E3D-00CAD5B466D2}"/>
    <cellStyle name="Dezimal 64 23 2" xfId="33388" xr:uid="{A9E5123A-C007-41E0-A802-4EC4DA556335}"/>
    <cellStyle name="Dezimal 64 24" xfId="13952" xr:uid="{5BEB31D7-25E3-4173-8884-89226078A964}"/>
    <cellStyle name="Dezimal 64 24 2" xfId="33389" xr:uid="{E55B5078-1ED9-471B-AACC-8370CC6A3580}"/>
    <cellStyle name="Dezimal 64 25" xfId="13953" xr:uid="{45208B3E-6832-494A-933A-CFFF20F10CC2}"/>
    <cellStyle name="Dezimal 64 25 2" xfId="33390" xr:uid="{6CD1229D-D5B2-4482-944C-76D96A9DF8E5}"/>
    <cellStyle name="Dezimal 64 26" xfId="13954" xr:uid="{D5BB8182-AE4A-46E5-A1A1-5DEC30EE1276}"/>
    <cellStyle name="Dezimal 64 26 2" xfId="33391" xr:uid="{1C376727-4C47-4CF0-AD70-9C27A6B3245F}"/>
    <cellStyle name="Dezimal 64 27" xfId="13955" xr:uid="{6399ABDD-9555-45D3-962B-4DF59B35A591}"/>
    <cellStyle name="Dezimal 64 27 2" xfId="33392" xr:uid="{1BF82562-1149-4645-BB27-6346F9351EEB}"/>
    <cellStyle name="Dezimal 64 28" xfId="13956" xr:uid="{7C05DE59-A135-41EA-8636-62CEDEBA39DD}"/>
    <cellStyle name="Dezimal 64 28 2" xfId="33393" xr:uid="{CFFBCB34-E069-468E-B7F0-AB03DD0B8EDE}"/>
    <cellStyle name="Dezimal 64 29" xfId="13957" xr:uid="{3A5C5F1C-A6D3-45E0-8FE4-287C0AF9169F}"/>
    <cellStyle name="Dezimal 64 29 2" xfId="33394" xr:uid="{F65A3AAF-9F19-4DA5-B8EF-85EF23EB1C8E}"/>
    <cellStyle name="Dezimal 64 3" xfId="13958" xr:uid="{38D29B59-5EB0-4DA3-8476-996912C4D535}"/>
    <cellStyle name="Dezimal 64 3 2" xfId="13959" xr:uid="{78560077-743D-4E2F-B570-730A6D132625}"/>
    <cellStyle name="Dezimal 64 3 2 2" xfId="33396" xr:uid="{3739A629-B194-4185-B760-C7ABEF1F57AB}"/>
    <cellStyle name="Dezimal 64 3 3" xfId="33395" xr:uid="{FEBB6E91-A93F-4AF3-A885-3991F942E8DC}"/>
    <cellStyle name="Dezimal 64 30" xfId="13960" xr:uid="{72AF38B5-989B-4B2E-93DB-3A77CAF39A7A}"/>
    <cellStyle name="Dezimal 64 30 2" xfId="33397" xr:uid="{53C2482B-EFF9-4BBF-B440-6D2B65831F55}"/>
    <cellStyle name="Dezimal 64 31" xfId="13961" xr:uid="{C812481A-7677-492F-B42E-12E430D59CA4}"/>
    <cellStyle name="Dezimal 64 31 2" xfId="33398" xr:uid="{8DF40D32-60E8-4958-AE09-3F542A112604}"/>
    <cellStyle name="Dezimal 64 32" xfId="33371" xr:uid="{52642E37-7529-408C-B037-3609A639B163}"/>
    <cellStyle name="Dezimal 64 4" xfId="13962" xr:uid="{FB625376-48F3-4493-B436-DD9302B4B426}"/>
    <cellStyle name="Dezimal 64 4 2" xfId="13963" xr:uid="{6EE42EAE-F8C5-4940-8C3F-686DF0909A49}"/>
    <cellStyle name="Dezimal 64 4 2 2" xfId="33400" xr:uid="{83FE315C-A537-41F5-931A-6AE70864F395}"/>
    <cellStyle name="Dezimal 64 4 3" xfId="33399" xr:uid="{2B60A84E-A807-4216-8394-8FEA7D96AE57}"/>
    <cellStyle name="Dezimal 64 5" xfId="13964" xr:uid="{D3BBE670-89B2-47C8-BDD8-24DDC8B6D978}"/>
    <cellStyle name="Dezimal 64 5 2" xfId="13965" xr:uid="{DE4C27AC-C7CA-4E42-928B-197AC3EE057E}"/>
    <cellStyle name="Dezimal 64 5 2 2" xfId="33402" xr:uid="{AD2389C2-888F-4086-B214-04E3A8949BC2}"/>
    <cellStyle name="Dezimal 64 5 3" xfId="33401" xr:uid="{B96B00E7-9050-4A66-A7A0-C5981742F825}"/>
    <cellStyle name="Dezimal 64 6" xfId="13966" xr:uid="{D2228323-0C7E-4088-B522-63F1DC0DA438}"/>
    <cellStyle name="Dezimal 64 6 2" xfId="13967" xr:uid="{272D6F13-67B3-41E2-9EF4-C7F25657C7FF}"/>
    <cellStyle name="Dezimal 64 6 2 2" xfId="33404" xr:uid="{6E03F086-F7B9-43EE-B544-B76BCE42E147}"/>
    <cellStyle name="Dezimal 64 6 3" xfId="33403" xr:uid="{B10FB284-F732-4BA1-AD34-0527A92CB2F8}"/>
    <cellStyle name="Dezimal 64 7" xfId="13968" xr:uid="{13665BEA-6C36-46E4-AC45-C9357DBBB0AA}"/>
    <cellStyle name="Dezimal 64 7 2" xfId="13969" xr:uid="{9D83B8D5-1863-4A8A-B0C2-8051EB28E410}"/>
    <cellStyle name="Dezimal 64 7 2 2" xfId="33406" xr:uid="{4B349604-0A57-43FC-A886-C0CD40FCE50E}"/>
    <cellStyle name="Dezimal 64 7 3" xfId="33405" xr:uid="{6835D52C-4450-4869-ADF7-533119A2ACD0}"/>
    <cellStyle name="Dezimal 64 8" xfId="13970" xr:uid="{FEB432F7-D8E0-4845-8AF5-27C4E41C34D9}"/>
    <cellStyle name="Dezimal 64 8 2" xfId="13971" xr:uid="{FF756F90-6A86-4528-BF48-23C8D6D9287C}"/>
    <cellStyle name="Dezimal 64 8 2 2" xfId="33408" xr:uid="{CEC0656A-DDD4-40A4-AB8D-631B815C4878}"/>
    <cellStyle name="Dezimal 64 8 3" xfId="33407" xr:uid="{0495DC53-540D-4EA7-B0D4-8649CF727427}"/>
    <cellStyle name="Dezimal 64 9" xfId="13972" xr:uid="{2CD5D079-54C0-43F0-A0E9-598F0F66FB37}"/>
    <cellStyle name="Dezimal 64 9 2" xfId="13973" xr:uid="{4B1F69AC-AB88-4B5A-9324-F0F551A501C7}"/>
    <cellStyle name="Dezimal 64 9 2 2" xfId="33410" xr:uid="{198B1694-A44D-4AF0-A32B-2392AC30845B}"/>
    <cellStyle name="Dezimal 64 9 3" xfId="33409" xr:uid="{57F3F50C-CD6C-4F88-8982-D26D2A47D84B}"/>
    <cellStyle name="Dezimal 65" xfId="13974" xr:uid="{4B775703-D78E-4BB3-9561-4B81B8EE4A12}"/>
    <cellStyle name="Dezimal 65 10" xfId="13975" xr:uid="{9A45C20A-96D6-4BDA-8FD2-F077DD695311}"/>
    <cellStyle name="Dezimal 65 10 2" xfId="13976" xr:uid="{B59DF34F-9D38-452B-B39D-1A6FC8F4FA9F}"/>
    <cellStyle name="Dezimal 65 10 2 2" xfId="33413" xr:uid="{7D4E9374-3D7B-4A9C-873F-228FC4A2C49D}"/>
    <cellStyle name="Dezimal 65 10 3" xfId="33412" xr:uid="{87E092DA-14C0-469E-B316-D59F546647D7}"/>
    <cellStyle name="Dezimal 65 11" xfId="13977" xr:uid="{689279F2-4991-4E03-B015-904943827640}"/>
    <cellStyle name="Dezimal 65 11 2" xfId="33414" xr:uid="{1C81590A-F95F-4EB1-BFB4-5AE9AAED2DC9}"/>
    <cellStyle name="Dezimal 65 12" xfId="13978" xr:uid="{42532A07-AF24-441E-BB30-06108C933026}"/>
    <cellStyle name="Dezimal 65 12 2" xfId="33415" xr:uid="{C9CB3C93-BF33-4DCC-BACA-E5D56A6A21FB}"/>
    <cellStyle name="Dezimal 65 13" xfId="13979" xr:uid="{823C8E35-036B-410F-B438-A235BDD9D81A}"/>
    <cellStyle name="Dezimal 65 13 2" xfId="33416" xr:uid="{81846844-CE89-4A43-B9D8-1203A3F04E72}"/>
    <cellStyle name="Dezimal 65 14" xfId="13980" xr:uid="{3D20D63C-86EF-4D44-BB6F-406110048CB8}"/>
    <cellStyle name="Dezimal 65 14 2" xfId="33417" xr:uid="{C0C309CC-199A-43D8-8397-A219E7D27499}"/>
    <cellStyle name="Dezimal 65 15" xfId="13981" xr:uid="{81B546E5-3A69-48D3-9256-AAEEED60CF96}"/>
    <cellStyle name="Dezimal 65 15 2" xfId="33418" xr:uid="{7A4034E3-E837-4B08-BC20-6ED9B9096369}"/>
    <cellStyle name="Dezimal 65 16" xfId="13982" xr:uid="{588B91F8-BABA-4657-BA8B-4DE340D65D8C}"/>
    <cellStyle name="Dezimal 65 16 2" xfId="33419" xr:uid="{9B835C6F-2E7D-4CC5-B8F9-B4693916E908}"/>
    <cellStyle name="Dezimal 65 17" xfId="13983" xr:uid="{C31D3F80-BEC1-4B05-89C7-5197CAE53298}"/>
    <cellStyle name="Dezimal 65 17 2" xfId="33420" xr:uid="{21EC254C-EBA9-4D37-95F2-F7FEC7380CD5}"/>
    <cellStyle name="Dezimal 65 18" xfId="13984" xr:uid="{F8609858-DE0E-4897-99D5-CB57220D4193}"/>
    <cellStyle name="Dezimal 65 18 2" xfId="33421" xr:uid="{D802A77D-3E51-4F14-8E09-4E6EFA794B90}"/>
    <cellStyle name="Dezimal 65 19" xfId="13985" xr:uid="{D7B0CBE9-27EA-49E8-9E94-6ECE06B284A2}"/>
    <cellStyle name="Dezimal 65 19 2" xfId="33422" xr:uid="{DEE45B61-3014-4905-9937-A34B96FBEA3E}"/>
    <cellStyle name="Dezimal 65 2" xfId="13986" xr:uid="{FB72E7F4-08DC-4C10-8EF1-796EBA9DCA15}"/>
    <cellStyle name="Dezimal 65 2 2" xfId="13987" xr:uid="{F8E14564-D6CB-4390-B79B-64FF131FDB16}"/>
    <cellStyle name="Dezimal 65 2 2 2" xfId="33424" xr:uid="{C7654AD7-D7F9-4961-B490-2EF7EEF7085D}"/>
    <cellStyle name="Dezimal 65 2 3" xfId="33423" xr:uid="{623A0DC0-CDFE-4C6F-AB95-FD2CAFC71C3B}"/>
    <cellStyle name="Dezimal 65 20" xfId="13988" xr:uid="{D47BA121-11A0-4656-9D3C-511888149CF9}"/>
    <cellStyle name="Dezimal 65 20 2" xfId="33425" xr:uid="{30489647-4471-4FE7-9EC5-B09223E9C1E0}"/>
    <cellStyle name="Dezimal 65 21" xfId="13989" xr:uid="{092C5D4D-C9CC-4CF7-9C3D-0776894D0A70}"/>
    <cellStyle name="Dezimal 65 21 2" xfId="33426" xr:uid="{CCE18300-5667-46A9-9020-B9F84C5E72C3}"/>
    <cellStyle name="Dezimal 65 22" xfId="13990" xr:uid="{98F2DB86-F952-41F9-8FD1-8B282273D624}"/>
    <cellStyle name="Dezimal 65 22 2" xfId="33427" xr:uid="{97A6B610-B557-4B53-8DCA-986B98D6BE26}"/>
    <cellStyle name="Dezimal 65 23" xfId="13991" xr:uid="{4FE5DC87-4D0E-473D-8CA8-930892C6FC27}"/>
    <cellStyle name="Dezimal 65 23 2" xfId="33428" xr:uid="{5C55F479-561D-43ED-9618-C73DF8ED7810}"/>
    <cellStyle name="Dezimal 65 24" xfId="13992" xr:uid="{3A727892-FC60-4E48-AAD4-4866444BCC26}"/>
    <cellStyle name="Dezimal 65 24 2" xfId="33429" xr:uid="{9E51298B-5572-4583-A2E9-FC134CC3C439}"/>
    <cellStyle name="Dezimal 65 25" xfId="13993" xr:uid="{FF3EBB0C-AB98-4DC2-9F5E-169F9461A914}"/>
    <cellStyle name="Dezimal 65 25 2" xfId="33430" xr:uid="{9AFE4033-F86E-4493-A4B0-C69FB6A43E91}"/>
    <cellStyle name="Dezimal 65 26" xfId="13994" xr:uid="{EAE0C661-43FD-4890-8F0C-A97D6B8721BC}"/>
    <cellStyle name="Dezimal 65 26 2" xfId="33431" xr:uid="{2287B0D6-536C-4CDA-8B6E-B5E020E6F141}"/>
    <cellStyle name="Dezimal 65 27" xfId="13995" xr:uid="{5CAA5CAB-F3B6-41C4-8D10-36E9AF486AB4}"/>
    <cellStyle name="Dezimal 65 27 2" xfId="33432" xr:uid="{3D1B74BD-7E08-4F1D-AF83-8FFDD6A0D558}"/>
    <cellStyle name="Dezimal 65 28" xfId="13996" xr:uid="{AB350DFD-3D2B-4BD9-BEED-B7E6BA6309A0}"/>
    <cellStyle name="Dezimal 65 28 2" xfId="33433" xr:uid="{07A14534-39E7-4026-8B21-01ABA4691108}"/>
    <cellStyle name="Dezimal 65 29" xfId="13997" xr:uid="{489625F9-DC18-4F4E-8EFD-C20FFF54656E}"/>
    <cellStyle name="Dezimal 65 29 2" xfId="33434" xr:uid="{61C59231-19BF-41EF-B386-C36B3C5ECBBF}"/>
    <cellStyle name="Dezimal 65 3" xfId="13998" xr:uid="{7482D41A-E80F-44B8-9B3A-B3BF74837DB0}"/>
    <cellStyle name="Dezimal 65 3 2" xfId="13999" xr:uid="{879DE3B9-4CAC-444C-8DD0-D13BB8D59070}"/>
    <cellStyle name="Dezimal 65 3 2 2" xfId="33436" xr:uid="{E984536C-E11A-477C-BE31-5BAB4C4D392B}"/>
    <cellStyle name="Dezimal 65 3 3" xfId="33435" xr:uid="{A3A42612-993A-407D-93E2-76715E951843}"/>
    <cellStyle name="Dezimal 65 30" xfId="14000" xr:uid="{066566C0-EF90-49CC-873C-5F7FC632EC49}"/>
    <cellStyle name="Dezimal 65 30 2" xfId="33437" xr:uid="{8FB6264D-C967-47FC-B5B1-7D5B9E3D6185}"/>
    <cellStyle name="Dezimal 65 31" xfId="14001" xr:uid="{A64A0ADA-AEF5-46DB-9FD7-C044131BCD79}"/>
    <cellStyle name="Dezimal 65 31 2" xfId="33438" xr:uid="{DEB74A61-2DCC-4068-AB8E-DF4BA5F1C289}"/>
    <cellStyle name="Dezimal 65 32" xfId="33411" xr:uid="{67C25769-F7A2-4E08-B96A-A066E613668A}"/>
    <cellStyle name="Dezimal 65 4" xfId="14002" xr:uid="{35EA5B11-CB26-45C7-9D85-F0E48A6DCD59}"/>
    <cellStyle name="Dezimal 65 4 2" xfId="14003" xr:uid="{F75D2D1B-CBF8-4A67-B06D-BB46AC32BC61}"/>
    <cellStyle name="Dezimal 65 4 2 2" xfId="33440" xr:uid="{89303353-CF3B-4937-9501-DDDBE4BB48E0}"/>
    <cellStyle name="Dezimal 65 4 3" xfId="33439" xr:uid="{AF61B183-CE60-4B7F-982B-B9DE83804F61}"/>
    <cellStyle name="Dezimal 65 5" xfId="14004" xr:uid="{1B3C9F0C-B91D-4039-94CA-851369F26652}"/>
    <cellStyle name="Dezimal 65 5 2" xfId="14005" xr:uid="{731C354B-8B10-4E4E-A375-C537F6B462E9}"/>
    <cellStyle name="Dezimal 65 5 2 2" xfId="33442" xr:uid="{FA65CB84-55B2-4E3D-A5FA-02A1B73C8DE6}"/>
    <cellStyle name="Dezimal 65 5 3" xfId="33441" xr:uid="{655C37F9-2BCD-4530-8B4C-97DE067F9E14}"/>
    <cellStyle name="Dezimal 65 6" xfId="14006" xr:uid="{4A4B199A-B4A8-4BF5-872E-55E9C1B05B44}"/>
    <cellStyle name="Dezimal 65 6 2" xfId="14007" xr:uid="{DBCDB4F1-AD8B-45B0-84FF-C12725587EFA}"/>
    <cellStyle name="Dezimal 65 6 2 2" xfId="33444" xr:uid="{297C8E9D-6A94-4633-9CC8-0B67920EAEA1}"/>
    <cellStyle name="Dezimal 65 6 3" xfId="33443" xr:uid="{4C8EC627-668D-4CA8-8965-D666AF5A870D}"/>
    <cellStyle name="Dezimal 65 7" xfId="14008" xr:uid="{3CF55D30-24E0-47B5-ADC5-BEA14942B6B7}"/>
    <cellStyle name="Dezimal 65 7 2" xfId="14009" xr:uid="{F18E5F87-7D16-4BC5-A981-C2E39D2CBA10}"/>
    <cellStyle name="Dezimal 65 7 2 2" xfId="33446" xr:uid="{5A4B276F-033B-4564-9D17-EF592F153326}"/>
    <cellStyle name="Dezimal 65 7 3" xfId="33445" xr:uid="{110422D2-95E9-4583-B644-BED0FCE4A498}"/>
    <cellStyle name="Dezimal 65 8" xfId="14010" xr:uid="{7F3EEFC4-C60F-4A4C-B5BD-3ED40B69320B}"/>
    <cellStyle name="Dezimal 65 8 2" xfId="14011" xr:uid="{F7C585D1-4A26-4277-81DF-FB38ACA547B6}"/>
    <cellStyle name="Dezimal 65 8 2 2" xfId="33448" xr:uid="{B0190ADF-B682-401E-A5C5-C6161B6C974D}"/>
    <cellStyle name="Dezimal 65 8 3" xfId="33447" xr:uid="{9F9716C0-12F6-4626-8243-49CDF262B9C7}"/>
    <cellStyle name="Dezimal 65 9" xfId="14012" xr:uid="{AB953964-7398-4CE4-99CF-0B8FB5F4AE97}"/>
    <cellStyle name="Dezimal 65 9 2" xfId="14013" xr:uid="{AA04694C-0DE5-436D-8C59-A3708EF7D0F7}"/>
    <cellStyle name="Dezimal 65 9 2 2" xfId="33450" xr:uid="{31A5A87D-44B5-4155-BD1F-06A70EE21845}"/>
    <cellStyle name="Dezimal 65 9 3" xfId="33449" xr:uid="{A42358FB-77A9-457C-A5B7-9AD494B26834}"/>
    <cellStyle name="Dezimal 66" xfId="14014" xr:uid="{75AE3980-F34E-4E86-B57E-5B60BA303A0A}"/>
    <cellStyle name="Dezimal 66 10" xfId="14015" xr:uid="{7F5AAB36-D9C1-4781-8DE5-AA19E89A9324}"/>
    <cellStyle name="Dezimal 66 10 2" xfId="14016" xr:uid="{BA704CDF-4005-4CBC-A89D-63153E94D867}"/>
    <cellStyle name="Dezimal 66 10 2 2" xfId="33453" xr:uid="{EF5BEB90-BAC8-4FC1-BD0C-BDE70E29A2A0}"/>
    <cellStyle name="Dezimal 66 10 3" xfId="33452" xr:uid="{1D159512-1A4A-43FE-9472-0F68E0F47325}"/>
    <cellStyle name="Dezimal 66 11" xfId="14017" xr:uid="{AC29CDC0-5C35-46C1-80F7-EC6D7E2AB183}"/>
    <cellStyle name="Dezimal 66 11 2" xfId="33454" xr:uid="{2E6AE838-EB1D-4610-B165-D6CEF2B1AF51}"/>
    <cellStyle name="Dezimal 66 12" xfId="14018" xr:uid="{A924DBF2-AC5E-4293-A0AD-159800F8FC01}"/>
    <cellStyle name="Dezimal 66 12 2" xfId="33455" xr:uid="{08A12D3B-F473-4C38-9FB6-621A2392D6DC}"/>
    <cellStyle name="Dezimal 66 13" xfId="14019" xr:uid="{20177972-66F4-46E5-859D-17F1CC99ED21}"/>
    <cellStyle name="Dezimal 66 13 2" xfId="33456" xr:uid="{D2375BF6-FF8F-41E1-BC7B-5DF261EA63DB}"/>
    <cellStyle name="Dezimal 66 14" xfId="14020" xr:uid="{0797866A-37AA-4993-BF92-DC0813704C02}"/>
    <cellStyle name="Dezimal 66 14 2" xfId="33457" xr:uid="{A6F9FA13-FF71-4A41-BBC5-AE4935DF5320}"/>
    <cellStyle name="Dezimal 66 15" xfId="14021" xr:uid="{2F702EBF-D60C-48CC-BB2B-2F32A0BCC3DB}"/>
    <cellStyle name="Dezimal 66 15 2" xfId="33458" xr:uid="{D7A5AD68-1D3F-4972-96F6-7EBD4DD092AC}"/>
    <cellStyle name="Dezimal 66 16" xfId="14022" xr:uid="{41BA95C2-5A3A-4CF4-A369-03C6BBB39042}"/>
    <cellStyle name="Dezimal 66 16 2" xfId="33459" xr:uid="{78E36A6C-69AF-467E-892D-3AEA3A4D1FE8}"/>
    <cellStyle name="Dezimal 66 17" xfId="14023" xr:uid="{2969EA92-7117-4B4A-9149-B88C16984E05}"/>
    <cellStyle name="Dezimal 66 17 2" xfId="33460" xr:uid="{C09690FA-DDBD-441E-A421-5AEF66A3DB3D}"/>
    <cellStyle name="Dezimal 66 18" xfId="14024" xr:uid="{AF3F604B-2244-4EE4-8F7A-164F723B3D88}"/>
    <cellStyle name="Dezimal 66 18 2" xfId="33461" xr:uid="{6CAF2D50-64D7-4707-A05C-76CFB826D63F}"/>
    <cellStyle name="Dezimal 66 19" xfId="14025" xr:uid="{11B494E0-6679-4519-8B7B-4EE7CB063C75}"/>
    <cellStyle name="Dezimal 66 19 2" xfId="33462" xr:uid="{F9D1091B-1477-41D2-BA37-457907707FFA}"/>
    <cellStyle name="Dezimal 66 2" xfId="14026" xr:uid="{059CDEEC-647D-4E5F-9540-DE2DE48A75C5}"/>
    <cellStyle name="Dezimal 66 2 2" xfId="14027" xr:uid="{2B2E281A-F529-4BC5-9C93-5AF498C25D11}"/>
    <cellStyle name="Dezimal 66 2 2 2" xfId="33464" xr:uid="{331B62FB-E123-4601-81B1-5AC511FB10C7}"/>
    <cellStyle name="Dezimal 66 2 3" xfId="33463" xr:uid="{596195A3-80CF-4FDA-BC55-92939E06088A}"/>
    <cellStyle name="Dezimal 66 20" xfId="14028" xr:uid="{B5EA3BB0-0036-474D-9C63-F4820B05DB1B}"/>
    <cellStyle name="Dezimal 66 20 2" xfId="33465" xr:uid="{EFBAEA03-5C7F-45DF-B8A4-4D1F5C92E3D0}"/>
    <cellStyle name="Dezimal 66 21" xfId="14029" xr:uid="{750EB0AC-7E1C-4EC6-8217-635F7DFBF95D}"/>
    <cellStyle name="Dezimal 66 21 2" xfId="33466" xr:uid="{E8D94ACD-EAF1-462D-B804-FD64A67117B4}"/>
    <cellStyle name="Dezimal 66 22" xfId="14030" xr:uid="{D9500FDE-C72B-433F-92CF-6737ABEB776C}"/>
    <cellStyle name="Dezimal 66 22 2" xfId="33467" xr:uid="{4C43C118-A1C4-4649-8EA1-4CF67D384080}"/>
    <cellStyle name="Dezimal 66 23" xfId="14031" xr:uid="{7B6E1E09-610A-4C81-AA5D-A5C04356DBCA}"/>
    <cellStyle name="Dezimal 66 23 2" xfId="33468" xr:uid="{3D7F69DB-9214-4CD1-A9FB-6195886FAB72}"/>
    <cellStyle name="Dezimal 66 24" xfId="14032" xr:uid="{881CA2EB-C8DB-4E0E-821A-24B6A0DB9E51}"/>
    <cellStyle name="Dezimal 66 24 2" xfId="33469" xr:uid="{C42F1C15-E9AF-4606-8659-6AF1F7420F9A}"/>
    <cellStyle name="Dezimal 66 25" xfId="14033" xr:uid="{9F7D24A4-88F5-4311-9418-696EAA61EDB6}"/>
    <cellStyle name="Dezimal 66 25 2" xfId="33470" xr:uid="{5CA343B7-FAB5-47E8-BCD6-CA869560F54B}"/>
    <cellStyle name="Dezimal 66 26" xfId="14034" xr:uid="{60723119-F483-4376-AC05-507D0B5B23DA}"/>
    <cellStyle name="Dezimal 66 26 2" xfId="33471" xr:uid="{FDDDBDC0-A9C8-4B0F-B045-AA47C8D37E2C}"/>
    <cellStyle name="Dezimal 66 27" xfId="14035" xr:uid="{4E0EC819-4A66-44EB-B4D5-742F3163C774}"/>
    <cellStyle name="Dezimal 66 27 2" xfId="33472" xr:uid="{DB6133C4-12DA-49EB-B5BD-ADF8899EF14A}"/>
    <cellStyle name="Dezimal 66 28" xfId="14036" xr:uid="{D957019C-0784-40EE-82AF-AAF07A3A293B}"/>
    <cellStyle name="Dezimal 66 28 2" xfId="33473" xr:uid="{69B70E8B-9C8D-466C-B50D-4460C9EBF0F4}"/>
    <cellStyle name="Dezimal 66 29" xfId="14037" xr:uid="{DA107F8D-4A45-4200-9E55-737555B536E6}"/>
    <cellStyle name="Dezimal 66 29 2" xfId="33474" xr:uid="{34C7D99B-A531-443A-BDCF-70B07B8C23DE}"/>
    <cellStyle name="Dezimal 66 3" xfId="14038" xr:uid="{4A3B2786-E2A4-45BF-9E2D-615EAC2A7C2E}"/>
    <cellStyle name="Dezimal 66 3 2" xfId="14039" xr:uid="{E04A0185-F81E-4A26-A8BE-87AB544D9C9A}"/>
    <cellStyle name="Dezimal 66 3 2 2" xfId="33476" xr:uid="{3D43F732-5E95-48E4-A022-EA1E7276E18F}"/>
    <cellStyle name="Dezimal 66 3 3" xfId="33475" xr:uid="{A8781AC1-4894-44C9-9CCC-D7C68482E75A}"/>
    <cellStyle name="Dezimal 66 30" xfId="14040" xr:uid="{60A413BD-1D1F-4175-BFFA-7399550DDEEE}"/>
    <cellStyle name="Dezimal 66 30 2" xfId="33477" xr:uid="{101C3787-0A97-4513-B69A-C015E7023DD6}"/>
    <cellStyle name="Dezimal 66 31" xfId="14041" xr:uid="{24D746A7-E338-4C04-9026-252DB3C67D03}"/>
    <cellStyle name="Dezimal 66 31 2" xfId="33478" xr:uid="{6252F683-108B-46A1-B275-9BB1AF4B9A95}"/>
    <cellStyle name="Dezimal 66 32" xfId="33451" xr:uid="{B444BD3A-2E34-47CD-AA0E-F4F4AA390798}"/>
    <cellStyle name="Dezimal 66 4" xfId="14042" xr:uid="{1D5F51E1-9F01-4C62-9197-99AA21E6AA81}"/>
    <cellStyle name="Dezimal 66 4 2" xfId="14043" xr:uid="{70BAA335-2202-43B4-82DE-F1989E9A7466}"/>
    <cellStyle name="Dezimal 66 4 2 2" xfId="33480" xr:uid="{7F73145C-EF07-46C5-B1D6-7BAF74C52C22}"/>
    <cellStyle name="Dezimal 66 4 3" xfId="33479" xr:uid="{FB987C55-0D07-4EEB-A540-9741D39CC1DE}"/>
    <cellStyle name="Dezimal 66 5" xfId="14044" xr:uid="{E2921852-7C18-40F2-9BB1-C37698ACFD74}"/>
    <cellStyle name="Dezimal 66 5 2" xfId="14045" xr:uid="{F6C2F9AE-430F-4090-A2C2-8EF5475ED741}"/>
    <cellStyle name="Dezimal 66 5 2 2" xfId="33482" xr:uid="{E7B44BBE-6222-4807-8991-5D3B6C0454C4}"/>
    <cellStyle name="Dezimal 66 5 3" xfId="33481" xr:uid="{63D62C97-9872-436E-937E-D99FC6AFB3E2}"/>
    <cellStyle name="Dezimal 66 6" xfId="14046" xr:uid="{DB93AFB2-94CC-443A-8DF2-BE9E0E51C283}"/>
    <cellStyle name="Dezimal 66 6 2" xfId="14047" xr:uid="{98D487DA-5FC8-448D-A1D9-FB6CC84B4EA3}"/>
    <cellStyle name="Dezimal 66 6 2 2" xfId="33484" xr:uid="{0276DC73-A7A9-4A85-9805-2432965BBED1}"/>
    <cellStyle name="Dezimal 66 6 3" xfId="33483" xr:uid="{8C5369D9-C13F-4362-B511-768A3B0C7425}"/>
    <cellStyle name="Dezimal 66 7" xfId="14048" xr:uid="{CFBAB261-A0AF-4F07-9D1B-3C510448C71F}"/>
    <cellStyle name="Dezimal 66 7 2" xfId="14049" xr:uid="{94E619A7-34E5-44CE-B7C9-499ED8E45BC9}"/>
    <cellStyle name="Dezimal 66 7 2 2" xfId="33486" xr:uid="{BE6302BE-8A1B-40CD-8172-E161E3A5C2AF}"/>
    <cellStyle name="Dezimal 66 7 3" xfId="33485" xr:uid="{8EE6A085-F247-4944-B212-F3B7DE2DAD99}"/>
    <cellStyle name="Dezimal 66 8" xfId="14050" xr:uid="{89AF0A9B-983D-42E1-97C4-A066F80553AF}"/>
    <cellStyle name="Dezimal 66 8 2" xfId="14051" xr:uid="{0499159F-2199-4C3D-A920-98F13F6B371C}"/>
    <cellStyle name="Dezimal 66 8 2 2" xfId="33488" xr:uid="{669276BC-03E3-4003-BAF3-7051607E2C47}"/>
    <cellStyle name="Dezimal 66 8 3" xfId="33487" xr:uid="{6526B240-3C63-4902-8A62-FC882F317492}"/>
    <cellStyle name="Dezimal 66 9" xfId="14052" xr:uid="{0DB37F16-3CCE-492C-888B-B014C8A13121}"/>
    <cellStyle name="Dezimal 66 9 2" xfId="14053" xr:uid="{16CDD14A-A0D3-4789-BDD3-7A4AB987A7D8}"/>
    <cellStyle name="Dezimal 66 9 2 2" xfId="33490" xr:uid="{E2EE742A-E7ED-4F61-9DB4-31BFBAD3551C}"/>
    <cellStyle name="Dezimal 66 9 3" xfId="33489" xr:uid="{3D2A438A-30CD-4F4C-94CC-20B7FE120093}"/>
    <cellStyle name="Dezimal 67" xfId="14054" xr:uid="{0ADE37A3-EE84-479F-869A-3E86B6D39E65}"/>
    <cellStyle name="Dezimal 67 10" xfId="14055" xr:uid="{C678CC71-99CA-475B-816A-153785D77B81}"/>
    <cellStyle name="Dezimal 67 10 2" xfId="14056" xr:uid="{3258EEE8-FA89-4A7E-9660-EDE71C0483DA}"/>
    <cellStyle name="Dezimal 67 10 2 2" xfId="33493" xr:uid="{BD60B6B3-460A-4F7B-8B1E-6F31EB7037B1}"/>
    <cellStyle name="Dezimal 67 10 3" xfId="33492" xr:uid="{98F6CB43-DECC-476D-AE63-7D6509387CB8}"/>
    <cellStyle name="Dezimal 67 11" xfId="14057" xr:uid="{A8A2A7BB-D575-4D3C-B6EC-25F448F9CDCD}"/>
    <cellStyle name="Dezimal 67 11 2" xfId="33494" xr:uid="{34D9026D-4842-4808-92B2-638DB4E33B7A}"/>
    <cellStyle name="Dezimal 67 12" xfId="14058" xr:uid="{18C4D04F-3CF0-4691-A67A-5FB0BAAC9FE2}"/>
    <cellStyle name="Dezimal 67 12 2" xfId="33495" xr:uid="{D54D4B67-801E-49C9-B921-6B4C2922BE82}"/>
    <cellStyle name="Dezimal 67 13" xfId="14059" xr:uid="{518CACB9-FA18-42C1-965F-C6E5946DF06C}"/>
    <cellStyle name="Dezimal 67 13 2" xfId="33496" xr:uid="{C92C9583-4B4C-42EC-A8EB-2DCA97119213}"/>
    <cellStyle name="Dezimal 67 14" xfId="14060" xr:uid="{4AF35489-12B1-4ED4-83DD-D47FC876A00D}"/>
    <cellStyle name="Dezimal 67 14 2" xfId="33497" xr:uid="{E0DC386D-1D53-4D98-B28E-AF0A39A837EF}"/>
    <cellStyle name="Dezimal 67 15" xfId="14061" xr:uid="{26A8501C-AA70-4A87-8098-6BF95B6306A8}"/>
    <cellStyle name="Dezimal 67 15 2" xfId="33498" xr:uid="{E6D7800A-036C-4200-AECD-48F2F9987FC5}"/>
    <cellStyle name="Dezimal 67 16" xfId="14062" xr:uid="{57D6DA51-AE0A-4859-A25E-41891DD25E01}"/>
    <cellStyle name="Dezimal 67 16 2" xfId="33499" xr:uid="{46505C53-B34A-46AA-9137-AB146D8C8065}"/>
    <cellStyle name="Dezimal 67 17" xfId="14063" xr:uid="{8E046B5E-3A0A-4C01-A3CB-EDCC7D6C3128}"/>
    <cellStyle name="Dezimal 67 17 2" xfId="33500" xr:uid="{B3EAB06D-1B5F-4CD0-BAA1-C83127868F8B}"/>
    <cellStyle name="Dezimal 67 18" xfId="14064" xr:uid="{B8999CBE-8BCF-431C-9B2B-AA4DAEA4800D}"/>
    <cellStyle name="Dezimal 67 18 2" xfId="33501" xr:uid="{728CF052-53C6-4890-A20B-1AA59A8B6F9F}"/>
    <cellStyle name="Dezimal 67 19" xfId="14065" xr:uid="{531E6B1D-500F-4FB0-8C70-9FF26BEB0D45}"/>
    <cellStyle name="Dezimal 67 19 2" xfId="33502" xr:uid="{10672BEA-ABEA-447E-8D72-CA73A22A95FC}"/>
    <cellStyle name="Dezimal 67 2" xfId="14066" xr:uid="{3118EF98-9A15-47E8-9AC4-D214F0B792DC}"/>
    <cellStyle name="Dezimal 67 2 2" xfId="14067" xr:uid="{431AA3AE-C2FF-4CA9-AB60-A5FAB271B575}"/>
    <cellStyle name="Dezimal 67 2 2 2" xfId="33504" xr:uid="{8511FA20-E0BF-4BC8-88A7-F942151F10B8}"/>
    <cellStyle name="Dezimal 67 2 3" xfId="33503" xr:uid="{91780548-D891-4981-AAEB-A93617AFB46B}"/>
    <cellStyle name="Dezimal 67 20" xfId="14068" xr:uid="{50280EA8-9B3C-4CCB-ACD2-44C5B36B5150}"/>
    <cellStyle name="Dezimal 67 20 2" xfId="33505" xr:uid="{A774848D-4E73-4777-9DEE-23F392DB557F}"/>
    <cellStyle name="Dezimal 67 21" xfId="14069" xr:uid="{459A96B9-81C1-402F-849D-36E375DD682B}"/>
    <cellStyle name="Dezimal 67 21 2" xfId="33506" xr:uid="{AD636C6C-974A-4045-B43E-1AEF31FE8A26}"/>
    <cellStyle name="Dezimal 67 22" xfId="14070" xr:uid="{B836BB26-6F2D-47C6-92BC-8431B0EDC8A5}"/>
    <cellStyle name="Dezimal 67 22 2" xfId="33507" xr:uid="{0F7AB1D6-13BB-422A-8793-DF7E9270C76A}"/>
    <cellStyle name="Dezimal 67 23" xfId="14071" xr:uid="{84692F73-C59F-4484-A4FE-363F2B490906}"/>
    <cellStyle name="Dezimal 67 23 2" xfId="33508" xr:uid="{355B1042-BA3C-4786-9797-F79A80B59E8C}"/>
    <cellStyle name="Dezimal 67 24" xfId="14072" xr:uid="{8C1AC884-F1A0-4B3D-A9B6-9E827E3D5575}"/>
    <cellStyle name="Dezimal 67 24 2" xfId="33509" xr:uid="{B517B0F1-1614-4F8E-90B8-E6969759B805}"/>
    <cellStyle name="Dezimal 67 25" xfId="14073" xr:uid="{32D13674-62F9-4CD4-B873-E48B3759CBB1}"/>
    <cellStyle name="Dezimal 67 25 2" xfId="33510" xr:uid="{1D293C7C-9B2B-407E-9A37-A90EFFEB7132}"/>
    <cellStyle name="Dezimal 67 26" xfId="14074" xr:uid="{9DB44381-04F8-430C-8ECF-15319050BBD8}"/>
    <cellStyle name="Dezimal 67 26 2" xfId="33511" xr:uid="{639BDF4B-A0DC-4162-AC5B-71C008064326}"/>
    <cellStyle name="Dezimal 67 27" xfId="14075" xr:uid="{CA1B4A4F-83E5-40AB-AF2E-4F7E72F4420B}"/>
    <cellStyle name="Dezimal 67 27 2" xfId="33512" xr:uid="{A420A0D4-B880-41FB-9BAA-4F5EB973B629}"/>
    <cellStyle name="Dezimal 67 28" xfId="14076" xr:uid="{F8486F5C-D552-4047-9C69-AE956197FF1F}"/>
    <cellStyle name="Dezimal 67 28 2" xfId="33513" xr:uid="{27CB5F00-4E36-44DB-9E0B-4B7146DCE843}"/>
    <cellStyle name="Dezimal 67 29" xfId="14077" xr:uid="{DFF90A92-9BB1-406E-8FDE-142D1794CC9B}"/>
    <cellStyle name="Dezimal 67 29 2" xfId="33514" xr:uid="{0A089465-C882-458D-9996-09024AC562CC}"/>
    <cellStyle name="Dezimal 67 3" xfId="14078" xr:uid="{04D0F554-E519-4758-A771-626EC7F366B5}"/>
    <cellStyle name="Dezimal 67 3 2" xfId="14079" xr:uid="{6F8D1822-A599-4F88-ACDC-4738AB7BE449}"/>
    <cellStyle name="Dezimal 67 3 2 2" xfId="33516" xr:uid="{96F2E3E6-77B9-4ACA-AE2A-ED0E72BCD4BF}"/>
    <cellStyle name="Dezimal 67 3 3" xfId="33515" xr:uid="{58CEB14B-0261-4558-884C-B5669FFAAB68}"/>
    <cellStyle name="Dezimal 67 30" xfId="14080" xr:uid="{E37515F6-26AB-4CC7-BD9F-CB56338653A8}"/>
    <cellStyle name="Dezimal 67 30 2" xfId="33517" xr:uid="{86728D16-E74F-43E4-936F-6B9EF4E3C631}"/>
    <cellStyle name="Dezimal 67 31" xfId="14081" xr:uid="{C184401D-C367-4F28-B1A1-E64F30AA4302}"/>
    <cellStyle name="Dezimal 67 31 2" xfId="33518" xr:uid="{14CA6602-A5DD-4380-AA62-4B985C1F92C6}"/>
    <cellStyle name="Dezimal 67 32" xfId="33491" xr:uid="{5E75DDAE-51AC-450B-B482-9941E7DA6F20}"/>
    <cellStyle name="Dezimal 67 4" xfId="14082" xr:uid="{C5258EA3-867F-4C22-B3F8-E3F2DB1E0BF7}"/>
    <cellStyle name="Dezimal 67 4 2" xfId="14083" xr:uid="{2F0D34F7-5487-4890-A447-2DCC1FCDAA87}"/>
    <cellStyle name="Dezimal 67 4 2 2" xfId="33520" xr:uid="{D9C28807-7299-448D-8705-A2B0FEC1ED6A}"/>
    <cellStyle name="Dezimal 67 4 3" xfId="33519" xr:uid="{38C989D4-365A-480B-ACC8-979C199E71EF}"/>
    <cellStyle name="Dezimal 67 5" xfId="14084" xr:uid="{2E1051C2-CFBC-4554-A3F9-117B6455B3BC}"/>
    <cellStyle name="Dezimal 67 5 2" xfId="14085" xr:uid="{FF067836-C984-4BE8-AADD-D198D916E351}"/>
    <cellStyle name="Dezimal 67 5 2 2" xfId="33522" xr:uid="{BB3651C5-6C85-40FA-99FE-0EFFA26ADCE3}"/>
    <cellStyle name="Dezimal 67 5 3" xfId="33521" xr:uid="{8269902B-F6B8-4220-93A2-92E86A72421E}"/>
    <cellStyle name="Dezimal 67 6" xfId="14086" xr:uid="{885D148B-1974-49D2-8E4C-1D24008E3B3D}"/>
    <cellStyle name="Dezimal 67 6 2" xfId="14087" xr:uid="{A7884311-A76E-48EF-AFD7-6628E9B0533B}"/>
    <cellStyle name="Dezimal 67 6 2 2" xfId="33524" xr:uid="{D97732A4-3FCA-460B-9DA0-41D6158C27BA}"/>
    <cellStyle name="Dezimal 67 6 3" xfId="33523" xr:uid="{9F1AE4F5-040A-4BBA-A827-71E7786EDD1B}"/>
    <cellStyle name="Dezimal 67 7" xfId="14088" xr:uid="{610491E2-004A-4C4C-AEAE-456AA3239BD8}"/>
    <cellStyle name="Dezimal 67 7 2" xfId="14089" xr:uid="{A3CB7233-1457-4D2F-9EC1-6A0FBAE2C168}"/>
    <cellStyle name="Dezimal 67 7 2 2" xfId="33526" xr:uid="{3A1FDC33-8EB5-44F4-914C-E2CE8CE9E6A0}"/>
    <cellStyle name="Dezimal 67 7 3" xfId="33525" xr:uid="{B892351B-3DAF-4CFD-8047-856F1B2E0D8A}"/>
    <cellStyle name="Dezimal 67 8" xfId="14090" xr:uid="{2C2D15CC-942C-4E60-87F5-A392D398DF4A}"/>
    <cellStyle name="Dezimal 67 8 2" xfId="14091" xr:uid="{27088FDD-86C4-49DF-A2D8-1D9B5C4B2F02}"/>
    <cellStyle name="Dezimal 67 8 2 2" xfId="33528" xr:uid="{D09DCDA6-596A-4178-AEB0-4673DEE6C2D6}"/>
    <cellStyle name="Dezimal 67 8 3" xfId="33527" xr:uid="{3F78C874-EB31-428A-B49E-768A3BB50548}"/>
    <cellStyle name="Dezimal 67 9" xfId="14092" xr:uid="{96167388-680A-4E5F-A921-4BD25A831480}"/>
    <cellStyle name="Dezimal 67 9 2" xfId="14093" xr:uid="{84707F05-6D2E-4081-8DCB-36B7A24D22E3}"/>
    <cellStyle name="Dezimal 67 9 2 2" xfId="33530" xr:uid="{2BEE6578-2242-46DA-B06D-1AC51B86E7C4}"/>
    <cellStyle name="Dezimal 67 9 3" xfId="33529" xr:uid="{CC8D90A1-CE91-43BB-AE52-51DB673559B8}"/>
    <cellStyle name="Dezimal 68" xfId="14094" xr:uid="{B4E3B5AB-4FD5-4E17-88DB-FB5494600DE7}"/>
    <cellStyle name="Dezimal 68 10" xfId="14095" xr:uid="{F69D2659-51A0-488F-89F5-A1B96DC30EF8}"/>
    <cellStyle name="Dezimal 68 10 2" xfId="14096" xr:uid="{74EFC35B-A390-457F-A9DA-7E75B635AF64}"/>
    <cellStyle name="Dezimal 68 10 2 2" xfId="33533" xr:uid="{271395DC-1525-478B-AD5E-82290B094A28}"/>
    <cellStyle name="Dezimal 68 10 3" xfId="33532" xr:uid="{03CE636B-CC3B-402F-A991-2AB0AC296B2F}"/>
    <cellStyle name="Dezimal 68 11" xfId="14097" xr:uid="{4E680F65-4172-40DB-BB29-E3F626C4190F}"/>
    <cellStyle name="Dezimal 68 11 2" xfId="33534" xr:uid="{6E6A3B24-AC9B-4955-90C8-4FA31BA87B3F}"/>
    <cellStyle name="Dezimal 68 12" xfId="14098" xr:uid="{D47ED392-0551-45FE-83EC-188B98B72BFF}"/>
    <cellStyle name="Dezimal 68 12 2" xfId="33535" xr:uid="{DDE66672-541D-4148-8478-233A3ECD8EE4}"/>
    <cellStyle name="Dezimal 68 13" xfId="14099" xr:uid="{ABC394A7-4392-46C5-8166-F3124006C9D6}"/>
    <cellStyle name="Dezimal 68 13 2" xfId="33536" xr:uid="{7547EEA7-FE26-4D02-BE47-7EB21144B607}"/>
    <cellStyle name="Dezimal 68 14" xfId="14100" xr:uid="{3BC981CE-7C4D-4E0B-A36B-45BECF765A75}"/>
    <cellStyle name="Dezimal 68 14 2" xfId="33537" xr:uid="{23FEB5EA-0C87-4C0D-B6C5-66216554AAF7}"/>
    <cellStyle name="Dezimal 68 15" xfId="14101" xr:uid="{A669AECB-7B43-4CC7-9488-B4C8A2A10F20}"/>
    <cellStyle name="Dezimal 68 15 2" xfId="33538" xr:uid="{842BE4D1-7285-4177-AA0F-48C7300AEE08}"/>
    <cellStyle name="Dezimal 68 16" xfId="14102" xr:uid="{D7AD752C-5CD6-44AE-892F-7B2C087C3E57}"/>
    <cellStyle name="Dezimal 68 16 2" xfId="33539" xr:uid="{AFFD56C1-97BE-4645-9D20-7FFBFFFF03CA}"/>
    <cellStyle name="Dezimal 68 17" xfId="14103" xr:uid="{B433F1DA-2624-4F5A-8FD2-0DAD754DC880}"/>
    <cellStyle name="Dezimal 68 17 2" xfId="33540" xr:uid="{140EA411-286C-4456-804D-56DD8B47B5DF}"/>
    <cellStyle name="Dezimal 68 18" xfId="14104" xr:uid="{6B20C111-2172-440E-892D-F55058D9BAE7}"/>
    <cellStyle name="Dezimal 68 18 2" xfId="33541" xr:uid="{F461BACF-0B74-4ADE-B389-1E0176E1BE3D}"/>
    <cellStyle name="Dezimal 68 19" xfId="14105" xr:uid="{81540983-C5C1-4EBA-A47F-F3845C5E52E1}"/>
    <cellStyle name="Dezimal 68 19 2" xfId="33542" xr:uid="{A83B99F1-2074-4195-BB60-80107E6BFAE2}"/>
    <cellStyle name="Dezimal 68 2" xfId="14106" xr:uid="{587E2839-F02B-41DC-87EA-A0C73E8F4FCF}"/>
    <cellStyle name="Dezimal 68 2 2" xfId="14107" xr:uid="{D675D5C3-DC78-415B-83FF-E41AF9E6EF2E}"/>
    <cellStyle name="Dezimal 68 2 2 2" xfId="33544" xr:uid="{062E0F05-F50C-47DD-B364-310F2B512ADD}"/>
    <cellStyle name="Dezimal 68 2 3" xfId="33543" xr:uid="{5F4380A7-110E-4B99-B432-E365C7E2F00D}"/>
    <cellStyle name="Dezimal 68 20" xfId="14108" xr:uid="{B1DDCA11-0018-4D42-8981-55C1AFFB36E7}"/>
    <cellStyle name="Dezimal 68 20 2" xfId="33545" xr:uid="{299703DE-CB70-4304-B07E-F5C7A561D720}"/>
    <cellStyle name="Dezimal 68 21" xfId="14109" xr:uid="{7A563AEF-05F7-4BD1-B04D-4E351EAAC0D3}"/>
    <cellStyle name="Dezimal 68 21 2" xfId="33546" xr:uid="{0D6D8292-4504-40FD-A4C6-8B8EFE60DF09}"/>
    <cellStyle name="Dezimal 68 22" xfId="14110" xr:uid="{330DBF7F-39E1-4A6D-960C-813A036A6129}"/>
    <cellStyle name="Dezimal 68 22 2" xfId="33547" xr:uid="{823EF6CF-260F-4F9A-8F08-519A4BB6F1BB}"/>
    <cellStyle name="Dezimal 68 23" xfId="14111" xr:uid="{47FE452B-DA81-461B-820B-A5C4B712CFD8}"/>
    <cellStyle name="Dezimal 68 23 2" xfId="33548" xr:uid="{7B9FB2F4-7F1A-46F0-82C3-45A2755293EA}"/>
    <cellStyle name="Dezimal 68 24" xfId="14112" xr:uid="{973AAD21-4432-401B-9530-932C348E3899}"/>
    <cellStyle name="Dezimal 68 24 2" xfId="33549" xr:uid="{EAA4DBED-BB42-4E25-BBF7-B01DF0FF7EC7}"/>
    <cellStyle name="Dezimal 68 25" xfId="14113" xr:uid="{E5F7DD87-F7FE-415D-A5BA-1CB82F9F4DC8}"/>
    <cellStyle name="Dezimal 68 25 2" xfId="33550" xr:uid="{EECE205F-C251-4BCF-8CFF-5ADD9041F28C}"/>
    <cellStyle name="Dezimal 68 26" xfId="14114" xr:uid="{4FE56554-370A-48AA-8C1F-B8CC5A8D0D0C}"/>
    <cellStyle name="Dezimal 68 26 2" xfId="33551" xr:uid="{91BC1443-C267-4C66-9581-F53CED020255}"/>
    <cellStyle name="Dezimal 68 27" xfId="14115" xr:uid="{FB6BCC63-0B5A-4FEA-99CA-CFB06BB0D734}"/>
    <cellStyle name="Dezimal 68 27 2" xfId="33552" xr:uid="{728F3420-37D9-4B3D-A449-26808284CD87}"/>
    <cellStyle name="Dezimal 68 28" xfId="14116" xr:uid="{B16A7921-8CB0-4030-8711-FD83F4C1DD8A}"/>
    <cellStyle name="Dezimal 68 28 2" xfId="33553" xr:uid="{812C1492-B075-4F2E-8E96-65E3FF7ADFEA}"/>
    <cellStyle name="Dezimal 68 29" xfId="14117" xr:uid="{45F8F581-1A73-4ED7-ACAD-F7E2E2E8A009}"/>
    <cellStyle name="Dezimal 68 29 2" xfId="33554" xr:uid="{54CFFFF2-50F7-470B-8F1A-ED2CF83A9418}"/>
    <cellStyle name="Dezimal 68 3" xfId="14118" xr:uid="{74579F58-D056-47AA-BAD2-4A168189547A}"/>
    <cellStyle name="Dezimal 68 3 2" xfId="14119" xr:uid="{1B46454C-7ACF-4AE6-A87C-D06E984C5524}"/>
    <cellStyle name="Dezimal 68 3 2 2" xfId="33556" xr:uid="{3D30FC46-6EBB-4D15-B096-BA9355037E6B}"/>
    <cellStyle name="Dezimal 68 3 3" xfId="33555" xr:uid="{4929CAEA-AE48-4FC7-99C4-E78B206F0801}"/>
    <cellStyle name="Dezimal 68 30" xfId="14120" xr:uid="{88B6C5A5-1B13-4948-99E8-CB7768AC55D6}"/>
    <cellStyle name="Dezimal 68 30 2" xfId="33557" xr:uid="{BCD9294F-A320-4734-8395-2EC278C25198}"/>
    <cellStyle name="Dezimal 68 31" xfId="14121" xr:uid="{FF6C3DFC-AD2D-4B5F-8976-01550FF2B78F}"/>
    <cellStyle name="Dezimal 68 31 2" xfId="33558" xr:uid="{37F879A2-4045-4033-9C15-86A277296CDB}"/>
    <cellStyle name="Dezimal 68 32" xfId="33531" xr:uid="{DD337021-52C7-4772-8E9A-265CDFA7C0E0}"/>
    <cellStyle name="Dezimal 68 4" xfId="14122" xr:uid="{C0A2E9FB-3051-4FF2-9201-D9667699B74A}"/>
    <cellStyle name="Dezimal 68 4 2" xfId="14123" xr:uid="{32333174-4BCB-4857-AAD4-667A593BB0EB}"/>
    <cellStyle name="Dezimal 68 4 2 2" xfId="33560" xr:uid="{33A182B5-963E-4C1E-ACE2-1FE3E6FDB95F}"/>
    <cellStyle name="Dezimal 68 4 3" xfId="33559" xr:uid="{4075B0BE-F51B-4E12-A0BD-64D661406872}"/>
    <cellStyle name="Dezimal 68 5" xfId="14124" xr:uid="{6F2E2E51-4686-4BA8-890D-39ED82FE19DE}"/>
    <cellStyle name="Dezimal 68 5 2" xfId="14125" xr:uid="{4231970B-C914-4635-A68F-5230D4416C35}"/>
    <cellStyle name="Dezimal 68 5 2 2" xfId="33562" xr:uid="{EF697A92-C1FE-4DB8-9039-BFBD4173DEDF}"/>
    <cellStyle name="Dezimal 68 5 3" xfId="33561" xr:uid="{00451649-ACF7-499F-8AB4-590B141BFAB1}"/>
    <cellStyle name="Dezimal 68 6" xfId="14126" xr:uid="{054DD3F6-48D5-40E6-BC02-27DBAD992575}"/>
    <cellStyle name="Dezimal 68 6 2" xfId="14127" xr:uid="{AF80318A-DD0F-4F9D-90E9-3770124131E0}"/>
    <cellStyle name="Dezimal 68 6 2 2" xfId="33564" xr:uid="{E676BE72-EB41-430C-8B8F-225E84759AFF}"/>
    <cellStyle name="Dezimal 68 6 3" xfId="33563" xr:uid="{E3E0D0FA-ED90-4C95-AC05-EFC214311B48}"/>
    <cellStyle name="Dezimal 68 7" xfId="14128" xr:uid="{68C4F975-F6A6-493E-80B6-65067F9738AC}"/>
    <cellStyle name="Dezimal 68 7 2" xfId="14129" xr:uid="{6F601FA6-1119-4616-8EE7-C094010B0271}"/>
    <cellStyle name="Dezimal 68 7 2 2" xfId="33566" xr:uid="{E496BFE6-331C-4DEA-9002-A5A942FA0B4C}"/>
    <cellStyle name="Dezimal 68 7 3" xfId="33565" xr:uid="{9F4311D9-321E-4422-BD58-43EF08CB9289}"/>
    <cellStyle name="Dezimal 68 8" xfId="14130" xr:uid="{16ECB868-D9DF-4E19-A52B-18D07A1A1377}"/>
    <cellStyle name="Dezimal 68 8 2" xfId="14131" xr:uid="{8B6DF85B-F880-4943-A68C-E888523D9818}"/>
    <cellStyle name="Dezimal 68 8 2 2" xfId="33568" xr:uid="{AC74C188-3119-48CE-836A-918D7055D5F0}"/>
    <cellStyle name="Dezimal 68 8 3" xfId="33567" xr:uid="{47BB113D-F542-4874-9AD2-4B3370DA2334}"/>
    <cellStyle name="Dezimal 68 9" xfId="14132" xr:uid="{D503EBC3-48BF-4C29-9945-0F81799F3007}"/>
    <cellStyle name="Dezimal 68 9 2" xfId="14133" xr:uid="{085EDEB4-1AFE-4C2F-9188-5965FBE172D9}"/>
    <cellStyle name="Dezimal 68 9 2 2" xfId="33570" xr:uid="{5849E6FF-8DD3-4679-AE60-B8A651EFC3E7}"/>
    <cellStyle name="Dezimal 68 9 3" xfId="33569" xr:uid="{09E0F380-51D3-4E3E-BB90-452E437ADEB6}"/>
    <cellStyle name="Dezimal 69" xfId="14134" xr:uid="{E00D692C-A88A-40C6-B08A-68403C6F6CF8}"/>
    <cellStyle name="Dezimal 69 10" xfId="14135" xr:uid="{0F4DFBCD-48C5-4AA5-A936-60FF5C332F84}"/>
    <cellStyle name="Dezimal 69 10 2" xfId="14136" xr:uid="{0D1A08BB-09F2-4817-890E-4A19E99083F9}"/>
    <cellStyle name="Dezimal 69 10 2 2" xfId="33573" xr:uid="{6672EE59-1307-4FD1-BF52-4D29D97E3D48}"/>
    <cellStyle name="Dezimal 69 10 3" xfId="33572" xr:uid="{357B21E4-F802-472B-BA27-6E3DACE23078}"/>
    <cellStyle name="Dezimal 69 11" xfId="14137" xr:uid="{1916EA5B-0248-4BB8-8910-A076383C26A1}"/>
    <cellStyle name="Dezimal 69 11 2" xfId="33574" xr:uid="{BCDF9FF1-FE26-4D57-8ADD-7F8E47045A2B}"/>
    <cellStyle name="Dezimal 69 12" xfId="14138" xr:uid="{1AE119AB-8C2D-4B3D-A629-46F12253A98E}"/>
    <cellStyle name="Dezimal 69 12 2" xfId="33575" xr:uid="{F8804CAE-0ED8-4294-987A-844162511B40}"/>
    <cellStyle name="Dezimal 69 13" xfId="14139" xr:uid="{760430C8-32A8-41C2-A489-21097D7B4946}"/>
    <cellStyle name="Dezimal 69 13 2" xfId="33576" xr:uid="{67849728-833F-42F9-B0E1-277247241B94}"/>
    <cellStyle name="Dezimal 69 14" xfId="14140" xr:uid="{60E55336-1A03-47DA-B718-59C4CB6EE614}"/>
    <cellStyle name="Dezimal 69 14 2" xfId="33577" xr:uid="{7E375BD2-0455-4A75-9B93-569C0B73AD5D}"/>
    <cellStyle name="Dezimal 69 15" xfId="14141" xr:uid="{91812F4F-743A-45E3-A364-46D3C95E0D59}"/>
    <cellStyle name="Dezimal 69 15 2" xfId="33578" xr:uid="{EADBBE57-A448-4152-8D7D-4BBF5A564C14}"/>
    <cellStyle name="Dezimal 69 16" xfId="14142" xr:uid="{2A3D48F4-F567-4693-B989-661162A4003A}"/>
    <cellStyle name="Dezimal 69 16 2" xfId="33579" xr:uid="{08D8784C-3FA3-4A18-972A-AAB37B82378B}"/>
    <cellStyle name="Dezimal 69 17" xfId="14143" xr:uid="{7CA8B153-D24A-43E4-BF32-C43931CDD7E8}"/>
    <cellStyle name="Dezimal 69 17 2" xfId="33580" xr:uid="{959795A3-A229-4357-94C9-38F50E4F5710}"/>
    <cellStyle name="Dezimal 69 18" xfId="14144" xr:uid="{6DF660D3-7BF7-4B0C-9504-45A7510D3FD5}"/>
    <cellStyle name="Dezimal 69 18 2" xfId="33581" xr:uid="{C0C530EA-623C-4553-960B-0E69CC67D3D1}"/>
    <cellStyle name="Dezimal 69 19" xfId="14145" xr:uid="{3011AA5A-215B-4186-AE7F-5E38318675D5}"/>
    <cellStyle name="Dezimal 69 19 2" xfId="33582" xr:uid="{DAC470DC-B106-468A-A62B-68EB80C6F6E6}"/>
    <cellStyle name="Dezimal 69 2" xfId="14146" xr:uid="{3A2B7E8F-55DF-4E60-A5FD-D7DD6C97A250}"/>
    <cellStyle name="Dezimal 69 2 2" xfId="14147" xr:uid="{9997D062-DEB7-4D05-A3B3-4100A1F1D322}"/>
    <cellStyle name="Dezimal 69 2 2 2" xfId="33584" xr:uid="{BEBD757A-0A4C-43D5-9F11-FA465D5D7CC9}"/>
    <cellStyle name="Dezimal 69 2 3" xfId="33583" xr:uid="{4C749E4A-36B2-47DE-9CE9-C0202DCD4047}"/>
    <cellStyle name="Dezimal 69 20" xfId="14148" xr:uid="{AAC20D38-FB34-41EA-904E-CEA12AAA9B3F}"/>
    <cellStyle name="Dezimal 69 20 2" xfId="33585" xr:uid="{ACF52BB8-33C1-49E5-8D98-56409BF038F7}"/>
    <cellStyle name="Dezimal 69 21" xfId="14149" xr:uid="{BCD69100-1D40-44D5-80B0-5288C6F4273F}"/>
    <cellStyle name="Dezimal 69 21 2" xfId="33586" xr:uid="{6E6FE7FF-CD78-46BF-B3AD-693F6B01E6A6}"/>
    <cellStyle name="Dezimal 69 22" xfId="14150" xr:uid="{D3D5B80E-793B-4EBE-B1C4-3CA3D9855E21}"/>
    <cellStyle name="Dezimal 69 22 2" xfId="33587" xr:uid="{39FAAB07-D5F1-4F7C-9A04-58D943A9EABB}"/>
    <cellStyle name="Dezimal 69 23" xfId="14151" xr:uid="{1B9DBDB8-04C7-4A27-9EE0-630BD9F648F2}"/>
    <cellStyle name="Dezimal 69 23 2" xfId="33588" xr:uid="{BB2C3960-CA2F-4C7B-9D90-CFD8A8036525}"/>
    <cellStyle name="Dezimal 69 24" xfId="14152" xr:uid="{3DD02EAE-3505-4448-8295-9DA2E84CEB3C}"/>
    <cellStyle name="Dezimal 69 24 2" xfId="33589" xr:uid="{D246BD44-945F-4DFE-8C3D-B980C0610864}"/>
    <cellStyle name="Dezimal 69 25" xfId="14153" xr:uid="{81A5CD29-F39A-4C6D-9971-492E58B9855F}"/>
    <cellStyle name="Dezimal 69 25 2" xfId="33590" xr:uid="{5B86851C-A27C-40E3-BE70-531CA2C5EEFD}"/>
    <cellStyle name="Dezimal 69 26" xfId="14154" xr:uid="{ABCAE4F0-4BE4-4EEE-AA39-5B53F8EBF878}"/>
    <cellStyle name="Dezimal 69 26 2" xfId="33591" xr:uid="{2EE1B8B9-BA7A-49C3-8E8A-5E3066FEEBCA}"/>
    <cellStyle name="Dezimal 69 27" xfId="14155" xr:uid="{2A30DDA6-CEDB-49BE-917C-B470C028B984}"/>
    <cellStyle name="Dezimal 69 27 2" xfId="33592" xr:uid="{9FB2DA9B-CDB4-4F4E-8626-82E4DDDC59C4}"/>
    <cellStyle name="Dezimal 69 28" xfId="14156" xr:uid="{D370699B-9B46-43D9-83B9-FAE9DE834454}"/>
    <cellStyle name="Dezimal 69 28 2" xfId="33593" xr:uid="{70FB8509-302C-4E86-886D-27CB25B75086}"/>
    <cellStyle name="Dezimal 69 29" xfId="14157" xr:uid="{C0DC921E-1915-4B22-92E7-C2B79549C1EA}"/>
    <cellStyle name="Dezimal 69 29 2" xfId="33594" xr:uid="{0A480E81-0CED-4C99-B770-486B9FFBE88E}"/>
    <cellStyle name="Dezimal 69 3" xfId="14158" xr:uid="{A41F67C8-8B7B-4136-ACDC-FDF309E8961A}"/>
    <cellStyle name="Dezimal 69 3 2" xfId="14159" xr:uid="{BDCEFF4D-DD0A-48C8-A485-E2B2CEBBA51A}"/>
    <cellStyle name="Dezimal 69 3 2 2" xfId="33596" xr:uid="{E75D956C-5B31-4C55-9ECB-14192BB950FE}"/>
    <cellStyle name="Dezimal 69 3 3" xfId="33595" xr:uid="{FF14AE49-F300-4A12-95BA-A23BF0807D50}"/>
    <cellStyle name="Dezimal 69 30" xfId="14160" xr:uid="{EC9F43A6-34A1-4397-8E2B-0DE896B0214B}"/>
    <cellStyle name="Dezimal 69 30 2" xfId="33597" xr:uid="{348E1A61-0E32-47C6-B7D9-5CD66CA9A218}"/>
    <cellStyle name="Dezimal 69 31" xfId="14161" xr:uid="{293E62B9-9C4D-4728-9DD8-4D3BA09411FF}"/>
    <cellStyle name="Dezimal 69 31 2" xfId="33598" xr:uid="{48A90CB4-DED8-420C-AE7C-0522F3393497}"/>
    <cellStyle name="Dezimal 69 32" xfId="33571" xr:uid="{4ED03CC5-A5D5-4F49-952E-46D8277C3F28}"/>
    <cellStyle name="Dezimal 69 4" xfId="14162" xr:uid="{EEFAD7A5-4AE9-4897-95A8-2D3636F5BF80}"/>
    <cellStyle name="Dezimal 69 4 2" xfId="14163" xr:uid="{DC8A42A8-53C4-488F-92B9-67F6952C9906}"/>
    <cellStyle name="Dezimal 69 4 2 2" xfId="33600" xr:uid="{26777E30-2756-4834-B26F-1F505EE990AA}"/>
    <cellStyle name="Dezimal 69 4 3" xfId="33599" xr:uid="{B86F6A89-9091-4068-BBB8-18C594416549}"/>
    <cellStyle name="Dezimal 69 5" xfId="14164" xr:uid="{459360DF-BD07-4868-A150-19905992DA5B}"/>
    <cellStyle name="Dezimal 69 5 2" xfId="14165" xr:uid="{29D22C85-4030-4BC0-BE8C-FABA40BA6DEF}"/>
    <cellStyle name="Dezimal 69 5 2 2" xfId="33602" xr:uid="{687E8772-F940-4BC0-B419-B85B5CC12662}"/>
    <cellStyle name="Dezimal 69 5 3" xfId="33601" xr:uid="{2A52B9E8-9C88-43BA-81AF-BEEE3842362B}"/>
    <cellStyle name="Dezimal 69 6" xfId="14166" xr:uid="{E45F9CAE-B574-4750-B6BE-61A9E775B7EF}"/>
    <cellStyle name="Dezimal 69 6 2" xfId="14167" xr:uid="{61CD3422-14D3-4955-B7D4-1E8B887F3582}"/>
    <cellStyle name="Dezimal 69 6 2 2" xfId="33604" xr:uid="{4FF83F09-E7EA-4560-B00A-0583350DB1D6}"/>
    <cellStyle name="Dezimal 69 6 3" xfId="33603" xr:uid="{98336651-1BF4-4694-A6B8-C8977E83614B}"/>
    <cellStyle name="Dezimal 69 7" xfId="14168" xr:uid="{A6C3E460-A320-4C1A-82A7-5D77FF699AC8}"/>
    <cellStyle name="Dezimal 69 7 2" xfId="14169" xr:uid="{757B9892-7C44-40DD-AFA2-C55AA93D3E97}"/>
    <cellStyle name="Dezimal 69 7 2 2" xfId="33606" xr:uid="{E2CFD198-D918-4C78-AD44-EC1F4CD878CB}"/>
    <cellStyle name="Dezimal 69 7 3" xfId="33605" xr:uid="{7AC6FE34-E75E-4A1C-813A-6562832AE00B}"/>
    <cellStyle name="Dezimal 69 8" xfId="14170" xr:uid="{48C0B877-428E-48CD-9217-516C1355BBA0}"/>
    <cellStyle name="Dezimal 69 8 2" xfId="14171" xr:uid="{D4E512A0-D240-491A-86BA-F1F377201596}"/>
    <cellStyle name="Dezimal 69 8 2 2" xfId="33608" xr:uid="{1445FE65-6480-4C9C-B79F-C4D061A87F84}"/>
    <cellStyle name="Dezimal 69 8 3" xfId="33607" xr:uid="{9CB55686-24F2-4025-8B6F-B9AB32964D84}"/>
    <cellStyle name="Dezimal 69 9" xfId="14172" xr:uid="{6E50EE6F-8C83-43D1-BBD9-2AA35EAF3A64}"/>
    <cellStyle name="Dezimal 69 9 2" xfId="14173" xr:uid="{EFEBE155-7319-4CD6-B5C2-CEFF400F47D5}"/>
    <cellStyle name="Dezimal 69 9 2 2" xfId="33610" xr:uid="{E50D2981-68DA-4370-8CC4-3D2A0F79ECB6}"/>
    <cellStyle name="Dezimal 69 9 3" xfId="33609" xr:uid="{EFED4FC8-83E5-4B2F-B474-1B6B577D48E6}"/>
    <cellStyle name="Dezimal 7" xfId="14174" xr:uid="{6D69BD61-1DCD-498A-B767-A02204BED0FA}"/>
    <cellStyle name="Dezimal 7 10" xfId="14175" xr:uid="{736AED14-C468-42BA-8FEB-74B7E25C7C08}"/>
    <cellStyle name="Dezimal 7 10 2" xfId="14176" xr:uid="{6F2FF6A4-CD39-48A5-A7A6-B76E88D389AA}"/>
    <cellStyle name="Dezimal 7 10 2 2" xfId="33613" xr:uid="{34B50F38-F98B-4528-96C9-9ED9DB39F451}"/>
    <cellStyle name="Dezimal 7 10 3" xfId="33612" xr:uid="{BA3B1DEB-62B2-47A0-82D0-7BF7596AC29F}"/>
    <cellStyle name="Dezimal 7 11" xfId="14177" xr:uid="{137AA7C9-D54B-4C58-B2C8-17DD6D1A31B4}"/>
    <cellStyle name="Dezimal 7 11 2" xfId="14178" xr:uid="{F476097A-B315-43CE-852F-CBD5179669DF}"/>
    <cellStyle name="Dezimal 7 11 2 2" xfId="33615" xr:uid="{D73D643C-D850-4D70-A354-66703AE7370F}"/>
    <cellStyle name="Dezimal 7 11 3" xfId="33614" xr:uid="{F670DFFF-CE74-4A79-A6A8-60622CE8521B}"/>
    <cellStyle name="Dezimal 7 12" xfId="14179" xr:uid="{CC633A1E-77CE-4583-9C70-B075002CB5DF}"/>
    <cellStyle name="Dezimal 7 12 2" xfId="14180" xr:uid="{7E6F197F-28B6-43CA-A420-B8CB51852D79}"/>
    <cellStyle name="Dezimal 7 12 2 2" xfId="33617" xr:uid="{00E71941-4A35-4FCA-89DF-79971586776B}"/>
    <cellStyle name="Dezimal 7 12 3" xfId="33616" xr:uid="{3760C2A1-58B3-44A9-9DAC-23420A8B2176}"/>
    <cellStyle name="Dezimal 7 13" xfId="14181" xr:uid="{A32684B0-174E-41C6-BAF4-3D8578F064F7}"/>
    <cellStyle name="Dezimal 7 13 2" xfId="14182" xr:uid="{7D8F7293-19F1-4CC6-918B-16897D313FD4}"/>
    <cellStyle name="Dezimal 7 13 2 2" xfId="33619" xr:uid="{BA5E4138-48D7-4F37-A362-5A662D483E01}"/>
    <cellStyle name="Dezimal 7 13 3" xfId="33618" xr:uid="{95C0BD7F-EF76-4BDF-951C-C01EEE9D19B8}"/>
    <cellStyle name="Dezimal 7 14" xfId="14183" xr:uid="{2C483C0A-AA4D-446C-9519-16B118D587BE}"/>
    <cellStyle name="Dezimal 7 14 2" xfId="14184" xr:uid="{D1BEAD30-DC47-497E-B67C-4C4F16345F23}"/>
    <cellStyle name="Dezimal 7 14 2 2" xfId="33621" xr:uid="{27C1A77F-EB4C-4342-9893-90171BF8D4F6}"/>
    <cellStyle name="Dezimal 7 14 3" xfId="33620" xr:uid="{2CAB6194-A5CC-43C2-A789-7143BFC088BB}"/>
    <cellStyle name="Dezimal 7 15" xfId="14185" xr:uid="{754269BA-1D28-4FE8-9BDA-CB4266C474BA}"/>
    <cellStyle name="Dezimal 7 15 2" xfId="14186" xr:uid="{7630E0BA-56EE-4E00-BC3B-A05268AA892C}"/>
    <cellStyle name="Dezimal 7 15 2 2" xfId="33623" xr:uid="{80D3F1D5-2553-4696-8D4C-E961D4DF32CB}"/>
    <cellStyle name="Dezimal 7 15 3" xfId="33622" xr:uid="{300E5B57-82D2-48F5-9A85-EE9B539585A6}"/>
    <cellStyle name="Dezimal 7 16" xfId="14187" xr:uid="{B4FD4CC5-E8FD-4A98-AEF7-DD627926331E}"/>
    <cellStyle name="Dezimal 7 16 2" xfId="14188" xr:uid="{DCE966EC-FAD0-45D1-995B-8E6525E91DF4}"/>
    <cellStyle name="Dezimal 7 16 2 2" xfId="33625" xr:uid="{84C854F3-EF91-4FD8-A09C-42FB40D46CEE}"/>
    <cellStyle name="Dezimal 7 16 3" xfId="33624" xr:uid="{087F7EBF-508D-46C8-95AE-4C3D5052AA63}"/>
    <cellStyle name="Dezimal 7 17" xfId="14189" xr:uid="{F1AE8761-1B66-4B5A-870D-12C873D7867F}"/>
    <cellStyle name="Dezimal 7 17 2" xfId="14190" xr:uid="{891F5070-9D3B-4109-8DB1-A455C819F360}"/>
    <cellStyle name="Dezimal 7 17 2 2" xfId="33627" xr:uid="{013C7F62-B8AD-415D-8EEF-68C83318E84B}"/>
    <cellStyle name="Dezimal 7 17 3" xfId="33626" xr:uid="{09F151AD-3056-4B56-8162-6865B1ED0155}"/>
    <cellStyle name="Dezimal 7 18" xfId="14191" xr:uid="{D6B625AF-925F-4300-B2EE-A55A7B2FF686}"/>
    <cellStyle name="Dezimal 7 18 2" xfId="14192" xr:uid="{09B02690-AB71-4BEF-9989-1D637823AE28}"/>
    <cellStyle name="Dezimal 7 18 2 2" xfId="33629" xr:uid="{B9BD5E1A-4E8B-4373-B01F-A47B8FD43911}"/>
    <cellStyle name="Dezimal 7 18 3" xfId="33628" xr:uid="{6D2C617B-9AFB-42BC-AADE-75363AF760EC}"/>
    <cellStyle name="Dezimal 7 19" xfId="14193" xr:uid="{BB68D27E-BACC-4D72-B6CE-EB5303669C9B}"/>
    <cellStyle name="Dezimal 7 19 2" xfId="14194" xr:uid="{9C04BECE-8C85-445B-8400-202DBA322EC1}"/>
    <cellStyle name="Dezimal 7 19 2 2" xfId="33631" xr:uid="{4259C74D-057F-4FB2-8E9B-C69906B59266}"/>
    <cellStyle name="Dezimal 7 19 3" xfId="33630" xr:uid="{7FDB0696-DB09-4EF2-92C4-D19D42ADBAA5}"/>
    <cellStyle name="Dezimal 7 2" xfId="14195" xr:uid="{64E06ED1-928F-4B6B-9A80-1929417C487C}"/>
    <cellStyle name="Dezimal 7 2 2" xfId="14196" xr:uid="{BA6D66E2-BEA2-4D4A-96AF-FAD5D37A85A9}"/>
    <cellStyle name="Dezimal 7 2 2 2" xfId="33633" xr:uid="{03217989-56DD-4607-A71E-8777B21AFB68}"/>
    <cellStyle name="Dezimal 7 2 3" xfId="33632" xr:uid="{566B8889-1A69-4949-9B32-70824024ED99}"/>
    <cellStyle name="Dezimal 7 20" xfId="14197" xr:uid="{F34F36B4-3689-46AC-B00A-645C3744DCC6}"/>
    <cellStyle name="Dezimal 7 20 2" xfId="14198" xr:uid="{C962E1FA-0D10-4554-BED6-E6688C17BEF7}"/>
    <cellStyle name="Dezimal 7 20 2 2" xfId="33635" xr:uid="{58F983AC-16F7-4F83-AE88-DFBDDFAF7868}"/>
    <cellStyle name="Dezimal 7 20 3" xfId="33634" xr:uid="{481A0C75-5EBC-4B01-B575-2B99A2EC3E0D}"/>
    <cellStyle name="Dezimal 7 21" xfId="14199" xr:uid="{BDC8B526-2A98-496F-AD5D-442AFA04082A}"/>
    <cellStyle name="Dezimal 7 21 2" xfId="14200" xr:uid="{A5C3CFCD-095E-4793-89EF-CD463C1B2C7E}"/>
    <cellStyle name="Dezimal 7 21 2 2" xfId="33637" xr:uid="{3EA8E3C2-9793-4C01-AC89-42C1B9562400}"/>
    <cellStyle name="Dezimal 7 21 3" xfId="33636" xr:uid="{09C9B903-E199-47E1-94E6-2775BB080A6B}"/>
    <cellStyle name="Dezimal 7 22" xfId="14201" xr:uid="{8B5D45BA-C479-4D4E-9EEE-E094D6F711F6}"/>
    <cellStyle name="Dezimal 7 22 2" xfId="14202" xr:uid="{475C3C38-44D6-4750-9793-BEBF1EB5A6F0}"/>
    <cellStyle name="Dezimal 7 22 2 2" xfId="33639" xr:uid="{6660D91C-6108-4C5A-BED8-5A20651F503C}"/>
    <cellStyle name="Dezimal 7 22 3" xfId="33638" xr:uid="{D83DA5CA-62D5-4A6C-9D65-747AFF1C8584}"/>
    <cellStyle name="Dezimal 7 23" xfId="14203" xr:uid="{D9AE92CB-DA50-4F66-9D41-9D86D125CAB5}"/>
    <cellStyle name="Dezimal 7 23 2" xfId="14204" xr:uid="{AFB4EB22-DC38-4F9F-9614-DF70F5C9EFEB}"/>
    <cellStyle name="Dezimal 7 23 2 2" xfId="33641" xr:uid="{95B375DE-1B76-4A1D-A477-8D8F240F7381}"/>
    <cellStyle name="Dezimal 7 23 3" xfId="33640" xr:uid="{4355B223-3B51-4BB0-BF0F-A9A377632BA3}"/>
    <cellStyle name="Dezimal 7 24" xfId="14205" xr:uid="{6BD31D6B-7966-4E13-BED7-E8C74EBB1218}"/>
    <cellStyle name="Dezimal 7 24 2" xfId="14206" xr:uid="{D43C9FF8-EE01-4064-939F-7F1F78CC24C8}"/>
    <cellStyle name="Dezimal 7 24 2 2" xfId="33643" xr:uid="{2E79778B-EF3D-476F-98A2-D0205840D825}"/>
    <cellStyle name="Dezimal 7 24 3" xfId="33642" xr:uid="{970F0E73-830E-4465-A80A-9C3C5AA6F3BA}"/>
    <cellStyle name="Dezimal 7 25" xfId="14207" xr:uid="{4A923502-CADB-4677-BC59-E8ACC64BA6C7}"/>
    <cellStyle name="Dezimal 7 25 2" xfId="14208" xr:uid="{8AB810B1-764A-4CA6-8925-F00A5D440C0D}"/>
    <cellStyle name="Dezimal 7 25 2 2" xfId="33645" xr:uid="{EAB39670-3EEE-481F-93B3-B73B2191C074}"/>
    <cellStyle name="Dezimal 7 25 3" xfId="33644" xr:uid="{7D44572A-6F2C-47E4-A098-4267E5E643B7}"/>
    <cellStyle name="Dezimal 7 26" xfId="14209" xr:uid="{1562DFB1-55BB-4E68-963F-420E5DF20948}"/>
    <cellStyle name="Dezimal 7 26 2" xfId="14210" xr:uid="{4001F691-4BF3-4AF6-A152-9056D3BC79F8}"/>
    <cellStyle name="Dezimal 7 26 2 2" xfId="33647" xr:uid="{529DF8C9-B931-405A-A4EB-592F3A897CD7}"/>
    <cellStyle name="Dezimal 7 26 3" xfId="33646" xr:uid="{4ACA3831-449C-4AAE-9D02-EF9BEE3B6DEA}"/>
    <cellStyle name="Dezimal 7 27" xfId="14211" xr:uid="{06B90F58-733A-4D1E-A32A-C7773A5F6EC1}"/>
    <cellStyle name="Dezimal 7 27 2" xfId="14212" xr:uid="{E6E62482-FA5B-4E5B-A660-910B35054395}"/>
    <cellStyle name="Dezimal 7 27 2 2" xfId="33649" xr:uid="{B9BBC71C-CE9A-4B53-88FE-48C4C8A0D871}"/>
    <cellStyle name="Dezimal 7 27 3" xfId="33648" xr:uid="{DF218E49-95CD-4168-AE27-F9A0E55CC199}"/>
    <cellStyle name="Dezimal 7 28" xfId="14213" xr:uid="{90FF1E01-EB45-4FA6-BD5E-6D8DA3DBAB6C}"/>
    <cellStyle name="Dezimal 7 28 2" xfId="14214" xr:uid="{566DAECF-4FF6-43A8-834B-9865E05E5A21}"/>
    <cellStyle name="Dezimal 7 28 2 2" xfId="33651" xr:uid="{BE36989E-965D-4715-9496-FF49635370A3}"/>
    <cellStyle name="Dezimal 7 28 3" xfId="33650" xr:uid="{FCB384A2-CAB9-4459-A483-E7E88084B582}"/>
    <cellStyle name="Dezimal 7 29" xfId="14215" xr:uid="{9968E4F8-7859-4FA6-8448-F9F76604D74E}"/>
    <cellStyle name="Dezimal 7 29 2" xfId="33652" xr:uid="{8AF7FB0D-5E35-4A79-96C0-2FF321563E48}"/>
    <cellStyle name="Dezimal 7 3" xfId="14216" xr:uid="{26582BB2-4FB4-4DC8-B5B7-392088A4A917}"/>
    <cellStyle name="Dezimal 7 3 2" xfId="14217" xr:uid="{90E62173-1569-4E40-9522-46570257F376}"/>
    <cellStyle name="Dezimal 7 3 2 2" xfId="33654" xr:uid="{4E82EF23-763E-4B50-AAE3-4729E42C8C8E}"/>
    <cellStyle name="Dezimal 7 3 3" xfId="33653" xr:uid="{1E839EF2-A105-466B-8720-B5C267D4618D}"/>
    <cellStyle name="Dezimal 7 30" xfId="33611" xr:uid="{7613AA66-F0B2-4921-905E-524C5205F176}"/>
    <cellStyle name="Dezimal 7 31" xfId="42163" xr:uid="{6E0F1952-6C2A-46E9-B252-0870590384AD}"/>
    <cellStyle name="Dezimal 7 4" xfId="14218" xr:uid="{1D24CFBE-768A-4493-AEFD-7DEFD43FBDCE}"/>
    <cellStyle name="Dezimal 7 4 2" xfId="14219" xr:uid="{B07A84F9-F077-4585-9296-C8E07FC6F356}"/>
    <cellStyle name="Dezimal 7 4 2 2" xfId="33656" xr:uid="{69685811-DEB5-42A4-B385-B1386C018D7A}"/>
    <cellStyle name="Dezimal 7 4 3" xfId="33655" xr:uid="{E0771289-9DC7-4229-B910-99C31BE263CF}"/>
    <cellStyle name="Dezimal 7 5" xfId="14220" xr:uid="{5EC64000-DD45-4624-9F60-76B8885776F1}"/>
    <cellStyle name="Dezimal 7 5 2" xfId="14221" xr:uid="{E4FA9424-F362-4A92-B9C6-3B83BE84A5D5}"/>
    <cellStyle name="Dezimal 7 5 2 2" xfId="33658" xr:uid="{2D58108F-110A-47D2-B8B8-0EEE6EEA941D}"/>
    <cellStyle name="Dezimal 7 5 3" xfId="33657" xr:uid="{CC71D55C-535D-45B4-9831-B4C7C10660EC}"/>
    <cellStyle name="Dezimal 7 6" xfId="14222" xr:uid="{C3028117-ADF5-4EEA-A4AD-93726EABF909}"/>
    <cellStyle name="Dezimal 7 6 2" xfId="14223" xr:uid="{953B711D-4F9E-4C41-8885-10137275B635}"/>
    <cellStyle name="Dezimal 7 6 2 2" xfId="33660" xr:uid="{4F1AA508-F20D-44BF-9323-F240EBFD627A}"/>
    <cellStyle name="Dezimal 7 6 3" xfId="33659" xr:uid="{D9C30F44-42F7-412F-9C52-9A5CA3AE1A27}"/>
    <cellStyle name="Dezimal 7 7" xfId="14224" xr:uid="{1B2FF3A8-DCF0-48BD-A497-F6B74185F319}"/>
    <cellStyle name="Dezimal 7 7 2" xfId="14225" xr:uid="{4EAEE45B-958A-4A39-9750-5EBBB4D2B49D}"/>
    <cellStyle name="Dezimal 7 7 2 2" xfId="33662" xr:uid="{DAE1251A-BB53-44E2-BDF6-486327F38053}"/>
    <cellStyle name="Dezimal 7 7 3" xfId="33661" xr:uid="{91CA7B74-066A-4A7F-818D-A70A6A10DCE8}"/>
    <cellStyle name="Dezimal 7 8" xfId="14226" xr:uid="{1E00E5B7-E17C-4A88-94A2-939052450059}"/>
    <cellStyle name="Dezimal 7 8 2" xfId="14227" xr:uid="{CA8C1F25-0578-4647-9BCF-3D220047FFFC}"/>
    <cellStyle name="Dezimal 7 8 2 2" xfId="33664" xr:uid="{6C31D8AC-E572-4045-ADAA-D0B63584A17E}"/>
    <cellStyle name="Dezimal 7 8 3" xfId="33663" xr:uid="{57E9F153-D966-4832-BA16-CDDD3AFA1459}"/>
    <cellStyle name="Dezimal 7 9" xfId="14228" xr:uid="{AE71D292-F560-4E8C-893A-749ED22D360F}"/>
    <cellStyle name="Dezimal 7 9 2" xfId="14229" xr:uid="{AC503FA9-7FF0-477E-B3D4-4C9FA361FFC1}"/>
    <cellStyle name="Dezimal 7 9 2 2" xfId="33666" xr:uid="{1979409B-1789-4B0D-A761-5D7A694299FF}"/>
    <cellStyle name="Dezimal 7 9 3" xfId="33665" xr:uid="{0893C46E-6C11-4601-B58D-BF3D962A075A}"/>
    <cellStyle name="Dezimal 70" xfId="14230" xr:uid="{CA66FFE6-BA7A-4F9D-A29E-EB934F1C5944}"/>
    <cellStyle name="Dezimal 70 10" xfId="14231" xr:uid="{E99A30B0-6EF1-428E-9F0E-A913CD866B16}"/>
    <cellStyle name="Dezimal 70 10 2" xfId="14232" xr:uid="{5F0AAF63-B0FE-4419-BF61-82065C91768D}"/>
    <cellStyle name="Dezimal 70 10 2 2" xfId="33669" xr:uid="{2CA5DC09-024C-42C8-B2A2-82FBD06C4A9C}"/>
    <cellStyle name="Dezimal 70 10 3" xfId="33668" xr:uid="{0BBE0E8F-1DDA-4DC3-8E3C-B6CB1F232746}"/>
    <cellStyle name="Dezimal 70 11" xfId="14233" xr:uid="{89981099-126C-4355-B9D2-2594842A953E}"/>
    <cellStyle name="Dezimal 70 11 2" xfId="33670" xr:uid="{19E304A5-DCBD-464F-8EC2-7D6AFF9A4BA8}"/>
    <cellStyle name="Dezimal 70 12" xfId="14234" xr:uid="{AE29C723-AD94-46F0-B259-F9E1BE47AD36}"/>
    <cellStyle name="Dezimal 70 12 2" xfId="33671" xr:uid="{41BD0D87-BF6E-4C1E-AFCD-ED577E5B9D4A}"/>
    <cellStyle name="Dezimal 70 13" xfId="14235" xr:uid="{D786C0C0-8864-43B8-B8A3-A8B1E3C6D643}"/>
    <cellStyle name="Dezimal 70 13 2" xfId="33672" xr:uid="{CF6FBB45-FC6A-404C-A022-93B901FFCA7C}"/>
    <cellStyle name="Dezimal 70 14" xfId="14236" xr:uid="{04B982B7-7BEB-45DE-B080-F50DB30AE870}"/>
    <cellStyle name="Dezimal 70 14 2" xfId="33673" xr:uid="{776C3611-2183-498B-BFCB-93EF43080B1B}"/>
    <cellStyle name="Dezimal 70 15" xfId="14237" xr:uid="{70C61109-73D8-4B2C-BEE1-FAC854339C85}"/>
    <cellStyle name="Dezimal 70 15 2" xfId="33674" xr:uid="{5325A5A8-E127-41F6-8DC0-6F5E8B432E35}"/>
    <cellStyle name="Dezimal 70 16" xfId="14238" xr:uid="{E383F570-F57B-4821-889F-40357054C14F}"/>
    <cellStyle name="Dezimal 70 16 2" xfId="33675" xr:uid="{5814085F-D38B-4850-8631-B159DB04586E}"/>
    <cellStyle name="Dezimal 70 17" xfId="14239" xr:uid="{95407087-9498-485E-874D-715EBF0F94EA}"/>
    <cellStyle name="Dezimal 70 17 2" xfId="33676" xr:uid="{888EA6AC-6357-40EA-9435-0491B96F478C}"/>
    <cellStyle name="Dezimal 70 18" xfId="14240" xr:uid="{72EB74AE-220A-4474-9A61-AB23D95E6470}"/>
    <cellStyle name="Dezimal 70 18 2" xfId="33677" xr:uid="{BEF133D8-1BC3-4A45-A593-C7AE8D085B3F}"/>
    <cellStyle name="Dezimal 70 19" xfId="14241" xr:uid="{C6171C1C-2EDA-42B5-B2B7-79EFB8C6BFC2}"/>
    <cellStyle name="Dezimal 70 19 2" xfId="33678" xr:uid="{DCDE4261-9888-463E-ABB3-A2C864FDCD0F}"/>
    <cellStyle name="Dezimal 70 2" xfId="14242" xr:uid="{A06E234A-4BBE-4752-A157-8E547378585F}"/>
    <cellStyle name="Dezimal 70 2 2" xfId="14243" xr:uid="{E8980DC7-0076-4A92-B0A9-3F9F96B96FFE}"/>
    <cellStyle name="Dezimal 70 2 2 2" xfId="33680" xr:uid="{DDCBA4E1-7A55-4557-8710-32401D3EA8A0}"/>
    <cellStyle name="Dezimal 70 2 3" xfId="33679" xr:uid="{18D9FC9A-6E81-457E-BCF7-82860EB077C2}"/>
    <cellStyle name="Dezimal 70 20" xfId="14244" xr:uid="{18AC28BB-0704-4172-BB72-A6935F72DDC6}"/>
    <cellStyle name="Dezimal 70 20 2" xfId="33681" xr:uid="{DA3800DF-6B1D-46C8-8CE9-B128DB653177}"/>
    <cellStyle name="Dezimal 70 21" xfId="14245" xr:uid="{CA3E2055-0E99-4794-BB9B-C52B8592D420}"/>
    <cellStyle name="Dezimal 70 21 2" xfId="33682" xr:uid="{ADB1C10D-ECBE-4557-845E-5EF2BB7EA645}"/>
    <cellStyle name="Dezimal 70 22" xfId="14246" xr:uid="{8E377814-E31A-4557-8D90-AC68EC66FA71}"/>
    <cellStyle name="Dezimal 70 22 2" xfId="33683" xr:uid="{FCCD8BA9-96D7-4E26-8ED8-D4AF2DAF3F90}"/>
    <cellStyle name="Dezimal 70 23" xfId="14247" xr:uid="{CD78E061-DE17-495E-ADAA-4C9511A91E7B}"/>
    <cellStyle name="Dezimal 70 23 2" xfId="33684" xr:uid="{DEB15C08-3EFB-440C-9FDB-E807978C9FF1}"/>
    <cellStyle name="Dezimal 70 24" xfId="14248" xr:uid="{1B6D7411-9816-4629-97C2-8AB8EE571E34}"/>
    <cellStyle name="Dezimal 70 24 2" xfId="33685" xr:uid="{24008623-5D64-4B1E-9574-FBA79FE9C2D8}"/>
    <cellStyle name="Dezimal 70 25" xfId="14249" xr:uid="{6CA5D52F-7AAC-457A-9E86-BE8E0A6B2E4B}"/>
    <cellStyle name="Dezimal 70 25 2" xfId="33686" xr:uid="{CE19BC73-AD12-49B9-9316-6F0439CFC3A7}"/>
    <cellStyle name="Dezimal 70 26" xfId="14250" xr:uid="{659ABA95-F9B4-4088-9EC6-8A87511A175C}"/>
    <cellStyle name="Dezimal 70 26 2" xfId="33687" xr:uid="{ABBA4E87-DAC7-4776-B45D-EA49076A4840}"/>
    <cellStyle name="Dezimal 70 27" xfId="14251" xr:uid="{12ABA293-E216-4EAE-A561-1AAA993FE998}"/>
    <cellStyle name="Dezimal 70 27 2" xfId="33688" xr:uid="{8A9B98E6-4B83-4226-A7EC-51B240B6E035}"/>
    <cellStyle name="Dezimal 70 28" xfId="14252" xr:uid="{70945B76-855C-463A-97AA-AF13A9153BA8}"/>
    <cellStyle name="Dezimal 70 28 2" xfId="33689" xr:uid="{7D3C64A1-03BA-412F-BA7C-25F5B5A5F8F2}"/>
    <cellStyle name="Dezimal 70 29" xfId="14253" xr:uid="{A10FEDAA-13F7-4643-9F6D-F9B7420C5311}"/>
    <cellStyle name="Dezimal 70 29 2" xfId="33690" xr:uid="{671ED721-A5FF-4A24-A32A-223C8DA72476}"/>
    <cellStyle name="Dezimal 70 3" xfId="14254" xr:uid="{02327D46-2870-4E50-8F5F-E502347E7647}"/>
    <cellStyle name="Dezimal 70 3 2" xfId="14255" xr:uid="{1B0AFBEB-9238-4D31-83DC-0875216099A9}"/>
    <cellStyle name="Dezimal 70 3 2 2" xfId="33692" xr:uid="{286173A3-2437-47C0-9700-4198FF7A85F2}"/>
    <cellStyle name="Dezimal 70 3 3" xfId="33691" xr:uid="{30B57460-EB1F-4475-895B-0F3F11E34680}"/>
    <cellStyle name="Dezimal 70 30" xfId="14256" xr:uid="{D09C0973-E2E7-4339-96C0-FE7083AEFC55}"/>
    <cellStyle name="Dezimal 70 30 2" xfId="33693" xr:uid="{5C4C114D-1E6A-42A8-800A-894F9CB62788}"/>
    <cellStyle name="Dezimal 70 31" xfId="14257" xr:uid="{969F7E1D-A690-473C-91BC-AE7768AC8CD1}"/>
    <cellStyle name="Dezimal 70 31 2" xfId="33694" xr:uid="{448ECE57-06DF-4EB6-91AB-D43CA2E3B08A}"/>
    <cellStyle name="Dezimal 70 32" xfId="33667" xr:uid="{EA7646D2-032A-40BB-A065-AC5A4E705A11}"/>
    <cellStyle name="Dezimal 70 4" xfId="14258" xr:uid="{E58A7285-8EA3-472E-84EA-4CC42DE97E12}"/>
    <cellStyle name="Dezimal 70 4 2" xfId="14259" xr:uid="{B57512AB-D024-45EB-A58D-BD844C93CDCB}"/>
    <cellStyle name="Dezimal 70 4 2 2" xfId="33696" xr:uid="{7ECCF3BB-2DF0-4823-AD6F-4B3420C1544F}"/>
    <cellStyle name="Dezimal 70 4 3" xfId="33695" xr:uid="{72533CC1-E4A5-4905-9F54-5F3DB60AC7CA}"/>
    <cellStyle name="Dezimal 70 5" xfId="14260" xr:uid="{E58C2AAE-FA11-495B-BD68-E93C2630016D}"/>
    <cellStyle name="Dezimal 70 5 2" xfId="14261" xr:uid="{9C44226E-7EE4-4604-AA7E-2C6549818D5F}"/>
    <cellStyle name="Dezimal 70 5 2 2" xfId="33698" xr:uid="{24055510-4C20-4060-80E5-D8D65A75FA08}"/>
    <cellStyle name="Dezimal 70 5 3" xfId="33697" xr:uid="{F9A7A0AA-A9D1-4EA1-A6EC-84617EAFAE56}"/>
    <cellStyle name="Dezimal 70 6" xfId="14262" xr:uid="{A027883C-A4F1-4E17-BD8E-0A0271EA3297}"/>
    <cellStyle name="Dezimal 70 6 2" xfId="14263" xr:uid="{D103E8CF-1ACB-4A4C-B79A-145EF9E5EE70}"/>
    <cellStyle name="Dezimal 70 6 2 2" xfId="33700" xr:uid="{038EA5B7-5673-4582-936F-01ED4F15A13E}"/>
    <cellStyle name="Dezimal 70 6 3" xfId="33699" xr:uid="{E4D81010-E1FC-485A-AD5B-26CF40398D7C}"/>
    <cellStyle name="Dezimal 70 7" xfId="14264" xr:uid="{E7C0B3B3-A4E9-4FFA-B617-5F6FECBECCA1}"/>
    <cellStyle name="Dezimal 70 7 2" xfId="14265" xr:uid="{58BCE15E-DE9C-41FA-8F0B-84785FD6A937}"/>
    <cellStyle name="Dezimal 70 7 2 2" xfId="33702" xr:uid="{2D0B368E-A3A4-4390-87C6-029D4A034EA1}"/>
    <cellStyle name="Dezimal 70 7 3" xfId="33701" xr:uid="{9B2AF65C-E7FF-49C9-9EBB-85FC248BEB43}"/>
    <cellStyle name="Dezimal 70 8" xfId="14266" xr:uid="{04C619D0-B9C3-425F-9EBA-0ABC8B610156}"/>
    <cellStyle name="Dezimal 70 8 2" xfId="14267" xr:uid="{81A4562B-823D-49DA-85B7-D957255491F0}"/>
    <cellStyle name="Dezimal 70 8 2 2" xfId="33704" xr:uid="{D7F260DB-D1EB-4A23-9F34-AEFBD7B89188}"/>
    <cellStyle name="Dezimal 70 8 3" xfId="33703" xr:uid="{8440A980-04DE-4EC0-A85C-1A3F8E0A2E03}"/>
    <cellStyle name="Dezimal 70 9" xfId="14268" xr:uid="{DD763C1C-C487-42E2-9E35-3051F5D55FB6}"/>
    <cellStyle name="Dezimal 70 9 2" xfId="14269" xr:uid="{53944930-9401-41EB-A05F-821BD6F2F45A}"/>
    <cellStyle name="Dezimal 70 9 2 2" xfId="33706" xr:uid="{F1F3071E-5732-4062-8F85-68026FFB9C5B}"/>
    <cellStyle name="Dezimal 70 9 3" xfId="33705" xr:uid="{433FB20E-264D-4A57-A1A5-A32BDC21430F}"/>
    <cellStyle name="Dezimal 71" xfId="14270" xr:uid="{BCB479AE-6083-4EAC-9255-87E26E29955A}"/>
    <cellStyle name="Dezimal 71 10" xfId="14271" xr:uid="{B9F27529-5EEA-4DC5-BFB8-1EC3423C950A}"/>
    <cellStyle name="Dezimal 71 10 2" xfId="14272" xr:uid="{87D0E076-01BB-4347-809A-4009CAF2BDB8}"/>
    <cellStyle name="Dezimal 71 10 2 2" xfId="33709" xr:uid="{9A4A1E9C-0487-4982-8B6A-BDC1C4640D60}"/>
    <cellStyle name="Dezimal 71 10 3" xfId="33708" xr:uid="{D6B400D2-B90A-4D45-BE6F-76AEDFDCAEF6}"/>
    <cellStyle name="Dezimal 71 11" xfId="14273" xr:uid="{498065E5-BD18-4583-9C46-6A977D6389AE}"/>
    <cellStyle name="Dezimal 71 11 2" xfId="33710" xr:uid="{69FBB0B1-EE3E-4037-B07D-327194461C73}"/>
    <cellStyle name="Dezimal 71 12" xfId="14274" xr:uid="{E93505E5-626F-448E-81E7-50CC509AC9B0}"/>
    <cellStyle name="Dezimal 71 12 2" xfId="33711" xr:uid="{0B742B87-386B-47E9-9DA9-922F50ADAD83}"/>
    <cellStyle name="Dezimal 71 13" xfId="14275" xr:uid="{36D6A3C7-CEA7-419F-89C0-EBDC0738F2DB}"/>
    <cellStyle name="Dezimal 71 13 2" xfId="33712" xr:uid="{B0138064-8D3B-421A-AEAD-568EF61427CF}"/>
    <cellStyle name="Dezimal 71 14" xfId="14276" xr:uid="{BB65F668-8E7A-43F9-84B4-1B421B460FE9}"/>
    <cellStyle name="Dezimal 71 14 2" xfId="33713" xr:uid="{BCA3845F-6E05-45DC-B90B-638AC032EA48}"/>
    <cellStyle name="Dezimal 71 15" xfId="14277" xr:uid="{610AC5B4-814C-4C2E-8A0D-04FB50994F6C}"/>
    <cellStyle name="Dezimal 71 15 2" xfId="33714" xr:uid="{C774FEAB-B629-4EC9-84AD-3CA80D273FA0}"/>
    <cellStyle name="Dezimal 71 16" xfId="14278" xr:uid="{D7A7CA7C-4BE9-4B1C-810B-1344FA87BBD6}"/>
    <cellStyle name="Dezimal 71 16 2" xfId="33715" xr:uid="{CC9D4D5F-2F3B-449B-A08D-B445534DA584}"/>
    <cellStyle name="Dezimal 71 17" xfId="14279" xr:uid="{EEBBF394-F522-4593-B788-439B39D4226F}"/>
    <cellStyle name="Dezimal 71 17 2" xfId="33716" xr:uid="{B5F84A0A-78BF-493D-9BEB-2A6D1C29C09E}"/>
    <cellStyle name="Dezimal 71 18" xfId="14280" xr:uid="{9ED062D9-F3AC-45C4-9308-0FF1EE0EE412}"/>
    <cellStyle name="Dezimal 71 18 2" xfId="33717" xr:uid="{51E61B00-0B08-415A-AFE5-D7C6513245F2}"/>
    <cellStyle name="Dezimal 71 19" xfId="14281" xr:uid="{0D188CC5-778D-4798-9A25-2D34B94BEC41}"/>
    <cellStyle name="Dezimal 71 19 2" xfId="33718" xr:uid="{551CA57A-E2D6-49AA-81E9-75D13A564530}"/>
    <cellStyle name="Dezimal 71 2" xfId="14282" xr:uid="{4027A512-2A7D-4D82-B681-08976DDDCA0D}"/>
    <cellStyle name="Dezimal 71 2 2" xfId="14283" xr:uid="{CE488F1D-7C3C-4CD9-9F39-A370F566796F}"/>
    <cellStyle name="Dezimal 71 2 2 2" xfId="33720" xr:uid="{8586854C-78AF-464F-87E0-72E6546EAAA9}"/>
    <cellStyle name="Dezimal 71 2 3" xfId="33719" xr:uid="{552900D9-4712-4499-9C47-9157B9BC095D}"/>
    <cellStyle name="Dezimal 71 20" xfId="14284" xr:uid="{69A56F56-63E3-4B28-A938-675BC1251052}"/>
    <cellStyle name="Dezimal 71 20 2" xfId="33721" xr:uid="{49AC82B7-F959-43BF-B9C5-F71FF7966AAD}"/>
    <cellStyle name="Dezimal 71 21" xfId="14285" xr:uid="{4B431C3F-F6D8-40BF-AC3A-89793214D536}"/>
    <cellStyle name="Dezimal 71 21 2" xfId="33722" xr:uid="{052FA0A9-0DF9-48E6-AF5B-2264F6F8EDF7}"/>
    <cellStyle name="Dezimal 71 22" xfId="14286" xr:uid="{A6FB581E-BDE1-4067-B64B-B1F70D98B0C1}"/>
    <cellStyle name="Dezimal 71 22 2" xfId="33723" xr:uid="{92C86D7B-BE03-45E0-B079-C8B1A085380B}"/>
    <cellStyle name="Dezimal 71 23" xfId="14287" xr:uid="{2241B0B9-BE03-46B8-8869-B2923A7E87ED}"/>
    <cellStyle name="Dezimal 71 23 2" xfId="33724" xr:uid="{CA423BA0-8072-4F97-B4D3-3F0814ABA206}"/>
    <cellStyle name="Dezimal 71 24" xfId="14288" xr:uid="{57CE24FF-008F-4CEB-9995-531679D1DDA8}"/>
    <cellStyle name="Dezimal 71 24 2" xfId="33725" xr:uid="{EDEECAAE-7BC4-46CA-8348-8C73BB11A243}"/>
    <cellStyle name="Dezimal 71 25" xfId="14289" xr:uid="{7DB9757A-2FD8-42E4-9C61-C5F957B21646}"/>
    <cellStyle name="Dezimal 71 25 2" xfId="33726" xr:uid="{F87AE3F7-4732-4CD6-A609-C3C64FC1C18F}"/>
    <cellStyle name="Dezimal 71 26" xfId="14290" xr:uid="{CB8A8019-3F8E-4E3E-99FD-1C17B1163F54}"/>
    <cellStyle name="Dezimal 71 26 2" xfId="33727" xr:uid="{96269998-4178-4AD3-A86A-CC7F9B136939}"/>
    <cellStyle name="Dezimal 71 27" xfId="14291" xr:uid="{2657D752-D575-4A04-9BF2-4C62297E6D45}"/>
    <cellStyle name="Dezimal 71 27 2" xfId="33728" xr:uid="{FA5E9625-6A7D-4600-9FD7-4B24B08B1267}"/>
    <cellStyle name="Dezimal 71 28" xfId="14292" xr:uid="{E076EA6C-5F8B-4A36-9CF1-BF39907522EA}"/>
    <cellStyle name="Dezimal 71 28 2" xfId="33729" xr:uid="{C2E3FEB4-2C5F-47CA-8B8B-4E6E5866EE48}"/>
    <cellStyle name="Dezimal 71 29" xfId="14293" xr:uid="{D0537815-211F-4C28-89E9-BD9EC9312E60}"/>
    <cellStyle name="Dezimal 71 29 2" xfId="33730" xr:uid="{3B439F49-49D4-4669-A8A4-11FDED201E74}"/>
    <cellStyle name="Dezimal 71 3" xfId="14294" xr:uid="{2D648019-9710-4999-A794-313487C023BE}"/>
    <cellStyle name="Dezimal 71 3 2" xfId="14295" xr:uid="{B74F204B-BEF5-4AF6-B90F-BE8A4CEA94BC}"/>
    <cellStyle name="Dezimal 71 3 2 2" xfId="33732" xr:uid="{1696D21F-2EDB-45C3-B8A3-EB4BB7E8703C}"/>
    <cellStyle name="Dezimal 71 3 3" xfId="33731" xr:uid="{9462AE92-DC9F-4100-A3C5-B8241CDABE6A}"/>
    <cellStyle name="Dezimal 71 30" xfId="14296" xr:uid="{2375DCE8-3E80-4D4A-8FC6-6FB0B42E91C7}"/>
    <cellStyle name="Dezimal 71 30 2" xfId="33733" xr:uid="{0DC5B96E-8DC2-44A3-A2DD-99C22B52E3E4}"/>
    <cellStyle name="Dezimal 71 31" xfId="14297" xr:uid="{7A6F9900-2DFA-4B11-BCB8-6D8EF1305A57}"/>
    <cellStyle name="Dezimal 71 31 2" xfId="33734" xr:uid="{6FABB44B-FB22-439F-84BC-3D13ADF7F2AB}"/>
    <cellStyle name="Dezimal 71 32" xfId="33707" xr:uid="{B061B49B-424E-4923-ADD8-AB1F8693A188}"/>
    <cellStyle name="Dezimal 71 4" xfId="14298" xr:uid="{C761B1F3-A33E-4879-BB03-2243B6209283}"/>
    <cellStyle name="Dezimal 71 4 2" xfId="14299" xr:uid="{9760EF53-FE07-40C8-BF2F-E0FF75ECE1E8}"/>
    <cellStyle name="Dezimal 71 4 2 2" xfId="33736" xr:uid="{9C08CBB4-02B6-45B4-B513-052B7329F9B7}"/>
    <cellStyle name="Dezimal 71 4 3" xfId="33735" xr:uid="{E46A9AD3-F38C-4CEA-BD5B-0083B7D4AB5E}"/>
    <cellStyle name="Dezimal 71 5" xfId="14300" xr:uid="{BC1C2827-0EB9-4B21-A9A5-303F05500A9D}"/>
    <cellStyle name="Dezimal 71 5 2" xfId="14301" xr:uid="{3232611E-C50D-48DE-9C0C-5C2969C9AA61}"/>
    <cellStyle name="Dezimal 71 5 2 2" xfId="33738" xr:uid="{94510C9F-426B-4415-9FB5-097F7EC34015}"/>
    <cellStyle name="Dezimal 71 5 3" xfId="33737" xr:uid="{7FD98C92-0242-49A6-B26D-8FAC5FBA1C88}"/>
    <cellStyle name="Dezimal 71 6" xfId="14302" xr:uid="{C980E576-734A-4573-A9FB-0A32A1A56CF0}"/>
    <cellStyle name="Dezimal 71 6 2" xfId="14303" xr:uid="{6948540C-4FD8-4004-ADC0-1601145A2AE7}"/>
    <cellStyle name="Dezimal 71 6 2 2" xfId="33740" xr:uid="{65AD97C1-939B-4AF0-9B18-FDACC7DD0200}"/>
    <cellStyle name="Dezimal 71 6 3" xfId="33739" xr:uid="{8E196474-4300-4A83-B7FB-3F65456CF08A}"/>
    <cellStyle name="Dezimal 71 7" xfId="14304" xr:uid="{D8C2748A-0103-4907-A475-44F9CD9BC684}"/>
    <cellStyle name="Dezimal 71 7 2" xfId="14305" xr:uid="{0980A44C-E4B6-4FCA-A146-91083E843511}"/>
    <cellStyle name="Dezimal 71 7 2 2" xfId="33742" xr:uid="{850EDD47-39E1-47F6-BA52-70F3D681B523}"/>
    <cellStyle name="Dezimal 71 7 3" xfId="33741" xr:uid="{B45A79D7-002E-435B-A7F6-EB08EEADCF78}"/>
    <cellStyle name="Dezimal 71 8" xfId="14306" xr:uid="{7FD1800B-1502-4AF8-B069-5700BDC9E602}"/>
    <cellStyle name="Dezimal 71 8 2" xfId="14307" xr:uid="{C9B17BFF-DC8B-4FDB-B6D9-5B428880E669}"/>
    <cellStyle name="Dezimal 71 8 2 2" xfId="33744" xr:uid="{39881984-EF80-47F8-8E63-CDFAE080B6D6}"/>
    <cellStyle name="Dezimal 71 8 3" xfId="33743" xr:uid="{21933725-BFE6-468D-BD79-DC10A3427BBD}"/>
    <cellStyle name="Dezimal 71 9" xfId="14308" xr:uid="{C58468E8-765C-4773-80A4-281DB7D8B4C9}"/>
    <cellStyle name="Dezimal 71 9 2" xfId="14309" xr:uid="{F9592082-72EA-411E-9EEE-D158AA0A7ED3}"/>
    <cellStyle name="Dezimal 71 9 2 2" xfId="33746" xr:uid="{1160060F-6A2A-4776-B2B3-C7C3CE350642}"/>
    <cellStyle name="Dezimal 71 9 3" xfId="33745" xr:uid="{90478254-8152-450E-B4DA-E3E79960EA20}"/>
    <cellStyle name="Dezimal 72" xfId="14310" xr:uid="{DA700C23-8FD3-4B14-8EE1-51B751111171}"/>
    <cellStyle name="Dezimal 72 10" xfId="14311" xr:uid="{10DEEC71-48C3-4ABE-9286-A868C812ED8F}"/>
    <cellStyle name="Dezimal 72 10 2" xfId="14312" xr:uid="{E1875462-D6EC-48DB-BA3D-DB4A9548F613}"/>
    <cellStyle name="Dezimal 72 10 2 2" xfId="33749" xr:uid="{FCAD8AC5-690D-4D31-BC91-F518CBE1137C}"/>
    <cellStyle name="Dezimal 72 10 3" xfId="33748" xr:uid="{CCA65ABA-96F0-4E35-B170-D8721DADB683}"/>
    <cellStyle name="Dezimal 72 11" xfId="14313" xr:uid="{88702304-023E-418E-A244-6DF035134AFB}"/>
    <cellStyle name="Dezimal 72 11 2" xfId="33750" xr:uid="{049E7990-45AF-4D95-8431-8D723FC81453}"/>
    <cellStyle name="Dezimal 72 12" xfId="14314" xr:uid="{4089A0C9-58A5-496C-8EBD-2AC065631E4D}"/>
    <cellStyle name="Dezimal 72 12 2" xfId="33751" xr:uid="{8F7CA798-AB24-4564-9FE3-75DAC20FA86C}"/>
    <cellStyle name="Dezimal 72 13" xfId="14315" xr:uid="{9655E747-170B-4ED5-83FB-D0CE1C01F270}"/>
    <cellStyle name="Dezimal 72 13 2" xfId="33752" xr:uid="{D02489AE-D003-40C3-B825-81EFA43B7BDF}"/>
    <cellStyle name="Dezimal 72 14" xfId="14316" xr:uid="{2895F835-77C3-4891-8CAD-446E5D6C785F}"/>
    <cellStyle name="Dezimal 72 14 2" xfId="33753" xr:uid="{A5074582-23B6-4AC3-AAC8-0629FC6FAE2E}"/>
    <cellStyle name="Dezimal 72 15" xfId="14317" xr:uid="{B0A2FD5F-04F7-46DD-B441-FE5A10A23E44}"/>
    <cellStyle name="Dezimal 72 15 2" xfId="33754" xr:uid="{1D17276C-AAE1-4A9C-BDAD-EACE6D44D7B6}"/>
    <cellStyle name="Dezimal 72 16" xfId="14318" xr:uid="{B40581EC-F576-4A27-8142-B75B0A209AA3}"/>
    <cellStyle name="Dezimal 72 16 2" xfId="33755" xr:uid="{A7689067-31AE-4542-AAB3-5ACE60AFB652}"/>
    <cellStyle name="Dezimal 72 17" xfId="14319" xr:uid="{3040C6B0-B5D5-4931-827D-3CD51F502A57}"/>
    <cellStyle name="Dezimal 72 17 2" xfId="33756" xr:uid="{AC42BF78-F10F-412D-A197-38E51BB622E4}"/>
    <cellStyle name="Dezimal 72 18" xfId="14320" xr:uid="{AC5F1DDA-E473-4664-9BB4-F95BC0B95EC8}"/>
    <cellStyle name="Dezimal 72 18 2" xfId="33757" xr:uid="{D4EEBA84-5469-43D2-9F96-6E293B7BAA78}"/>
    <cellStyle name="Dezimal 72 19" xfId="14321" xr:uid="{C0F22770-6292-4398-8D60-4DEB0AEF70D7}"/>
    <cellStyle name="Dezimal 72 19 2" xfId="33758" xr:uid="{28B857BB-CA35-471D-B125-71F2E3B48652}"/>
    <cellStyle name="Dezimal 72 2" xfId="14322" xr:uid="{40D6FBAD-3878-46C6-B3DC-442DFAB6681A}"/>
    <cellStyle name="Dezimal 72 2 2" xfId="14323" xr:uid="{EE0B2A39-85D0-401C-AADB-E5CCA7E72EF8}"/>
    <cellStyle name="Dezimal 72 2 2 2" xfId="33760" xr:uid="{78258135-A5E7-432B-AD99-629D6EBAA9CF}"/>
    <cellStyle name="Dezimal 72 2 3" xfId="33759" xr:uid="{3C179CFB-0868-480D-BA60-205E9A0BBB24}"/>
    <cellStyle name="Dezimal 72 20" xfId="14324" xr:uid="{E3FE0C8F-174D-43C3-8C3E-63B577B297DF}"/>
    <cellStyle name="Dezimal 72 20 2" xfId="33761" xr:uid="{454AA18F-3283-453A-ABC0-A3415F7CCD8F}"/>
    <cellStyle name="Dezimal 72 21" xfId="14325" xr:uid="{4B7C4CDD-091E-436A-A618-749E9677FA7A}"/>
    <cellStyle name="Dezimal 72 21 2" xfId="33762" xr:uid="{91A6552B-C138-4419-BB48-0C955996D4F8}"/>
    <cellStyle name="Dezimal 72 22" xfId="14326" xr:uid="{2E51F453-AF2F-45CF-B8C6-D6F328CC2503}"/>
    <cellStyle name="Dezimal 72 22 2" xfId="33763" xr:uid="{A0607329-BF86-4332-BAD2-A5F7033338E5}"/>
    <cellStyle name="Dezimal 72 23" xfId="14327" xr:uid="{BF4B5151-3AD4-4C20-BEC8-6701901564CC}"/>
    <cellStyle name="Dezimal 72 23 2" xfId="33764" xr:uid="{D9772BC4-F901-4A90-9D40-AAD74BA05890}"/>
    <cellStyle name="Dezimal 72 24" xfId="14328" xr:uid="{917E45FC-86C6-4B61-B5DA-D63878E9AADA}"/>
    <cellStyle name="Dezimal 72 24 2" xfId="33765" xr:uid="{75C42D27-CF0F-48BD-AF47-7EA807AE7E57}"/>
    <cellStyle name="Dezimal 72 25" xfId="14329" xr:uid="{4EEC50A0-8837-49AE-B8CB-5C4E31FAD9D1}"/>
    <cellStyle name="Dezimal 72 25 2" xfId="33766" xr:uid="{67AF115D-A2D8-4A8E-9E2E-BD69D6A49254}"/>
    <cellStyle name="Dezimal 72 26" xfId="14330" xr:uid="{85C1B314-0A1B-4F71-9CE3-11BC04D8A356}"/>
    <cellStyle name="Dezimal 72 26 2" xfId="33767" xr:uid="{4382AB13-C2EE-4E41-9B56-3FD6DE5AA26E}"/>
    <cellStyle name="Dezimal 72 27" xfId="14331" xr:uid="{3686C33C-0F79-4018-BFEB-7D0A0B0E24CE}"/>
    <cellStyle name="Dezimal 72 27 2" xfId="33768" xr:uid="{642684BF-724F-40A8-930F-4BBF4EFB0EBA}"/>
    <cellStyle name="Dezimal 72 28" xfId="14332" xr:uid="{6C46A0AB-77D3-4605-A9DF-3DF4EE0D463C}"/>
    <cellStyle name="Dezimal 72 28 2" xfId="33769" xr:uid="{F5ED8BB8-65E4-409B-83A6-DAFA86C1939C}"/>
    <cellStyle name="Dezimal 72 29" xfId="14333" xr:uid="{755DD299-FC95-4077-9A17-88004CAF02E8}"/>
    <cellStyle name="Dezimal 72 29 2" xfId="33770" xr:uid="{F7CE7515-9176-458D-B8C4-AF58B2EF27D0}"/>
    <cellStyle name="Dezimal 72 3" xfId="14334" xr:uid="{9D3112B5-4CD2-47DF-8BD8-1F1658AF5CB0}"/>
    <cellStyle name="Dezimal 72 3 2" xfId="14335" xr:uid="{6FA42DC9-FC9E-4914-90B5-DADB65933818}"/>
    <cellStyle name="Dezimal 72 3 2 2" xfId="33772" xr:uid="{5F08A0DF-9C3E-4EF9-BDF4-267BD670EC6D}"/>
    <cellStyle name="Dezimal 72 3 3" xfId="33771" xr:uid="{E2AB3DE7-89EF-463A-9025-D0786F202612}"/>
    <cellStyle name="Dezimal 72 30" xfId="14336" xr:uid="{A8670703-F35C-4384-8F09-A28EDCA76620}"/>
    <cellStyle name="Dezimal 72 30 2" xfId="33773" xr:uid="{7B49B6EE-D82A-4A48-BEA0-D9CD3492E790}"/>
    <cellStyle name="Dezimal 72 31" xfId="14337" xr:uid="{75909F71-FAF8-4B15-8C74-228FC241744F}"/>
    <cellStyle name="Dezimal 72 31 2" xfId="33774" xr:uid="{15205623-1D2D-4C36-B1FE-AE2E735F47BA}"/>
    <cellStyle name="Dezimal 72 32" xfId="33747" xr:uid="{C48AF7D5-D111-47BA-BE90-DDD2FE47E034}"/>
    <cellStyle name="Dezimal 72 4" xfId="14338" xr:uid="{14CB8DAB-1AD9-47B2-B059-6412AA40C28D}"/>
    <cellStyle name="Dezimal 72 4 2" xfId="14339" xr:uid="{E6E20C19-BCB6-452E-9961-2AF7CAF9A2E2}"/>
    <cellStyle name="Dezimal 72 4 2 2" xfId="33776" xr:uid="{6B39444A-6E2B-4404-B0C8-F3A85F960537}"/>
    <cellStyle name="Dezimal 72 4 3" xfId="33775" xr:uid="{02624437-9759-48BF-9FBE-CB01871A50FA}"/>
    <cellStyle name="Dezimal 72 5" xfId="14340" xr:uid="{0E7FF53C-12C9-41CD-B90D-7C8F24CF9B90}"/>
    <cellStyle name="Dezimal 72 5 2" xfId="14341" xr:uid="{E46AED8F-B4EE-4AB0-8330-A534B6F43C16}"/>
    <cellStyle name="Dezimal 72 5 2 2" xfId="33778" xr:uid="{54311842-7F31-4666-88D6-32F399584750}"/>
    <cellStyle name="Dezimal 72 5 3" xfId="33777" xr:uid="{911610E9-4C42-49AE-8F02-50FF680BAB23}"/>
    <cellStyle name="Dezimal 72 6" xfId="14342" xr:uid="{B72C59DD-AFA2-4084-86E8-2F1D50693D26}"/>
    <cellStyle name="Dezimal 72 6 2" xfId="14343" xr:uid="{8935B5DC-43DC-41A8-A29A-55995DE25869}"/>
    <cellStyle name="Dezimal 72 6 2 2" xfId="33780" xr:uid="{A21A1E78-2A4F-4E0B-8C83-6399105BFD98}"/>
    <cellStyle name="Dezimal 72 6 3" xfId="33779" xr:uid="{4467E271-B00A-4DD9-BBF7-CA8161D889D5}"/>
    <cellStyle name="Dezimal 72 7" xfId="14344" xr:uid="{9EA6470A-659B-4CB0-BAD0-B33D9D58625E}"/>
    <cellStyle name="Dezimal 72 7 2" xfId="14345" xr:uid="{CC6E15B7-22DD-4703-88A8-90F12A9CA564}"/>
    <cellStyle name="Dezimal 72 7 2 2" xfId="33782" xr:uid="{B3451CAC-EA66-428F-A17E-38192A1B74E5}"/>
    <cellStyle name="Dezimal 72 7 3" xfId="33781" xr:uid="{2A38338B-CD6C-416A-875D-49A983CE8850}"/>
    <cellStyle name="Dezimal 72 8" xfId="14346" xr:uid="{2D6A5958-FD14-450A-A955-83FA240F782C}"/>
    <cellStyle name="Dezimal 72 8 2" xfId="14347" xr:uid="{41FD1A10-F7CA-4465-83BC-87A6F923E3E0}"/>
    <cellStyle name="Dezimal 72 8 2 2" xfId="33784" xr:uid="{E9517396-0336-4610-A276-E2EC0F16CF37}"/>
    <cellStyle name="Dezimal 72 8 3" xfId="33783" xr:uid="{B8C6981E-2A0B-4C36-882E-953BF1EC3F44}"/>
    <cellStyle name="Dezimal 72 9" xfId="14348" xr:uid="{BBE12492-750F-4DE2-99A6-C82E025A5ABB}"/>
    <cellStyle name="Dezimal 72 9 2" xfId="14349" xr:uid="{765A8240-4430-46BF-A400-71D96A119563}"/>
    <cellStyle name="Dezimal 72 9 2 2" xfId="33786" xr:uid="{64B52A90-5BE5-423B-925A-0C41F6930709}"/>
    <cellStyle name="Dezimal 72 9 3" xfId="33785" xr:uid="{8A6C37D5-9429-4ACF-BD68-115047D4E7BD}"/>
    <cellStyle name="Dezimal 73" xfId="14350" xr:uid="{88C2F7CF-90D7-4FD8-93E6-298090624AFB}"/>
    <cellStyle name="Dezimal 73 10" xfId="14351" xr:uid="{F420A6C0-2F8A-4CCB-82C8-C28CDDFE55E4}"/>
    <cellStyle name="Dezimal 73 10 2" xfId="14352" xr:uid="{EF73E568-50B9-46F8-A902-2D34FF2B1DAC}"/>
    <cellStyle name="Dezimal 73 10 2 2" xfId="33789" xr:uid="{59E40DB7-7C3D-4AC8-9ED7-88722B0A7A50}"/>
    <cellStyle name="Dezimal 73 10 3" xfId="33788" xr:uid="{AAC984B1-657F-4632-BDD9-AE9E9891F9CD}"/>
    <cellStyle name="Dezimal 73 11" xfId="14353" xr:uid="{58B8F37D-09FF-418B-B37C-BEF9739972C2}"/>
    <cellStyle name="Dezimal 73 11 2" xfId="33790" xr:uid="{3BDB73DB-E479-45D9-88D6-3022FB89C47D}"/>
    <cellStyle name="Dezimal 73 12" xfId="14354" xr:uid="{D7A9B1D4-924B-41AF-A36C-45898C9FBB1A}"/>
    <cellStyle name="Dezimal 73 12 2" xfId="33791" xr:uid="{469ADCD7-35CD-4517-9F51-B69A0C8140FF}"/>
    <cellStyle name="Dezimal 73 13" xfId="14355" xr:uid="{9DC76AEB-B9DA-4A24-8E36-8F4663D73F9A}"/>
    <cellStyle name="Dezimal 73 13 2" xfId="33792" xr:uid="{7B27BF5E-92FE-421E-94B5-7EAC1A43EE4E}"/>
    <cellStyle name="Dezimal 73 14" xfId="14356" xr:uid="{DFA20D88-4FA4-4003-A6B0-DDEDB73AB0B3}"/>
    <cellStyle name="Dezimal 73 14 2" xfId="33793" xr:uid="{4B5E61DC-4986-482D-BFB9-CF03B2DF8685}"/>
    <cellStyle name="Dezimal 73 15" xfId="14357" xr:uid="{C5596E00-630B-46A6-8C42-BB041806E484}"/>
    <cellStyle name="Dezimal 73 15 2" xfId="33794" xr:uid="{CE79E1CC-96BD-405F-8770-A2141D974AEF}"/>
    <cellStyle name="Dezimal 73 16" xfId="14358" xr:uid="{C54F5B2D-7317-4CE0-9E98-16AD6BBE748A}"/>
    <cellStyle name="Dezimal 73 16 2" xfId="33795" xr:uid="{2F13FA3E-2757-414C-8950-887311C6D380}"/>
    <cellStyle name="Dezimal 73 17" xfId="14359" xr:uid="{F55F6D85-DF44-45B8-992A-349A753FB377}"/>
    <cellStyle name="Dezimal 73 17 2" xfId="33796" xr:uid="{D6B728B6-932B-489A-9AF0-3FC045A3835B}"/>
    <cellStyle name="Dezimal 73 18" xfId="14360" xr:uid="{8C5754F6-88B0-4E3D-A637-74450BFC6887}"/>
    <cellStyle name="Dezimal 73 18 2" xfId="33797" xr:uid="{88B54C98-0B54-4CA9-919A-0A99CD5BEAB6}"/>
    <cellStyle name="Dezimal 73 19" xfId="14361" xr:uid="{FBEBCA97-4C9A-4EEB-A2C3-3ADBFF1E9B54}"/>
    <cellStyle name="Dezimal 73 19 2" xfId="33798" xr:uid="{9DE36687-0149-4CB8-93A1-BB401E5BEE63}"/>
    <cellStyle name="Dezimal 73 2" xfId="14362" xr:uid="{4F62CB1A-F3C2-4864-9C7A-DEA4198B61D0}"/>
    <cellStyle name="Dezimal 73 2 2" xfId="14363" xr:uid="{7F44018A-5BD8-4DCF-BEDF-DFD257F10D6F}"/>
    <cellStyle name="Dezimal 73 2 2 2" xfId="33800" xr:uid="{1F8D2983-2239-48BD-A252-80211002285E}"/>
    <cellStyle name="Dezimal 73 2 3" xfId="33799" xr:uid="{B6D27A2E-EA94-4BEB-B104-B8B0647ED3B1}"/>
    <cellStyle name="Dezimal 73 20" xfId="14364" xr:uid="{8AB8546B-791B-4A5F-8C51-F13EE07CAD95}"/>
    <cellStyle name="Dezimal 73 20 2" xfId="33801" xr:uid="{253AB612-91A4-486E-920F-C9929BB97A5E}"/>
    <cellStyle name="Dezimal 73 21" xfId="14365" xr:uid="{E4DBB793-060D-4425-A22A-FB5F1A32F587}"/>
    <cellStyle name="Dezimal 73 21 2" xfId="33802" xr:uid="{E49D2E0F-79D8-4537-9A3B-6F97605EF060}"/>
    <cellStyle name="Dezimal 73 22" xfId="14366" xr:uid="{4566CF13-DA82-47BD-A1DC-9B70975CA3E2}"/>
    <cellStyle name="Dezimal 73 22 2" xfId="33803" xr:uid="{B318098C-26FF-4D72-8A32-00091B013306}"/>
    <cellStyle name="Dezimal 73 23" xfId="14367" xr:uid="{F7C7DB70-74B0-4E82-8FDD-D12D20FDCFB6}"/>
    <cellStyle name="Dezimal 73 23 2" xfId="33804" xr:uid="{B9FA8F4A-C880-4F9C-982B-EADA5A77600F}"/>
    <cellStyle name="Dezimal 73 24" xfId="14368" xr:uid="{BDA1F163-C9A2-4E6E-BA49-C2358019068F}"/>
    <cellStyle name="Dezimal 73 24 2" xfId="33805" xr:uid="{B494338D-D50B-4E09-8486-5A439A976ACA}"/>
    <cellStyle name="Dezimal 73 25" xfId="14369" xr:uid="{6F99B885-0CDA-4A5E-B46C-B0DDE0EBEA5B}"/>
    <cellStyle name="Dezimal 73 25 2" xfId="33806" xr:uid="{1187334E-0AFC-4BA9-B402-222365736391}"/>
    <cellStyle name="Dezimal 73 26" xfId="14370" xr:uid="{69A5D8B4-456F-4FBB-B941-338ADEB7D756}"/>
    <cellStyle name="Dezimal 73 26 2" xfId="33807" xr:uid="{8BCC9D93-1934-4DEE-BCEE-446815EA5123}"/>
    <cellStyle name="Dezimal 73 27" xfId="14371" xr:uid="{36224EE5-3549-4776-8857-0E9CBD82D149}"/>
    <cellStyle name="Dezimal 73 27 2" xfId="33808" xr:uid="{85EC19F5-D104-474D-9AEF-E5B1FBA6793B}"/>
    <cellStyle name="Dezimal 73 28" xfId="14372" xr:uid="{FADAD510-31DA-44EF-8CDB-7716F9DE4C76}"/>
    <cellStyle name="Dezimal 73 28 2" xfId="33809" xr:uid="{39AA4ACE-03AD-4D68-80FF-AB91AEC49A6B}"/>
    <cellStyle name="Dezimal 73 29" xfId="14373" xr:uid="{64C9A42E-FDA4-4828-B331-2DE21B7B6379}"/>
    <cellStyle name="Dezimal 73 29 2" xfId="33810" xr:uid="{9DC3F9D9-5CB3-462D-8ED2-8ABDE61AEA65}"/>
    <cellStyle name="Dezimal 73 3" xfId="14374" xr:uid="{DBACFFF9-7186-45DA-A06C-7F7A83684DBA}"/>
    <cellStyle name="Dezimal 73 3 2" xfId="14375" xr:uid="{76B9D51F-DED5-48F5-918B-03825221C5A2}"/>
    <cellStyle name="Dezimal 73 3 2 2" xfId="33812" xr:uid="{4869E1BE-F2A8-476B-A1ED-2E50329ED716}"/>
    <cellStyle name="Dezimal 73 3 3" xfId="33811" xr:uid="{21B3F532-D4AC-4A74-90DF-DFC21E4CF051}"/>
    <cellStyle name="Dezimal 73 30" xfId="14376" xr:uid="{7A522588-113A-4492-AA2D-D0E958AFD24F}"/>
    <cellStyle name="Dezimal 73 30 2" xfId="33813" xr:uid="{8A8D713B-A557-4460-8828-00A88D5BBE56}"/>
    <cellStyle name="Dezimal 73 31" xfId="14377" xr:uid="{28F3350E-A8B6-4EAC-AF99-CC3343ED7A52}"/>
    <cellStyle name="Dezimal 73 31 2" xfId="33814" xr:uid="{51BAF21B-0000-4E62-BC9B-E1F33162AF3E}"/>
    <cellStyle name="Dezimal 73 32" xfId="33787" xr:uid="{6FAF1BD9-5414-4808-9435-845F089925B8}"/>
    <cellStyle name="Dezimal 73 4" xfId="14378" xr:uid="{31FFA506-0B17-44D3-AF76-F79D25485E75}"/>
    <cellStyle name="Dezimal 73 4 2" xfId="14379" xr:uid="{A6C077D5-C663-4DC2-A3C9-2BA4A931BB9E}"/>
    <cellStyle name="Dezimal 73 4 2 2" xfId="33816" xr:uid="{A9065170-0270-4334-9930-E64CD471F014}"/>
    <cellStyle name="Dezimal 73 4 3" xfId="33815" xr:uid="{6CDC0698-6D9A-49DA-A823-C13DF27D8761}"/>
    <cellStyle name="Dezimal 73 5" xfId="14380" xr:uid="{4B46BC63-7D89-4B4A-9D9E-4CA9D6A16618}"/>
    <cellStyle name="Dezimal 73 5 2" xfId="14381" xr:uid="{3DDC8090-64A1-441B-A0D0-DD58CD3558A9}"/>
    <cellStyle name="Dezimal 73 5 2 2" xfId="33818" xr:uid="{850EB456-B6E7-4E7F-9ED1-A6EAAA8F4832}"/>
    <cellStyle name="Dezimal 73 5 3" xfId="33817" xr:uid="{3569BC12-804E-4A90-BEEF-A64007C4343A}"/>
    <cellStyle name="Dezimal 73 6" xfId="14382" xr:uid="{298D86E4-3DF5-4CC7-B22B-B1961137B509}"/>
    <cellStyle name="Dezimal 73 6 2" xfId="14383" xr:uid="{75CC53A3-FC16-479A-9564-8C77E95E7AB2}"/>
    <cellStyle name="Dezimal 73 6 2 2" xfId="33820" xr:uid="{F645DEB8-3362-48A0-8701-4E93B208004F}"/>
    <cellStyle name="Dezimal 73 6 3" xfId="33819" xr:uid="{F9EF3E0B-8819-4621-9DE8-B88995B39B2E}"/>
    <cellStyle name="Dezimal 73 7" xfId="14384" xr:uid="{F9C8F85E-AD48-4603-838E-E802FAABF757}"/>
    <cellStyle name="Dezimal 73 7 2" xfId="14385" xr:uid="{AA60DA7C-3767-4ADF-8796-08BD2E3D9189}"/>
    <cellStyle name="Dezimal 73 7 2 2" xfId="33822" xr:uid="{B4041837-AEC2-40C9-8D8F-11293CD87746}"/>
    <cellStyle name="Dezimal 73 7 3" xfId="33821" xr:uid="{2B225F8A-63C3-4747-86CA-4E7312B6CFFE}"/>
    <cellStyle name="Dezimal 73 8" xfId="14386" xr:uid="{7DD2C920-E47E-4074-8BB0-BC1583DA4C51}"/>
    <cellStyle name="Dezimal 73 8 2" xfId="14387" xr:uid="{C745C4E5-1337-4269-B0E1-DBC11C76F185}"/>
    <cellStyle name="Dezimal 73 8 2 2" xfId="33824" xr:uid="{FD88F37C-8F6A-4879-868E-EFC9FD0FB18E}"/>
    <cellStyle name="Dezimal 73 8 3" xfId="33823" xr:uid="{4ABC5627-9AE6-45D2-B48A-19DEDAA4DD43}"/>
    <cellStyle name="Dezimal 73 9" xfId="14388" xr:uid="{C57ED79D-A5BD-4F39-9B27-8AB294DCA6F2}"/>
    <cellStyle name="Dezimal 73 9 2" xfId="14389" xr:uid="{F2553B6A-C320-40CA-AA11-33E3E1D3EDCB}"/>
    <cellStyle name="Dezimal 73 9 2 2" xfId="33826" xr:uid="{F11A335A-B9EF-415B-9E07-6F1796BCAAE0}"/>
    <cellStyle name="Dezimal 73 9 3" xfId="33825" xr:uid="{604B9261-30F3-45F8-B162-B86121DED721}"/>
    <cellStyle name="Dezimal 74" xfId="11372" xr:uid="{DE62B186-F38D-4A09-9BAA-276291168FCE}"/>
    <cellStyle name="Dezimal 8" xfId="14390" xr:uid="{0298F74C-E535-4A62-A691-8D38D0D8CDA8}"/>
    <cellStyle name="Dezimal 8 10" xfId="14391" xr:uid="{E9EC6C2A-BA9D-4BBE-B84B-184DFB636857}"/>
    <cellStyle name="Dezimal 8 10 2" xfId="14392" xr:uid="{5730691C-B2A2-4CC3-A8E1-D1268F31DC79}"/>
    <cellStyle name="Dezimal 8 10 2 2" xfId="33829" xr:uid="{7ECBFF24-0C48-40E7-A20F-EF50E1AFB50C}"/>
    <cellStyle name="Dezimal 8 10 3" xfId="33828" xr:uid="{51D51A42-685A-4A49-A8BB-C289C45D0406}"/>
    <cellStyle name="Dezimal 8 11" xfId="14393" xr:uid="{1BC450DC-79BE-4CCF-B049-22F5BE0552A2}"/>
    <cellStyle name="Dezimal 8 11 2" xfId="14394" xr:uid="{2BE9DF39-EC2B-4668-A4D1-B1F7FA4CCB18}"/>
    <cellStyle name="Dezimal 8 11 2 2" xfId="33831" xr:uid="{F2580178-5C93-4590-82AE-E96828BA9A30}"/>
    <cellStyle name="Dezimal 8 11 3" xfId="33830" xr:uid="{050E136C-89A8-47F4-846A-6B0C818A8A29}"/>
    <cellStyle name="Dezimal 8 12" xfId="14395" xr:uid="{C14DAB46-4753-4A91-B623-2B5320C92F65}"/>
    <cellStyle name="Dezimal 8 12 2" xfId="14396" xr:uid="{7A0B70C8-480E-4837-8A42-0DB7D51FA059}"/>
    <cellStyle name="Dezimal 8 12 2 2" xfId="33833" xr:uid="{85D4E39A-760A-4CDD-8827-1636D2F5DDFE}"/>
    <cellStyle name="Dezimal 8 12 3" xfId="33832" xr:uid="{C7750ABB-CB75-4A92-86B7-C1DB5C6EDA00}"/>
    <cellStyle name="Dezimal 8 13" xfId="14397" xr:uid="{BC9FDB05-028F-4E5D-9BD8-7234355C3F1C}"/>
    <cellStyle name="Dezimal 8 13 2" xfId="14398" xr:uid="{51FD4F27-8B8B-4621-9081-560658DFDDA9}"/>
    <cellStyle name="Dezimal 8 13 2 2" xfId="33835" xr:uid="{7A74FCAC-EE35-4B24-8BDA-793DAC8A30B8}"/>
    <cellStyle name="Dezimal 8 13 3" xfId="33834" xr:uid="{E8416AA6-6EC9-43B7-90BE-847D4177E2DD}"/>
    <cellStyle name="Dezimal 8 14" xfId="14399" xr:uid="{F564B6D6-96D9-40FA-AC05-BFED3EB74DD1}"/>
    <cellStyle name="Dezimal 8 14 2" xfId="14400" xr:uid="{F317049F-773D-4543-9AC3-C3EA154455CE}"/>
    <cellStyle name="Dezimal 8 14 2 2" xfId="33837" xr:uid="{67F32D3F-BEE4-40A2-A62C-4FFE96ACCD7A}"/>
    <cellStyle name="Dezimal 8 14 3" xfId="33836" xr:uid="{1857F43F-088B-42F9-B522-4C1A52E7AEFA}"/>
    <cellStyle name="Dezimal 8 15" xfId="14401" xr:uid="{50D422AF-9516-4DD8-8992-1C7787E2623F}"/>
    <cellStyle name="Dezimal 8 15 2" xfId="14402" xr:uid="{940124E4-8F58-4A25-9B7F-574F9D56FA94}"/>
    <cellStyle name="Dezimal 8 15 2 2" xfId="33839" xr:uid="{1ED6EC79-7478-400E-9FF8-7473F8FBA85E}"/>
    <cellStyle name="Dezimal 8 15 3" xfId="33838" xr:uid="{AB671081-C499-4591-8F51-209D37F4B38D}"/>
    <cellStyle name="Dezimal 8 16" xfId="14403" xr:uid="{2E266AA2-6759-4BFD-86C3-B239A9940917}"/>
    <cellStyle name="Dezimal 8 16 2" xfId="14404" xr:uid="{F90D23F4-7C46-40BC-8BA2-7DDAF8618496}"/>
    <cellStyle name="Dezimal 8 16 2 2" xfId="33841" xr:uid="{9BABE1E5-9F84-4B5A-AE55-782AB3C1536F}"/>
    <cellStyle name="Dezimal 8 16 3" xfId="33840" xr:uid="{64405C8E-9591-46F0-BFE2-FBE12C1899D5}"/>
    <cellStyle name="Dezimal 8 17" xfId="14405" xr:uid="{DC896A87-19A3-45CC-B49F-13C7734E8B11}"/>
    <cellStyle name="Dezimal 8 17 2" xfId="14406" xr:uid="{03CD455B-799E-4025-B083-F1A064E28E8E}"/>
    <cellStyle name="Dezimal 8 17 2 2" xfId="33843" xr:uid="{37F7B0C7-7091-4EF8-A4F4-F6A0DC4D42D6}"/>
    <cellStyle name="Dezimal 8 17 3" xfId="33842" xr:uid="{5ED8DBB2-291A-4A33-8A3E-3FBF85E0E4F5}"/>
    <cellStyle name="Dezimal 8 18" xfId="14407" xr:uid="{9C8EAF08-1DE0-45CF-9EE5-00B666EAC6E8}"/>
    <cellStyle name="Dezimal 8 18 2" xfId="14408" xr:uid="{FF653C00-0B9E-404E-B72B-9607C010E056}"/>
    <cellStyle name="Dezimal 8 18 2 2" xfId="33845" xr:uid="{6FAF2AEB-58F8-4A86-918E-266B7D0667DF}"/>
    <cellStyle name="Dezimal 8 18 3" xfId="33844" xr:uid="{65E35433-E46C-47C7-A374-130694BF898F}"/>
    <cellStyle name="Dezimal 8 19" xfId="14409" xr:uid="{EF73D0AE-3384-4CA6-8C65-2922DAABC7C4}"/>
    <cellStyle name="Dezimal 8 19 2" xfId="14410" xr:uid="{55C77E66-D74D-4F42-9935-01A15437396B}"/>
    <cellStyle name="Dezimal 8 19 2 2" xfId="33847" xr:uid="{4D4EDBDD-C1C0-424A-940D-40B85ACA8781}"/>
    <cellStyle name="Dezimal 8 19 3" xfId="33846" xr:uid="{E82D7BC1-E8EB-4904-9211-B27A51F0E180}"/>
    <cellStyle name="Dezimal 8 2" xfId="14411" xr:uid="{0F13FE9C-FCF3-4879-9C4A-F1A73BF9F548}"/>
    <cellStyle name="Dezimal 8 2 2" xfId="14412" xr:uid="{9E56430B-F8E9-48F8-A11B-32A410101722}"/>
    <cellStyle name="Dezimal 8 2 2 2" xfId="33849" xr:uid="{3BE975F7-CFB2-4200-88C2-78AE3A79CC95}"/>
    <cellStyle name="Dezimal 8 2 3" xfId="33848" xr:uid="{FF762633-6F28-422A-B8A1-D215EB43F5E8}"/>
    <cellStyle name="Dezimal 8 2 4" xfId="42191" xr:uid="{94B1FA17-92C7-4785-A9F3-D6E6CE3AECEC}"/>
    <cellStyle name="Dezimal 8 20" xfId="14413" xr:uid="{6A4F124D-3B0B-47A4-A1AE-9868134859B9}"/>
    <cellStyle name="Dezimal 8 20 2" xfId="14414" xr:uid="{0929A261-2829-497F-BB7D-D5304DEE55CD}"/>
    <cellStyle name="Dezimal 8 20 2 2" xfId="33851" xr:uid="{349E04C3-E00D-408E-83B0-438BC629187C}"/>
    <cellStyle name="Dezimal 8 20 3" xfId="33850" xr:uid="{142129D3-F796-4D1B-B3ED-D7E5DFF5233D}"/>
    <cellStyle name="Dezimal 8 21" xfId="14415" xr:uid="{F0E04FA1-DC40-4D06-B3BD-EF2F3FA8E68F}"/>
    <cellStyle name="Dezimal 8 21 2" xfId="14416" xr:uid="{44960EC6-F334-41C3-A513-B094141986BB}"/>
    <cellStyle name="Dezimal 8 21 2 2" xfId="33853" xr:uid="{4777BF86-FD60-405F-A699-211361EC99A7}"/>
    <cellStyle name="Dezimal 8 21 3" xfId="33852" xr:uid="{D0A8E791-0339-42D9-BB28-0162C5E09C22}"/>
    <cellStyle name="Dezimal 8 22" xfId="14417" xr:uid="{55BC716A-6100-485E-B0AC-AF0276AA3F63}"/>
    <cellStyle name="Dezimal 8 22 2" xfId="14418" xr:uid="{C94B1363-DE58-41CF-AF14-0B62F6FAC438}"/>
    <cellStyle name="Dezimal 8 22 2 2" xfId="33855" xr:uid="{AA031CC0-AD38-4EE8-A53F-1EB7473EBB35}"/>
    <cellStyle name="Dezimal 8 22 3" xfId="33854" xr:uid="{4AAC7FAB-6AE7-4BB4-9E73-B85587EB8CB8}"/>
    <cellStyle name="Dezimal 8 23" xfId="14419" xr:uid="{5F2E2D1D-668E-4C5A-BA47-F46C86810040}"/>
    <cellStyle name="Dezimal 8 23 2" xfId="14420" xr:uid="{64D65C70-B055-4D3F-AAAA-D1C65A325CAF}"/>
    <cellStyle name="Dezimal 8 23 2 2" xfId="33857" xr:uid="{748B7DF7-3716-49E4-80D4-CB4E424A9BE0}"/>
    <cellStyle name="Dezimal 8 23 3" xfId="33856" xr:uid="{795D7719-65FA-42A1-984A-D1C1C0FCBA0C}"/>
    <cellStyle name="Dezimal 8 24" xfId="14421" xr:uid="{2E667D31-D653-47DE-B6D7-B0615FD4781F}"/>
    <cellStyle name="Dezimal 8 24 2" xfId="14422" xr:uid="{7313E74A-D968-438D-B0C8-CDBF5AD9860C}"/>
    <cellStyle name="Dezimal 8 24 2 2" xfId="33859" xr:uid="{911E56AE-AC6E-40B7-910D-73877A21929E}"/>
    <cellStyle name="Dezimal 8 24 3" xfId="33858" xr:uid="{A5454DD9-70F7-4C79-B87A-8CC266DAA8DB}"/>
    <cellStyle name="Dezimal 8 25" xfId="14423" xr:uid="{0CDCCE3B-A578-4AE8-9A40-485F20E1ED84}"/>
    <cellStyle name="Dezimal 8 25 2" xfId="14424" xr:uid="{B921B10E-DE90-4C65-8A4B-F0FCDE4F9AB7}"/>
    <cellStyle name="Dezimal 8 25 2 2" xfId="33861" xr:uid="{FE942A2D-EB84-4A3F-8203-0D6EF7E34008}"/>
    <cellStyle name="Dezimal 8 25 3" xfId="33860" xr:uid="{97197F22-0502-41CC-9C82-397EEE4C152E}"/>
    <cellStyle name="Dezimal 8 26" xfId="14425" xr:uid="{67F15B60-F5C3-4CC4-A165-74DB3B510A49}"/>
    <cellStyle name="Dezimal 8 26 2" xfId="14426" xr:uid="{20A525B4-2A72-4841-A26F-C0FEF1A7A224}"/>
    <cellStyle name="Dezimal 8 26 2 2" xfId="33863" xr:uid="{2647F5F1-F063-4CD2-89D6-9457D2420FE4}"/>
    <cellStyle name="Dezimal 8 26 3" xfId="33862" xr:uid="{221789A5-F90D-48D1-AA34-209721F1C96C}"/>
    <cellStyle name="Dezimal 8 27" xfId="14427" xr:uid="{F7AA449D-C909-40A7-A0D5-B9A9843BB49B}"/>
    <cellStyle name="Dezimal 8 27 2" xfId="14428" xr:uid="{8880DDF8-929B-4D79-A0BF-081C561C5645}"/>
    <cellStyle name="Dezimal 8 27 2 2" xfId="33865" xr:uid="{8630F6CA-4B54-4DAA-BF42-89D94F611A68}"/>
    <cellStyle name="Dezimal 8 27 3" xfId="33864" xr:uid="{32E6DE9D-DAB3-4AC9-A897-55ECE764DE3C}"/>
    <cellStyle name="Dezimal 8 28" xfId="14429" xr:uid="{E3D98965-E40F-44EC-89E4-1AB7602C586A}"/>
    <cellStyle name="Dezimal 8 28 2" xfId="14430" xr:uid="{432921BB-51D0-4D7B-945F-2571B756E615}"/>
    <cellStyle name="Dezimal 8 28 2 2" xfId="33867" xr:uid="{A4E8B010-B22B-43A6-8E5E-D735E0EA0FCD}"/>
    <cellStyle name="Dezimal 8 28 3" xfId="33866" xr:uid="{E0AA6CFF-D1EE-4B66-B428-83AA4C25544F}"/>
    <cellStyle name="Dezimal 8 29" xfId="14431" xr:uid="{9C32269C-ACB4-4C1A-8A08-9C6EE6FE1B57}"/>
    <cellStyle name="Dezimal 8 29 2" xfId="33868" xr:uid="{AC3F92ED-91D6-4494-A48E-C65A9F5934FE}"/>
    <cellStyle name="Dezimal 8 3" xfId="14432" xr:uid="{61B822C8-F418-4ED1-88F9-AEAE74E553B9}"/>
    <cellStyle name="Dezimal 8 3 2" xfId="14433" xr:uid="{A7C0E321-16EC-49CF-8D76-CD16F2A120F2}"/>
    <cellStyle name="Dezimal 8 3 2 2" xfId="33870" xr:uid="{FA313522-D2E5-41D2-9174-7E7A58DC2B3E}"/>
    <cellStyle name="Dezimal 8 3 3" xfId="33869" xr:uid="{50E5C5C9-2BFE-4DA5-9AEC-D864C6ACCE86}"/>
    <cellStyle name="Dezimal 8 30" xfId="33827" xr:uid="{6FD6336F-8C93-49F1-A9F7-66E29DCB611B}"/>
    <cellStyle name="Dezimal 8 31" xfId="39430" xr:uid="{D09FA841-8ACB-4E70-A5BE-F452FB4E17E9}"/>
    <cellStyle name="Dezimal 8 4" xfId="14434" xr:uid="{61C5C796-6A0C-4DEA-B802-23DC1DE5C7DC}"/>
    <cellStyle name="Dezimal 8 4 2" xfId="14435" xr:uid="{B4C02CC9-6D4D-4FCB-A3C5-E4AE4A6A183D}"/>
    <cellStyle name="Dezimal 8 4 2 2" xfId="33872" xr:uid="{CED7C53A-C2F4-4634-B4AE-C79A7531458E}"/>
    <cellStyle name="Dezimal 8 4 3" xfId="33871" xr:uid="{F3C8C245-574F-4AAB-A02C-63551D80B852}"/>
    <cellStyle name="Dezimal 8 5" xfId="14436" xr:uid="{CC7A9E17-05EF-4EB0-98EC-2ACA9DFC76A0}"/>
    <cellStyle name="Dezimal 8 5 2" xfId="14437" xr:uid="{ACC670F5-A7CE-44C2-9279-7FD92C971938}"/>
    <cellStyle name="Dezimal 8 5 2 2" xfId="33874" xr:uid="{7567F2C8-531F-4A14-ADDF-BB44AC9BE386}"/>
    <cellStyle name="Dezimal 8 5 3" xfId="33873" xr:uid="{43937349-4DFB-4B82-AA6B-4BA43A69EBEC}"/>
    <cellStyle name="Dezimal 8 6" xfId="14438" xr:uid="{A31D9545-ACB9-49A0-BB24-2949F9BBD1CF}"/>
    <cellStyle name="Dezimal 8 6 2" xfId="14439" xr:uid="{6B4B0741-C862-4640-BCA4-4B37FF8ECF62}"/>
    <cellStyle name="Dezimal 8 6 2 2" xfId="33876" xr:uid="{46FEA401-4F69-4A64-8A77-2E9CC9188B3B}"/>
    <cellStyle name="Dezimal 8 6 3" xfId="33875" xr:uid="{2B11B3C2-E1AD-4E6C-9355-2C25420554E0}"/>
    <cellStyle name="Dezimal 8 7" xfId="14440" xr:uid="{ECBF8E7B-2741-420B-9B6D-886D3CCD475E}"/>
    <cellStyle name="Dezimal 8 7 2" xfId="14441" xr:uid="{93421434-4A53-4D35-BF63-37A5DE4A93C0}"/>
    <cellStyle name="Dezimal 8 7 2 2" xfId="33878" xr:uid="{4E26187C-28E1-4F49-BABA-6FA8BF723C5D}"/>
    <cellStyle name="Dezimal 8 7 3" xfId="33877" xr:uid="{DB02B9F1-4888-4732-8312-6658EC9799E5}"/>
    <cellStyle name="Dezimal 8 8" xfId="14442" xr:uid="{840FBB0C-1954-4F2C-86C9-5958E52C8CEB}"/>
    <cellStyle name="Dezimal 8 8 2" xfId="14443" xr:uid="{B6C8835C-6CAE-46A1-8C1B-5A2954A38D8B}"/>
    <cellStyle name="Dezimal 8 8 2 2" xfId="33880" xr:uid="{F4876816-6757-403A-B0A5-8548179182A3}"/>
    <cellStyle name="Dezimal 8 8 3" xfId="33879" xr:uid="{E0B33070-489A-4977-BE96-8AAEBBE089A7}"/>
    <cellStyle name="Dezimal 8 9" xfId="14444" xr:uid="{94E77607-DEB9-48CD-BD09-E0050B675B07}"/>
    <cellStyle name="Dezimal 8 9 2" xfId="14445" xr:uid="{151C441D-4B8F-4E8A-9547-DC207A40397B}"/>
    <cellStyle name="Dezimal 8 9 2 2" xfId="33882" xr:uid="{81CD3029-2BDD-4FF0-AB58-8E74F234E14E}"/>
    <cellStyle name="Dezimal 8 9 3" xfId="33881" xr:uid="{74870EC0-96A3-4787-995C-59C244AF8DDC}"/>
    <cellStyle name="Dezimal 9" xfId="14446" xr:uid="{5C49F9D7-5FB7-4561-AD01-2CBCF2FC80AA}"/>
    <cellStyle name="Dezimal 9 10" xfId="14447" xr:uid="{5F935B3D-65F2-49C6-B3CB-4DB8406A36D9}"/>
    <cellStyle name="Dezimal 9 10 2" xfId="14448" xr:uid="{06A994FD-8954-46BB-8850-1B8497407020}"/>
    <cellStyle name="Dezimal 9 10 2 2" xfId="33885" xr:uid="{4F65D049-FF63-46EE-A5DE-4640B80D4C4B}"/>
    <cellStyle name="Dezimal 9 10 3" xfId="33884" xr:uid="{CCA1E2D9-00D5-4120-8E99-9BBCC4E7DF6F}"/>
    <cellStyle name="Dezimal 9 11" xfId="14449" xr:uid="{A5086D0B-4CB5-4C23-BC3B-A8E63E7A0160}"/>
    <cellStyle name="Dezimal 9 11 2" xfId="14450" xr:uid="{39596A5D-A9A6-4B1E-84AB-9B66A17B78C6}"/>
    <cellStyle name="Dezimal 9 11 2 2" xfId="33887" xr:uid="{C78252AA-0C44-4EA8-9A73-50B303232AC2}"/>
    <cellStyle name="Dezimal 9 11 3" xfId="33886" xr:uid="{04A1F4B2-382E-4622-BB9A-8370C425FC51}"/>
    <cellStyle name="Dezimal 9 12" xfId="14451" xr:uid="{EC99AA29-B99D-4942-9236-990EE49A46B4}"/>
    <cellStyle name="Dezimal 9 12 2" xfId="14452" xr:uid="{227147AD-BC7E-43BC-8721-A0095717F769}"/>
    <cellStyle name="Dezimal 9 12 2 2" xfId="33889" xr:uid="{38C2AE90-C77E-4AD6-9AA3-30376E7967C6}"/>
    <cellStyle name="Dezimal 9 12 3" xfId="33888" xr:uid="{E43C73B5-7A98-4E6D-A77D-8E03B777F665}"/>
    <cellStyle name="Dezimal 9 13" xfId="14453" xr:uid="{B6595028-251C-475B-B99C-8CBC85262D83}"/>
    <cellStyle name="Dezimal 9 13 2" xfId="14454" xr:uid="{033CADF4-904C-4CC5-8FE6-9785D37C6779}"/>
    <cellStyle name="Dezimal 9 13 2 2" xfId="33891" xr:uid="{832E953B-D0D7-4A1B-BDCA-0B27D36140D6}"/>
    <cellStyle name="Dezimal 9 13 3" xfId="33890" xr:uid="{93737220-9E28-4994-A1DF-58A9C8D92C98}"/>
    <cellStyle name="Dezimal 9 14" xfId="14455" xr:uid="{CD9C3073-738D-4382-9FF3-8B8D900CE4B4}"/>
    <cellStyle name="Dezimal 9 14 2" xfId="14456" xr:uid="{47E3CD90-A100-4017-ADEA-695499D439E9}"/>
    <cellStyle name="Dezimal 9 14 2 2" xfId="33893" xr:uid="{32C924AC-EBD4-4DD6-AEC5-51DF4833055B}"/>
    <cellStyle name="Dezimal 9 14 3" xfId="33892" xr:uid="{95794217-EECA-43BE-869F-B8493A2549C9}"/>
    <cellStyle name="Dezimal 9 15" xfId="14457" xr:uid="{DBE8295A-AF8A-4650-8FDB-55ABE4E10B7B}"/>
    <cellStyle name="Dezimal 9 15 2" xfId="14458" xr:uid="{1A478D00-92DD-46D6-B283-209FCDADEBB7}"/>
    <cellStyle name="Dezimal 9 15 2 2" xfId="33895" xr:uid="{1A39E04E-4584-45B4-9FC7-FECBB8A6F9B7}"/>
    <cellStyle name="Dezimal 9 15 3" xfId="33894" xr:uid="{0E654296-AF8E-400A-BE3E-1F54F539CE84}"/>
    <cellStyle name="Dezimal 9 16" xfId="14459" xr:uid="{5562EC72-20BC-41FC-BD8B-1A6B9CD4CF45}"/>
    <cellStyle name="Dezimal 9 16 2" xfId="14460" xr:uid="{9EF194D3-D93E-46B4-99F9-FBA4D18E1E70}"/>
    <cellStyle name="Dezimal 9 16 2 2" xfId="33897" xr:uid="{320CCFDA-4A9D-40D0-87B0-EE4E1B474C16}"/>
    <cellStyle name="Dezimal 9 16 3" xfId="33896" xr:uid="{7A22B51B-5733-4FBB-999D-53580D86FAFB}"/>
    <cellStyle name="Dezimal 9 17" xfId="14461" xr:uid="{6BD61A31-2947-43CC-874B-504EFE16BA15}"/>
    <cellStyle name="Dezimal 9 17 2" xfId="14462" xr:uid="{6977F2A7-D0AF-43F1-A331-EF988691EA6C}"/>
    <cellStyle name="Dezimal 9 17 2 2" xfId="33899" xr:uid="{C21CF3A1-E123-435C-BD92-F5B46B360911}"/>
    <cellStyle name="Dezimal 9 17 3" xfId="33898" xr:uid="{EB529D01-607F-457D-AC01-BA64AFA6AA45}"/>
    <cellStyle name="Dezimal 9 18" xfId="14463" xr:uid="{3AA5E660-A121-4EC3-A697-2CFE3D355410}"/>
    <cellStyle name="Dezimal 9 18 2" xfId="14464" xr:uid="{EE8843CB-500B-4FBC-9FBE-1B8359D486E9}"/>
    <cellStyle name="Dezimal 9 18 2 2" xfId="33901" xr:uid="{498CD0E1-1167-40CE-B6CD-94161D40F53A}"/>
    <cellStyle name="Dezimal 9 18 3" xfId="33900" xr:uid="{B2C41F50-E9CC-488F-BA4D-AB4CF7BE2A6A}"/>
    <cellStyle name="Dezimal 9 19" xfId="14465" xr:uid="{4871746B-BD86-48C3-9B59-7ACB6BE800B4}"/>
    <cellStyle name="Dezimal 9 19 2" xfId="14466" xr:uid="{2710D570-ED47-41FC-94E8-B27FA86154CC}"/>
    <cellStyle name="Dezimal 9 19 2 2" xfId="33903" xr:uid="{A6601547-E9AC-4BF7-91E0-61FE1546F561}"/>
    <cellStyle name="Dezimal 9 19 3" xfId="33902" xr:uid="{94BFD7B3-F132-405D-BD14-A3237B4A05EB}"/>
    <cellStyle name="Dezimal 9 2" xfId="14467" xr:uid="{AD1AFE24-BEEB-4058-BB60-7A9B23872B7E}"/>
    <cellStyle name="Dezimal 9 2 2" xfId="14468" xr:uid="{0CBBF4D1-6AF8-487D-B728-53F3B1088D99}"/>
    <cellStyle name="Dezimal 9 2 2 2" xfId="33905" xr:uid="{1D0B0AD0-3809-428C-86CB-416FC1848113}"/>
    <cellStyle name="Dezimal 9 2 3" xfId="33904" xr:uid="{B349FB86-2B8C-4ED6-BAD2-CBB9FFF57FAF}"/>
    <cellStyle name="Dezimal 9 2 4" xfId="42162" xr:uid="{C3105986-783C-4286-89A0-606C34943764}"/>
    <cellStyle name="Dezimal 9 20" xfId="14469" xr:uid="{F2A216C7-07B9-4E98-9D3A-F14A1681B6A0}"/>
    <cellStyle name="Dezimal 9 20 2" xfId="14470" xr:uid="{F5A48427-C2F9-4E4F-B43B-7037F806CA64}"/>
    <cellStyle name="Dezimal 9 20 2 2" xfId="33907" xr:uid="{9D27566F-C497-4071-9A60-47715B16F89A}"/>
    <cellStyle name="Dezimal 9 20 3" xfId="33906" xr:uid="{61FF552D-69E2-4B04-AA92-F05D1697CEF0}"/>
    <cellStyle name="Dezimal 9 21" xfId="14471" xr:uid="{6021070D-7168-4C36-89F9-4AE04D2ACED4}"/>
    <cellStyle name="Dezimal 9 21 2" xfId="14472" xr:uid="{D62C99F5-6010-43F9-BF54-19AEE975D442}"/>
    <cellStyle name="Dezimal 9 21 2 2" xfId="33909" xr:uid="{7446904D-77F8-492C-93BD-99540DD46E2B}"/>
    <cellStyle name="Dezimal 9 21 3" xfId="33908" xr:uid="{D76572D1-D5E3-44B9-9A14-9CB9BDB1A3DE}"/>
    <cellStyle name="Dezimal 9 22" xfId="14473" xr:uid="{87A131EB-BB0F-4123-9B31-7B9362853BBC}"/>
    <cellStyle name="Dezimal 9 22 2" xfId="14474" xr:uid="{D55568A3-6C7E-4F45-900E-A732246DA409}"/>
    <cellStyle name="Dezimal 9 22 2 2" xfId="33911" xr:uid="{38FCA07A-F39D-445F-A8D8-3744D91488DF}"/>
    <cellStyle name="Dezimal 9 22 3" xfId="33910" xr:uid="{47B1B2FA-D172-4A47-AAA4-902DFCA71D8C}"/>
    <cellStyle name="Dezimal 9 23" xfId="14475" xr:uid="{28BC55E1-83CD-4B61-A804-D7CFA923A81A}"/>
    <cellStyle name="Dezimal 9 23 2" xfId="14476" xr:uid="{16DF315C-360D-45FA-81DD-3973534D8292}"/>
    <cellStyle name="Dezimal 9 23 2 2" xfId="33913" xr:uid="{5F129C5C-F02A-4BDB-918C-450DF95152DE}"/>
    <cellStyle name="Dezimal 9 23 3" xfId="33912" xr:uid="{033FF9D1-DD3F-40DA-AD89-F849E16D5CA7}"/>
    <cellStyle name="Dezimal 9 24" xfId="14477" xr:uid="{BF2D4946-E65D-42CD-9C96-352D745AF645}"/>
    <cellStyle name="Dezimal 9 24 2" xfId="14478" xr:uid="{3762A6A0-D40C-4A51-83C0-1FBF7A0A6934}"/>
    <cellStyle name="Dezimal 9 24 2 2" xfId="33915" xr:uid="{692BC8CA-EA8E-448E-9E6B-7944DD47D3C6}"/>
    <cellStyle name="Dezimal 9 24 3" xfId="33914" xr:uid="{7CC634DC-1368-42B0-80CF-451B1D8C3591}"/>
    <cellStyle name="Dezimal 9 25" xfId="14479" xr:uid="{2E114E9D-FC55-41BF-BC0C-935045061286}"/>
    <cellStyle name="Dezimal 9 25 2" xfId="14480" xr:uid="{A9C0D2BC-3137-4C10-99A2-4996E84FEEDA}"/>
    <cellStyle name="Dezimal 9 25 2 2" xfId="33917" xr:uid="{E79FF689-3ED6-4B55-BBF0-E32CC9EC3EFB}"/>
    <cellStyle name="Dezimal 9 25 3" xfId="33916" xr:uid="{32F1E45E-11F0-41D4-8EC8-B69BC2F10D96}"/>
    <cellStyle name="Dezimal 9 26" xfId="14481" xr:uid="{A0F71137-2240-44DC-A110-36E3658473C1}"/>
    <cellStyle name="Dezimal 9 26 2" xfId="14482" xr:uid="{96400BA9-2593-41BE-B97C-42B1D8250F7E}"/>
    <cellStyle name="Dezimal 9 26 2 2" xfId="33919" xr:uid="{252F3B0D-B179-4EBB-B94A-735BA34A8464}"/>
    <cellStyle name="Dezimal 9 26 3" xfId="33918" xr:uid="{BD1AE5D9-70F2-4933-8A22-FC6D230BD656}"/>
    <cellStyle name="Dezimal 9 27" xfId="14483" xr:uid="{A2BA4999-94F4-4CC4-9855-7AFFEECC2DF9}"/>
    <cellStyle name="Dezimal 9 27 2" xfId="14484" xr:uid="{EA71D59C-91EC-4D67-B742-BDF95CC9AFA1}"/>
    <cellStyle name="Dezimal 9 27 2 2" xfId="33921" xr:uid="{8EF24909-6408-4D63-A705-456B49DDA7B8}"/>
    <cellStyle name="Dezimal 9 27 3" xfId="33920" xr:uid="{3232B6A3-A3B6-4739-BBAD-A6CAEE781192}"/>
    <cellStyle name="Dezimal 9 28" xfId="14485" xr:uid="{7F758527-DCBE-442E-B263-5E6122EDC90C}"/>
    <cellStyle name="Dezimal 9 28 2" xfId="14486" xr:uid="{369CE095-B700-49F2-B54C-5C7B50406D06}"/>
    <cellStyle name="Dezimal 9 28 2 2" xfId="33923" xr:uid="{8F242B16-0D50-4A12-8215-32225C64BD7E}"/>
    <cellStyle name="Dezimal 9 28 3" xfId="33922" xr:uid="{956FA279-85A9-4BC4-B977-B2B545359F69}"/>
    <cellStyle name="Dezimal 9 29" xfId="14487" xr:uid="{45545968-E91C-43B3-90F0-B8115D133CC4}"/>
    <cellStyle name="Dezimal 9 29 2" xfId="33924" xr:uid="{59C68C71-4893-484E-B0C2-48E8355AE96E}"/>
    <cellStyle name="Dezimal 9 3" xfId="14488" xr:uid="{3E508176-29A7-4666-B9A4-8AACC3611960}"/>
    <cellStyle name="Dezimal 9 3 2" xfId="14489" xr:uid="{C8E33D85-2E5E-4B47-B61A-8D926725DBAF}"/>
    <cellStyle name="Dezimal 9 3 2 2" xfId="33926" xr:uid="{BAE91563-B4DE-448E-88EF-6E28CF22A6D5}"/>
    <cellStyle name="Dezimal 9 3 3" xfId="33925" xr:uid="{A7C72772-331B-4164-8DED-B2E9E229DE0E}"/>
    <cellStyle name="Dezimal 9 30" xfId="33883" xr:uid="{815682E6-F6DA-4400-ADA7-CEFA1E292536}"/>
    <cellStyle name="Dezimal 9 31" xfId="39431" xr:uid="{27C0C8EE-2BB0-4AAF-A942-14CC1E5FA0E2}"/>
    <cellStyle name="Dezimal 9 4" xfId="14490" xr:uid="{C23C872E-748D-40A0-92BA-D86831611E4F}"/>
    <cellStyle name="Dezimal 9 4 2" xfId="14491" xr:uid="{C84DC28C-CFCC-42DD-98C8-C74D50B5E376}"/>
    <cellStyle name="Dezimal 9 4 2 2" xfId="33928" xr:uid="{07821246-9B58-41D7-9E70-AAF27966B205}"/>
    <cellStyle name="Dezimal 9 4 3" xfId="33927" xr:uid="{D1A4423B-A073-43F3-A824-38D1F475F4B8}"/>
    <cellStyle name="Dezimal 9 5" xfId="14492" xr:uid="{AED7124D-6944-4197-ABA7-6B70671B3B09}"/>
    <cellStyle name="Dezimal 9 5 2" xfId="14493" xr:uid="{694829AC-8902-42DD-889F-2A3D3EA12F44}"/>
    <cellStyle name="Dezimal 9 5 2 2" xfId="33930" xr:uid="{27BC55D4-5994-45BC-9990-FB7C004ABD92}"/>
    <cellStyle name="Dezimal 9 5 3" xfId="33929" xr:uid="{26C1BA47-CC2C-4CCC-8B5D-1DFA5F40D76B}"/>
    <cellStyle name="Dezimal 9 6" xfId="14494" xr:uid="{71544104-F8E7-4C13-B76C-6F81818D1125}"/>
    <cellStyle name="Dezimal 9 6 2" xfId="14495" xr:uid="{6F2271DC-0C9F-4CF8-8304-373DA900E5E7}"/>
    <cellStyle name="Dezimal 9 6 2 2" xfId="33932" xr:uid="{0188F5D8-3B00-40F0-8A51-0090ECE2822A}"/>
    <cellStyle name="Dezimal 9 6 3" xfId="33931" xr:uid="{D6F3DC54-1152-415A-9578-84758F00C9EC}"/>
    <cellStyle name="Dezimal 9 7" xfId="14496" xr:uid="{3B29E735-7ABF-49D3-830B-29B2DCBB5029}"/>
    <cellStyle name="Dezimal 9 7 2" xfId="14497" xr:uid="{245AD3A7-6143-4E5C-A25B-7E2E6B23B6DB}"/>
    <cellStyle name="Dezimal 9 7 2 2" xfId="33934" xr:uid="{10231C77-D728-47A1-920F-7B32AC087493}"/>
    <cellStyle name="Dezimal 9 7 3" xfId="33933" xr:uid="{5956FB56-4732-456E-815E-AEE880F84853}"/>
    <cellStyle name="Dezimal 9 8" xfId="14498" xr:uid="{428806F4-3A78-4ABB-BA3A-6E1495B1C2C5}"/>
    <cellStyle name="Dezimal 9 8 2" xfId="14499" xr:uid="{D13B079E-F3A4-4BA2-98BB-0F27747D8FA8}"/>
    <cellStyle name="Dezimal 9 8 2 2" xfId="33936" xr:uid="{3CA980EB-1D8F-49E6-A237-1C124F19D7EE}"/>
    <cellStyle name="Dezimal 9 8 3" xfId="33935" xr:uid="{A2E69814-65DB-40FE-B6D8-6492513CC918}"/>
    <cellStyle name="Dezimal 9 9" xfId="14500" xr:uid="{ADBF87A9-47E2-4893-A69E-BE0AFCBC5682}"/>
    <cellStyle name="Dezimal 9 9 2" xfId="14501" xr:uid="{DC9E0CB4-B835-43F7-9F1C-FA151F1B3C16}"/>
    <cellStyle name="Dezimal 9 9 2 2" xfId="33938" xr:uid="{DD261B33-1EB4-4C50-AD4F-BA522C70CAAD}"/>
    <cellStyle name="Dezimal 9 9 3" xfId="33937" xr:uid="{0135849B-F2C4-4A33-B35A-0758AC260F12}"/>
    <cellStyle name="Dezimal 92" xfId="14502" xr:uid="{43B4FEE1-0A81-49E3-8ACE-FCF9C29112CE}"/>
    <cellStyle name="Dezimal 92 10" xfId="14503" xr:uid="{B2C95AD3-3364-45C1-9B66-D8FB575D36BD}"/>
    <cellStyle name="Dezimal 92 10 2" xfId="33940" xr:uid="{B6B303C6-A9B2-4277-8226-E8A2743145ED}"/>
    <cellStyle name="Dezimal 92 11" xfId="14504" xr:uid="{AEC6E34D-1D5E-4DA4-85C0-38E6DE18071B}"/>
    <cellStyle name="Dezimal 92 11 2" xfId="33941" xr:uid="{20235385-CCE5-4D99-AC61-0B02319F2A72}"/>
    <cellStyle name="Dezimal 92 12" xfId="14505" xr:uid="{86E42C26-1A5A-40A7-B276-717887D0F054}"/>
    <cellStyle name="Dezimal 92 12 2" xfId="33942" xr:uid="{FD0B5EF5-8AE9-4DE5-A89D-81BBF119CC57}"/>
    <cellStyle name="Dezimal 92 13" xfId="14506" xr:uid="{2B170BEC-EEF3-4F55-8D77-DBA5A4CCED01}"/>
    <cellStyle name="Dezimal 92 13 2" xfId="33943" xr:uid="{114C90FD-9135-4F06-891E-F52BF220EEB3}"/>
    <cellStyle name="Dezimal 92 14" xfId="33939" xr:uid="{D50FD15B-C5DC-43F2-BC09-4EBE7E747F65}"/>
    <cellStyle name="Dezimal 92 2" xfId="14507" xr:uid="{D4CEE9CB-8593-43F0-A58E-67F27F7A74D1}"/>
    <cellStyle name="Dezimal 92 2 2" xfId="33944" xr:uid="{D746D41F-F907-4B59-B557-FDB77428990D}"/>
    <cellStyle name="Dezimal 92 3" xfId="14508" xr:uid="{236D1075-1F1D-4ECB-B92A-89C07990D2AC}"/>
    <cellStyle name="Dezimal 92 3 2" xfId="33945" xr:uid="{8F53C2AF-37CA-49F8-860F-E980A0F9B91F}"/>
    <cellStyle name="Dezimal 92 4" xfId="14509" xr:uid="{C1579DB6-5C71-44EA-ADD4-027A13083D30}"/>
    <cellStyle name="Dezimal 92 4 2" xfId="33946" xr:uid="{DF2474CF-41D4-4D37-81B6-DE86DF9E3788}"/>
    <cellStyle name="Dezimal 92 5" xfId="14510" xr:uid="{C2951315-6A5F-4201-90BF-37F774DF4D2C}"/>
    <cellStyle name="Dezimal 92 5 2" xfId="33947" xr:uid="{30374D9D-368C-426E-B7C9-DFD4EEFCD40F}"/>
    <cellStyle name="Dezimal 92 6" xfId="14511" xr:uid="{1CC94ACE-685D-492D-B3CD-16A6B7C3C03D}"/>
    <cellStyle name="Dezimal 92 6 2" xfId="33948" xr:uid="{722DC20B-84FF-44F8-8DB7-2690D2B776AF}"/>
    <cellStyle name="Dezimal 92 7" xfId="14512" xr:uid="{5CE075E6-5FCE-4396-AA8C-FE760215B341}"/>
    <cellStyle name="Dezimal 92 7 2" xfId="33949" xr:uid="{1DF4C1EB-53B5-4AA7-B0CD-64D584AEE3B1}"/>
    <cellStyle name="Dezimal 92 8" xfId="14513" xr:uid="{5889DF18-61BA-4319-A88E-01195F82B6FD}"/>
    <cellStyle name="Dezimal 92 8 2" xfId="33950" xr:uid="{D7BCB758-7B9F-4267-BBA0-651DA7B34AA4}"/>
    <cellStyle name="Dezimal 92 9" xfId="14514" xr:uid="{6FEDDEF0-B1BB-4838-B8F0-16D09A8AAC38}"/>
    <cellStyle name="Dezimal 92 9 2" xfId="33951" xr:uid="{01A0EE9C-1D0C-4008-95CE-8681B008D57E}"/>
    <cellStyle name="Dezimal 93" xfId="14515" xr:uid="{A0E9B576-DA7D-4176-89B8-24AF76154885}"/>
    <cellStyle name="Dezimal 93 10" xfId="14516" xr:uid="{ACEE485B-6FED-48C2-B09C-198960AAA172}"/>
    <cellStyle name="Dezimal 93 10 2" xfId="33953" xr:uid="{F5BF53A4-E0D4-4FBD-9B0F-E924FB648B02}"/>
    <cellStyle name="Dezimal 93 11" xfId="14517" xr:uid="{7515C7B2-81E8-4662-B096-5F3D654EF8BE}"/>
    <cellStyle name="Dezimal 93 11 2" xfId="33954" xr:uid="{EE57B2BB-083F-4660-8B0B-762485460B60}"/>
    <cellStyle name="Dezimal 93 12" xfId="14518" xr:uid="{B56B7D25-8A95-47E9-8F29-216D62FFFBB6}"/>
    <cellStyle name="Dezimal 93 12 2" xfId="33955" xr:uid="{F68A34DF-7265-4564-97C8-3C2EC86F65C4}"/>
    <cellStyle name="Dezimal 93 13" xfId="14519" xr:uid="{3F7D95A9-C1E7-481D-8C47-7D72EE3A2C89}"/>
    <cellStyle name="Dezimal 93 13 2" xfId="33956" xr:uid="{4D88709D-1683-40E5-8B67-526D8C1834CE}"/>
    <cellStyle name="Dezimal 93 14" xfId="33952" xr:uid="{6E28B4F1-FD1E-409B-9818-534E6D23393C}"/>
    <cellStyle name="Dezimal 93 2" xfId="14520" xr:uid="{3B128B5F-F16D-4272-B8AC-C22074805A05}"/>
    <cellStyle name="Dezimal 93 2 2" xfId="33957" xr:uid="{8401DC78-1297-43F4-91A9-2EAC83A9860A}"/>
    <cellStyle name="Dezimal 93 3" xfId="14521" xr:uid="{ACFA1183-8CEB-4562-AC5E-C1A4A27A6443}"/>
    <cellStyle name="Dezimal 93 3 2" xfId="33958" xr:uid="{C20648A4-FE7B-4D61-BCA2-8DD401A4E943}"/>
    <cellStyle name="Dezimal 93 4" xfId="14522" xr:uid="{C54DB0D4-4F2E-4E8A-8E4F-8EE12AF1531F}"/>
    <cellStyle name="Dezimal 93 4 2" xfId="33959" xr:uid="{351A5841-2168-452B-BFB7-451CF9925DBB}"/>
    <cellStyle name="Dezimal 93 5" xfId="14523" xr:uid="{E8B3B8F6-3967-4CCA-BD7C-06344C63A6EA}"/>
    <cellStyle name="Dezimal 93 5 2" xfId="33960" xr:uid="{B34F60A7-AA96-412C-A21A-7C6AA8BE073C}"/>
    <cellStyle name="Dezimal 93 6" xfId="14524" xr:uid="{C20BBD19-CA36-4210-9F97-7A04A8E52AA1}"/>
    <cellStyle name="Dezimal 93 6 2" xfId="33961" xr:uid="{A0EB9FF2-88D9-4DD8-AD93-64177E452BED}"/>
    <cellStyle name="Dezimal 93 7" xfId="14525" xr:uid="{F2FE7C30-68E0-4CBB-87D6-CB2577CFAEC4}"/>
    <cellStyle name="Dezimal 93 7 2" xfId="33962" xr:uid="{D817FB28-5B54-4C4F-A1EE-988B169F365C}"/>
    <cellStyle name="Dezimal 93 8" xfId="14526" xr:uid="{D2B0356D-7CB6-4EAD-848A-E96880B078A7}"/>
    <cellStyle name="Dezimal 93 8 2" xfId="33963" xr:uid="{49D3403C-8761-45AD-9C5F-85A80F240D51}"/>
    <cellStyle name="Dezimal 93 9" xfId="14527" xr:uid="{544625E2-41CC-4C7C-BBBA-DF267F3FD399}"/>
    <cellStyle name="Dezimal 93 9 2" xfId="33964" xr:uid="{E9B76D23-CCAD-40EA-A699-5E7332ECB9D8}"/>
    <cellStyle name="Dezimal 94" xfId="14528" xr:uid="{8FC28984-006D-4689-8EDA-FE2FC76BF1AB}"/>
    <cellStyle name="Dezimal 94 10" xfId="14529" xr:uid="{312FDF2F-D914-4EAE-9EF1-8AF41E010265}"/>
    <cellStyle name="Dezimal 94 10 2" xfId="33966" xr:uid="{470336BD-6B1B-473E-A2E7-B2229BA65CDC}"/>
    <cellStyle name="Dezimal 94 11" xfId="14530" xr:uid="{DB5BCB19-5113-40FF-8F6D-BBB6C65E5266}"/>
    <cellStyle name="Dezimal 94 11 2" xfId="33967" xr:uid="{D428A81A-F151-47D7-A489-2CBB5C54658E}"/>
    <cellStyle name="Dezimal 94 12" xfId="14531" xr:uid="{E5032238-BB33-479C-90BB-AACF1F83CA87}"/>
    <cellStyle name="Dezimal 94 12 2" xfId="33968" xr:uid="{CB59E817-C397-497A-82DA-0841B2EE047D}"/>
    <cellStyle name="Dezimal 94 13" xfId="14532" xr:uid="{CF159019-ACF6-421E-BF8E-426517F451FA}"/>
    <cellStyle name="Dezimal 94 13 2" xfId="33969" xr:uid="{A794F999-0CDD-4061-83A4-7C7DB1B0326C}"/>
    <cellStyle name="Dezimal 94 14" xfId="33965" xr:uid="{10F41467-6335-4C7C-8436-DD78A2B135B5}"/>
    <cellStyle name="Dezimal 94 2" xfId="14533" xr:uid="{5BAAB27A-3890-4811-A67F-B46E9DFD2A1A}"/>
    <cellStyle name="Dezimal 94 2 2" xfId="33970" xr:uid="{EF012A37-D1BB-4E17-89AD-646AB1CE3A30}"/>
    <cellStyle name="Dezimal 94 3" xfId="14534" xr:uid="{7783CCDC-4E38-4119-9BFD-5ABDC7F1911D}"/>
    <cellStyle name="Dezimal 94 3 2" xfId="33971" xr:uid="{74737548-136F-4ECE-AA60-767DC9604D5F}"/>
    <cellStyle name="Dezimal 94 4" xfId="14535" xr:uid="{D2E4C517-83DA-4B37-A190-A75C28036CE0}"/>
    <cellStyle name="Dezimal 94 4 2" xfId="33972" xr:uid="{6E8A4C10-490A-48F1-9EE0-4047AA79B404}"/>
    <cellStyle name="Dezimal 94 5" xfId="14536" xr:uid="{9D06DEBD-7C46-45FE-A8C4-5ACCB0EB2774}"/>
    <cellStyle name="Dezimal 94 5 2" xfId="33973" xr:uid="{1B9292F4-90E6-437A-A5DE-04264AEDF96C}"/>
    <cellStyle name="Dezimal 94 6" xfId="14537" xr:uid="{D30F9C0B-4CEE-4444-B321-587E3CF73E22}"/>
    <cellStyle name="Dezimal 94 6 2" xfId="33974" xr:uid="{75A56EF2-567E-49A3-8E93-A30EDEDB3F59}"/>
    <cellStyle name="Dezimal 94 7" xfId="14538" xr:uid="{9A6E61A0-D033-4A75-AFA1-D852BC4EB37C}"/>
    <cellStyle name="Dezimal 94 7 2" xfId="33975" xr:uid="{7F019661-D4EB-49FD-B78B-173A4DEB4BCF}"/>
    <cellStyle name="Dezimal 94 8" xfId="14539" xr:uid="{21831AF3-0D8A-4D42-81B7-15E9EDD59146}"/>
    <cellStyle name="Dezimal 94 8 2" xfId="33976" xr:uid="{6A6849E3-FF6E-4500-A45C-04066D672AAE}"/>
    <cellStyle name="Dezimal 94 9" xfId="14540" xr:uid="{102A17CC-7331-415F-B2E9-2CFA90673A78}"/>
    <cellStyle name="Dezimal 94 9 2" xfId="33977" xr:uid="{09A3A1C9-3AB9-4E65-BB8D-3C865DE06EE3}"/>
    <cellStyle name="Dezimal 95" xfId="14541" xr:uid="{51E634AF-F7A1-435C-8F88-8A3FE7691CEF}"/>
    <cellStyle name="Dezimal 95 10" xfId="14542" xr:uid="{E8DDE5F4-A172-4656-BB81-A49ABBE9F33B}"/>
    <cellStyle name="Dezimal 95 10 2" xfId="33979" xr:uid="{AFB07518-70A9-4E37-A3A0-B2F398DF81D3}"/>
    <cellStyle name="Dezimal 95 11" xfId="14543" xr:uid="{154EA02F-D0EF-42FE-A9F4-7E1DBBB24D25}"/>
    <cellStyle name="Dezimal 95 11 2" xfId="33980" xr:uid="{ECB143C7-AB8D-43BD-8A63-433338E3DC1D}"/>
    <cellStyle name="Dezimal 95 12" xfId="14544" xr:uid="{4DFC2021-C0B4-4390-BF68-EA5037F44607}"/>
    <cellStyle name="Dezimal 95 12 2" xfId="33981" xr:uid="{3DB01B2F-140E-4051-A1FF-0020562D8781}"/>
    <cellStyle name="Dezimal 95 13" xfId="14545" xr:uid="{8210DA92-B9BE-4F7A-AB1C-6BC9675912A4}"/>
    <cellStyle name="Dezimal 95 13 2" xfId="33982" xr:uid="{CA9FD24D-23BB-4D85-8BF0-BC1B8D0905FF}"/>
    <cellStyle name="Dezimal 95 14" xfId="33978" xr:uid="{C378DD04-A8C0-4948-973D-92580BFA0772}"/>
    <cellStyle name="Dezimal 95 2" xfId="14546" xr:uid="{2587904A-A624-4B06-BA2B-577253D4D39E}"/>
    <cellStyle name="Dezimal 95 2 2" xfId="33983" xr:uid="{BDD190B6-399B-4A32-9CC1-0FB1AF03EF33}"/>
    <cellStyle name="Dezimal 95 3" xfId="14547" xr:uid="{57C8FE1F-F97E-4E38-9961-9D4D69913038}"/>
    <cellStyle name="Dezimal 95 3 2" xfId="33984" xr:uid="{0E1903FF-CE22-409C-B468-730FE5736682}"/>
    <cellStyle name="Dezimal 95 4" xfId="14548" xr:uid="{44D010B0-C3C4-4F7E-BE22-8B7414BBD1B9}"/>
    <cellStyle name="Dezimal 95 4 2" xfId="33985" xr:uid="{C4CAD9D1-ADEF-4FA0-8F2D-A90D2443DF24}"/>
    <cellStyle name="Dezimal 95 5" xfId="14549" xr:uid="{06D6D61F-A75B-4CAF-A80D-C8D823FD13B6}"/>
    <cellStyle name="Dezimal 95 5 2" xfId="33986" xr:uid="{8180652B-8E9A-40BB-9BC0-5A545A115159}"/>
    <cellStyle name="Dezimal 95 6" xfId="14550" xr:uid="{619FD5AA-82CC-499F-A2E9-049D75F934EE}"/>
    <cellStyle name="Dezimal 95 6 2" xfId="33987" xr:uid="{E1363F83-75C6-46F4-B938-08C3B29273B7}"/>
    <cellStyle name="Dezimal 95 7" xfId="14551" xr:uid="{FFA4EEDF-F93E-4A12-9B45-A50053885E0D}"/>
    <cellStyle name="Dezimal 95 7 2" xfId="33988" xr:uid="{EC13E740-BC86-4AA6-92F1-9474B94AF67C}"/>
    <cellStyle name="Dezimal 95 8" xfId="14552" xr:uid="{174D1608-C4EA-4138-80D1-F095DF2FE64C}"/>
    <cellStyle name="Dezimal 95 8 2" xfId="33989" xr:uid="{97F6C785-F8B5-4D25-B8F7-E6ED83B46BBB}"/>
    <cellStyle name="Dezimal 95 9" xfId="14553" xr:uid="{737E2485-A92F-4DAA-A2F5-77F508E7D1BA}"/>
    <cellStyle name="Dezimal 95 9 2" xfId="33990" xr:uid="{12CCF8D5-7597-4EF9-8D23-9BD061DFDBB1}"/>
    <cellStyle name="Dezimal 96" xfId="14554" xr:uid="{A04E3FE4-2253-4DA8-89C3-F3229758B9FF}"/>
    <cellStyle name="Dezimal 96 10" xfId="14555" xr:uid="{EAA84509-F7D4-4867-AFC1-72DE4D81F2B5}"/>
    <cellStyle name="Dezimal 96 10 2" xfId="33992" xr:uid="{1C6D9206-38F8-4580-B8D1-971E291504EF}"/>
    <cellStyle name="Dezimal 96 11" xfId="14556" xr:uid="{FE77F66D-A165-4CC9-A76D-5840358B7CAD}"/>
    <cellStyle name="Dezimal 96 11 2" xfId="33993" xr:uid="{F61FABAB-4459-438C-A2D3-8C00E43A92E3}"/>
    <cellStyle name="Dezimal 96 12" xfId="14557" xr:uid="{44B4E849-7736-49F5-AAA9-70E05A804576}"/>
    <cellStyle name="Dezimal 96 12 2" xfId="33994" xr:uid="{DEDF3C52-9901-4487-9F20-949F0D5DE15D}"/>
    <cellStyle name="Dezimal 96 13" xfId="14558" xr:uid="{DC24CDE1-3DA7-4517-ABD6-4F290CE2FB10}"/>
    <cellStyle name="Dezimal 96 13 2" xfId="33995" xr:uid="{ADCD311E-2DAA-4434-BE65-5E4E3FC8DF03}"/>
    <cellStyle name="Dezimal 96 14" xfId="33991" xr:uid="{03F27041-F002-4D8D-A35C-4B17F957B793}"/>
    <cellStyle name="Dezimal 96 2" xfId="14559" xr:uid="{47DC866A-7CE4-4065-A92A-080BBBD08672}"/>
    <cellStyle name="Dezimal 96 2 2" xfId="33996" xr:uid="{2E026296-9B7C-4454-9C56-1DEA2C912599}"/>
    <cellStyle name="Dezimal 96 3" xfId="14560" xr:uid="{A8625663-CF11-44DF-AF92-9052293AD873}"/>
    <cellStyle name="Dezimal 96 3 2" xfId="33997" xr:uid="{251EAAD9-0DF9-40F7-B7B5-0900B0062759}"/>
    <cellStyle name="Dezimal 96 4" xfId="14561" xr:uid="{A322ECB8-82B8-4A0F-AF10-4C8D6B64FFC7}"/>
    <cellStyle name="Dezimal 96 4 2" xfId="33998" xr:uid="{8A032704-9378-4516-A651-8DD0AD0E9E15}"/>
    <cellStyle name="Dezimal 96 5" xfId="14562" xr:uid="{C4BD8432-E594-40C7-99F7-E0EFA5827C21}"/>
    <cellStyle name="Dezimal 96 5 2" xfId="33999" xr:uid="{0AA7E950-9CD2-4B8F-8519-8FFACF8CC199}"/>
    <cellStyle name="Dezimal 96 6" xfId="14563" xr:uid="{AD34787A-2EF7-4C05-9481-EBD20E390102}"/>
    <cellStyle name="Dezimal 96 6 2" xfId="34000" xr:uid="{0431BBC6-6FAE-4BE5-9C65-F52C31966F63}"/>
    <cellStyle name="Dezimal 96 7" xfId="14564" xr:uid="{2312DB8C-9039-4E2C-A538-9DE6C5EE7D9D}"/>
    <cellStyle name="Dezimal 96 7 2" xfId="34001" xr:uid="{AE5F6223-9CCA-4622-A4DB-14DFED3DDDA3}"/>
    <cellStyle name="Dezimal 96 8" xfId="14565" xr:uid="{8905F98C-341D-487C-B69D-2A24DE75B70D}"/>
    <cellStyle name="Dezimal 96 8 2" xfId="34002" xr:uid="{6070FAF3-BF15-4D78-846A-620267E1B128}"/>
    <cellStyle name="Dezimal 96 9" xfId="14566" xr:uid="{CA35AC85-E2F4-464A-9BE1-2654AB89BF44}"/>
    <cellStyle name="Dezimal 96 9 2" xfId="34003" xr:uid="{10F773B6-F4F3-4C17-969B-757C596DA2C3}"/>
    <cellStyle name="Dezimal 97" xfId="14567" xr:uid="{2E2B7DF5-ACBC-46E1-AEE7-685493E0ADC3}"/>
    <cellStyle name="Dezimal 97 10" xfId="14568" xr:uid="{60BEFF48-0174-4318-B6B9-F121358D626A}"/>
    <cellStyle name="Dezimal 97 10 2" xfId="34005" xr:uid="{B9FB49D1-4115-4F36-AAF3-D883663E1AA3}"/>
    <cellStyle name="Dezimal 97 11" xfId="14569" xr:uid="{0CCA682D-3514-44B7-A679-D5A7FA9A5893}"/>
    <cellStyle name="Dezimal 97 11 2" xfId="34006" xr:uid="{2B18F805-22BB-405B-9BB8-618E754A5F63}"/>
    <cellStyle name="Dezimal 97 12" xfId="14570" xr:uid="{104B4D52-4FC6-478C-9257-1CE734342B5C}"/>
    <cellStyle name="Dezimal 97 12 2" xfId="34007" xr:uid="{F854BB4F-3443-4CE4-BD67-CE5568715A13}"/>
    <cellStyle name="Dezimal 97 13" xfId="14571" xr:uid="{C90E6E10-EFB3-4001-BF04-2FA33AAD711C}"/>
    <cellStyle name="Dezimal 97 13 2" xfId="34008" xr:uid="{235F7DD5-F8D1-4C67-9F89-6FDF5944B111}"/>
    <cellStyle name="Dezimal 97 14" xfId="34004" xr:uid="{F49E06AB-8D03-4B3E-9448-B7BA04C1F731}"/>
    <cellStyle name="Dezimal 97 2" xfId="14572" xr:uid="{DB1FDB38-6021-40AA-B171-972B064A7DAE}"/>
    <cellStyle name="Dezimal 97 2 2" xfId="34009" xr:uid="{BA2F1986-431A-4A87-A2D6-E9528AE8BBA6}"/>
    <cellStyle name="Dezimal 97 3" xfId="14573" xr:uid="{859D4839-76AD-4003-AA8E-FA6292776999}"/>
    <cellStyle name="Dezimal 97 3 2" xfId="34010" xr:uid="{E5E1A2A7-3C2F-42CE-A784-A295EF6EA48E}"/>
    <cellStyle name="Dezimal 97 4" xfId="14574" xr:uid="{F7AA7CF9-7C64-473D-B675-4DC2072DDE28}"/>
    <cellStyle name="Dezimal 97 4 2" xfId="34011" xr:uid="{B2193704-1545-4DA3-A442-72FD51E3F511}"/>
    <cellStyle name="Dezimal 97 5" xfId="14575" xr:uid="{C19E256E-8E13-4EEA-BC86-5FA908A0A575}"/>
    <cellStyle name="Dezimal 97 5 2" xfId="34012" xr:uid="{2DE8E13F-49AB-4EE5-9E61-C4FB32B3217B}"/>
    <cellStyle name="Dezimal 97 6" xfId="14576" xr:uid="{CC635AC3-4DE5-48B6-AD92-F8AFC2798446}"/>
    <cellStyle name="Dezimal 97 6 2" xfId="34013" xr:uid="{51C460FA-70DE-4942-855D-A78A418602EE}"/>
    <cellStyle name="Dezimal 97 7" xfId="14577" xr:uid="{DF3BA59E-5430-48D1-8BCD-75F280099B25}"/>
    <cellStyle name="Dezimal 97 7 2" xfId="34014" xr:uid="{7DF6B166-2AA5-4315-908A-B2464586DECB}"/>
    <cellStyle name="Dezimal 97 8" xfId="14578" xr:uid="{01D9F9A8-34C7-41FE-9CE2-DFBACBB6286F}"/>
    <cellStyle name="Dezimal 97 8 2" xfId="34015" xr:uid="{16421768-8C6D-48A0-988F-0BA5A3E8053D}"/>
    <cellStyle name="Dezimal 97 9" xfId="14579" xr:uid="{F2F4A9B6-3DCA-4305-8F7B-97B2B1901864}"/>
    <cellStyle name="Dezimal 97 9 2" xfId="34016" xr:uid="{9383069C-A8B3-4C22-BD40-38C5CC23A2E6}"/>
    <cellStyle name="Dezimal 98" xfId="14580" xr:uid="{82E91601-F5AE-4755-8EEC-37648B86F20A}"/>
    <cellStyle name="Dezimal 98 10" xfId="14581" xr:uid="{DAE9D4CE-A793-44F4-A11B-1D91DDAF5CA6}"/>
    <cellStyle name="Dezimal 98 10 2" xfId="34018" xr:uid="{0A0DDD6F-6B5F-47E4-AB70-BB2A3B711184}"/>
    <cellStyle name="Dezimal 98 11" xfId="14582" xr:uid="{6C71063B-C96C-407D-B6A4-0C27701F2A24}"/>
    <cellStyle name="Dezimal 98 11 2" xfId="34019" xr:uid="{264308E8-5E05-456A-B4E3-9C9F6D92A695}"/>
    <cellStyle name="Dezimal 98 12" xfId="14583" xr:uid="{C8392333-A090-42A8-A6E7-A3D91916DFB7}"/>
    <cellStyle name="Dezimal 98 12 2" xfId="34020" xr:uid="{9A6D075B-AA5F-4BAC-B83A-88115D71A8C6}"/>
    <cellStyle name="Dezimal 98 13" xfId="14584" xr:uid="{25B07155-79E4-4A2B-A5B2-477014951864}"/>
    <cellStyle name="Dezimal 98 13 2" xfId="34021" xr:uid="{58E3A638-CA5E-42D5-B2E5-C66B75025025}"/>
    <cellStyle name="Dezimal 98 14" xfId="34017" xr:uid="{25DE60F9-F85E-4EF4-A544-C7BF51705420}"/>
    <cellStyle name="Dezimal 98 2" xfId="14585" xr:uid="{71CD0A79-3EC2-4BB8-8662-BDEE5161483E}"/>
    <cellStyle name="Dezimal 98 2 2" xfId="34022" xr:uid="{D877732A-3E2C-4BEB-9D66-45B602561FA8}"/>
    <cellStyle name="Dezimal 98 3" xfId="14586" xr:uid="{90025D24-4195-4E27-A0D1-A7C3B864BB14}"/>
    <cellStyle name="Dezimal 98 3 2" xfId="34023" xr:uid="{CA95608A-FAB4-4596-A87B-40FA12D1CAD8}"/>
    <cellStyle name="Dezimal 98 4" xfId="14587" xr:uid="{4CDBEA80-3C60-4A56-8675-B3D9CE811CDC}"/>
    <cellStyle name="Dezimal 98 4 2" xfId="34024" xr:uid="{E3063FAA-69FA-4731-A61C-1089128E4B51}"/>
    <cellStyle name="Dezimal 98 5" xfId="14588" xr:uid="{8F9A0955-A7F6-4792-A26E-EF92CC7ADBCC}"/>
    <cellStyle name="Dezimal 98 5 2" xfId="34025" xr:uid="{112DD719-0A8D-4ADC-BC34-079C94465852}"/>
    <cellStyle name="Dezimal 98 6" xfId="14589" xr:uid="{C717815A-8DF0-4833-B09F-3C452D4A8800}"/>
    <cellStyle name="Dezimal 98 6 2" xfId="34026" xr:uid="{F2B02225-7330-4CB9-BB64-B67927A5E25E}"/>
    <cellStyle name="Dezimal 98 7" xfId="14590" xr:uid="{69F6EDFF-847E-46B1-8EC2-198AB02B50C9}"/>
    <cellStyle name="Dezimal 98 7 2" xfId="34027" xr:uid="{E4B03DBF-AC60-43C4-8DDE-BCDECF8A488E}"/>
    <cellStyle name="Dezimal 98 8" xfId="14591" xr:uid="{393775C2-3909-4464-8788-441BF2F82E16}"/>
    <cellStyle name="Dezimal 98 8 2" xfId="34028" xr:uid="{0AB4A4F1-B30C-482F-84F2-D26F74893754}"/>
    <cellStyle name="Dezimal 98 9" xfId="14592" xr:uid="{7E1F0F8F-2565-406F-A9BC-E65BD2BAD34A}"/>
    <cellStyle name="Dezimal 98 9 2" xfId="34029" xr:uid="{038F8DD1-4113-49EA-B669-ADD47C8F6523}"/>
    <cellStyle name="Dezimal 99" xfId="14593" xr:uid="{BEEF966F-5A08-43F7-8E16-EF0F04718FB8}"/>
    <cellStyle name="Dezimal 99 10" xfId="14594" xr:uid="{51C4C5FD-167B-43C5-8E79-824C375E4CF9}"/>
    <cellStyle name="Dezimal 99 10 2" xfId="34031" xr:uid="{09E81382-16D2-4EA0-B7C3-CD1B9E2CF9A3}"/>
    <cellStyle name="Dezimal 99 11" xfId="14595" xr:uid="{34545A11-8E24-428E-98F7-F245ADD03937}"/>
    <cellStyle name="Dezimal 99 11 2" xfId="34032" xr:uid="{B990BD2D-B20F-420B-81A0-ABD4FA1EAC0E}"/>
    <cellStyle name="Dezimal 99 12" xfId="14596" xr:uid="{599D0A3D-1F74-462B-A04D-A18C6179DCCF}"/>
    <cellStyle name="Dezimal 99 12 2" xfId="34033" xr:uid="{AC5BDE3C-3332-4B0D-9A37-82285404EFF4}"/>
    <cellStyle name="Dezimal 99 13" xfId="14597" xr:uid="{AE66D82B-C4C8-4EB4-9C92-3AA0DACB565C}"/>
    <cellStyle name="Dezimal 99 13 2" xfId="34034" xr:uid="{0696F888-7A7D-40AC-82C0-98EAE9300A2B}"/>
    <cellStyle name="Dezimal 99 14" xfId="34030" xr:uid="{553F1C9E-10FB-42AA-AF4E-138317803DCC}"/>
    <cellStyle name="Dezimal 99 2" xfId="14598" xr:uid="{8FDCF18D-BF50-4279-8B12-7582F808AE57}"/>
    <cellStyle name="Dezimal 99 2 2" xfId="34035" xr:uid="{A381044E-5355-4D48-AB22-93F139FACBAE}"/>
    <cellStyle name="Dezimal 99 3" xfId="14599" xr:uid="{BF70BF86-AA71-4634-862A-1FB83624B0C2}"/>
    <cellStyle name="Dezimal 99 3 2" xfId="34036" xr:uid="{E1349663-7EB4-4799-B0EB-A79DC59AB9BB}"/>
    <cellStyle name="Dezimal 99 4" xfId="14600" xr:uid="{1E09576E-1F96-4261-9570-DFA53C24E2A6}"/>
    <cellStyle name="Dezimal 99 4 2" xfId="34037" xr:uid="{28DCFBCA-33A8-4570-B662-17EF2CCA8EFC}"/>
    <cellStyle name="Dezimal 99 5" xfId="14601" xr:uid="{5EF899ED-68C1-4E57-81C8-762D9E607723}"/>
    <cellStyle name="Dezimal 99 5 2" xfId="34038" xr:uid="{11E98CBE-7A91-4826-BF26-4137CDD00016}"/>
    <cellStyle name="Dezimal 99 6" xfId="14602" xr:uid="{9623F7E1-E4A2-41BC-BECA-A99A63B27667}"/>
    <cellStyle name="Dezimal 99 6 2" xfId="34039" xr:uid="{6623F505-2699-43FF-B44B-A4C98FB647CE}"/>
    <cellStyle name="Dezimal 99 7" xfId="14603" xr:uid="{E33B013B-4F1E-46B6-8BB6-1679EF7CEAE0}"/>
    <cellStyle name="Dezimal 99 7 2" xfId="34040" xr:uid="{FDDA1BC3-FDF8-4E0F-AF7B-7C85B2270B96}"/>
    <cellStyle name="Dezimal 99 8" xfId="14604" xr:uid="{03366141-8DDF-4980-B50C-E693649E693F}"/>
    <cellStyle name="Dezimal 99 8 2" xfId="34041" xr:uid="{3C30B483-E024-4982-9205-D04352EFC1A8}"/>
    <cellStyle name="Dezimal 99 9" xfId="14605" xr:uid="{B7688988-99A3-4BC9-A578-DFAD4CF4F3FB}"/>
    <cellStyle name="Dezimal 99 9 2" xfId="34042" xr:uid="{C836049D-B85A-45E6-B447-2B4E2DBF3CD5}"/>
    <cellStyle name="Eingabe 10" xfId="14607" xr:uid="{5A36A978-F5B4-4C4E-A127-992792423FAC}"/>
    <cellStyle name="Eingabe 10 2" xfId="14608" xr:uid="{E9BFE830-99AD-42B3-9C50-A90F0903BDD2}"/>
    <cellStyle name="Eingabe 10 2 2" xfId="34045" xr:uid="{17BF2259-9F8C-4744-A55B-6E9849931341}"/>
    <cellStyle name="Eingabe 10 3" xfId="34044" xr:uid="{76205E48-004C-4550-B2A4-141F1AC63748}"/>
    <cellStyle name="Eingabe 11" xfId="14609" xr:uid="{7728D89C-CDB1-4945-A28C-18699B12516B}"/>
    <cellStyle name="Eingabe 11 2" xfId="14610" xr:uid="{3F5ED2D5-FC4E-416F-97D0-A23AF38AB3EF}"/>
    <cellStyle name="Eingabe 11 2 2" xfId="34047" xr:uid="{28B895E6-B01D-4C62-9596-69F55CCEB904}"/>
    <cellStyle name="Eingabe 11 3" xfId="34046" xr:uid="{0FC081BD-8CD9-4A53-91AB-44A6D84F8E0E}"/>
    <cellStyle name="Eingabe 12" xfId="14611" xr:uid="{A5CD9259-C6D5-4F62-BA0D-2DB04F9B1FBA}"/>
    <cellStyle name="Eingabe 12 2" xfId="14612" xr:uid="{13A858E1-28BB-4582-9BA0-4585285DEB9F}"/>
    <cellStyle name="Eingabe 12 2 2" xfId="34049" xr:uid="{23FE9533-CF1F-4438-A567-588933F19028}"/>
    <cellStyle name="Eingabe 12 3" xfId="34048" xr:uid="{0F0A7AD8-C876-4A4E-ABCD-7911E14128D8}"/>
    <cellStyle name="Eingabe 13" xfId="14613" xr:uid="{2D04B29E-1728-4F19-9871-D4F13EAB1136}"/>
    <cellStyle name="Eingabe 13 2" xfId="14614" xr:uid="{AA54C8BA-E0FD-4C46-9B5D-6CC713ACA955}"/>
    <cellStyle name="Eingabe 13 2 2" xfId="34051" xr:uid="{C8005340-269A-4998-BB59-FAFB289A65BD}"/>
    <cellStyle name="Eingabe 13 3" xfId="34050" xr:uid="{30B011DD-D15D-4E1D-8D28-BD9FD83DE04A}"/>
    <cellStyle name="Eingabe 14" xfId="14615" xr:uid="{CBE9CC87-B367-4C42-A081-F852532BE1A2}"/>
    <cellStyle name="Eingabe 14 2" xfId="14616" xr:uid="{6963B0F3-0A49-4B6E-BBF4-065E6EA441BA}"/>
    <cellStyle name="Eingabe 14 2 2" xfId="34053" xr:uid="{206FC85E-625B-4D53-B4C9-089FA175E2F8}"/>
    <cellStyle name="Eingabe 14 3" xfId="34052" xr:uid="{F03857EE-C7E9-4F5C-B261-DFC5C6209E09}"/>
    <cellStyle name="Eingabe 15" xfId="14617" xr:uid="{67ABDD21-E2DC-44C1-B5F6-ADC27995A6AF}"/>
    <cellStyle name="Eingabe 15 2" xfId="14618" xr:uid="{AD896882-349B-49A7-9847-C485E0D660FC}"/>
    <cellStyle name="Eingabe 15 2 2" xfId="34055" xr:uid="{27D957B5-068A-4A6A-A9C4-8B12A0B3CCCD}"/>
    <cellStyle name="Eingabe 15 3" xfId="34054" xr:uid="{68ECAF38-FC70-4B44-AC98-77EB1A3F7EAD}"/>
    <cellStyle name="Eingabe 16" xfId="14619" xr:uid="{B4CFE30C-83B2-4DB7-B179-87E175D11685}"/>
    <cellStyle name="Eingabe 16 2" xfId="14620" xr:uid="{9941CA25-0766-425D-A051-ACDDA7C023DA}"/>
    <cellStyle name="Eingabe 16 2 2" xfId="34057" xr:uid="{62737407-E59F-44AB-A9B4-AFF4787BBD6F}"/>
    <cellStyle name="Eingabe 16 3" xfId="34056" xr:uid="{294BC893-1385-47A9-93BC-237ACBFFE1E7}"/>
    <cellStyle name="Eingabe 17" xfId="14621" xr:uid="{77B9577B-9F47-4120-93A4-69F5221CDC0F}"/>
    <cellStyle name="Eingabe 17 2" xfId="14622" xr:uid="{F9D5544C-9503-4077-80BD-AED664AD37A2}"/>
    <cellStyle name="Eingabe 17 2 2" xfId="34059" xr:uid="{37806326-76CB-4C3F-A8B4-9E2482C34BD7}"/>
    <cellStyle name="Eingabe 17 3" xfId="34058" xr:uid="{43B45FCE-55D0-4702-8D9C-4B8EC1158647}"/>
    <cellStyle name="Eingabe 18" xfId="14623" xr:uid="{192EB8DE-74B5-4301-8F8B-C2819FF5D993}"/>
    <cellStyle name="Eingabe 18 2" xfId="14624" xr:uid="{258271E8-5110-489E-A563-EB1CBD834440}"/>
    <cellStyle name="Eingabe 18 2 2" xfId="34061" xr:uid="{D58156E4-DD1D-4D7E-B24C-129CDB6A901D}"/>
    <cellStyle name="Eingabe 18 3" xfId="34060" xr:uid="{58BDC026-11CB-4638-92E2-74043EA835D6}"/>
    <cellStyle name="Eingabe 19" xfId="14625" xr:uid="{3BD181AD-5CE3-42C0-92D7-F6B139C5BA44}"/>
    <cellStyle name="Eingabe 19 2" xfId="14626" xr:uid="{3633C3BC-2371-4179-A8AA-9296B1E4FC7D}"/>
    <cellStyle name="Eingabe 19 2 2" xfId="34063" xr:uid="{C3D7722A-6EAD-444F-8BD8-8668F1438E2C}"/>
    <cellStyle name="Eingabe 19 3" xfId="34062" xr:uid="{F4FB9D85-E2B1-463E-B314-9B7F267C639A}"/>
    <cellStyle name="Eingabe 2" xfId="14627" xr:uid="{08AC880D-86B7-4BCD-B319-568C5C5567F3}"/>
    <cellStyle name="Eingabe 2 10" xfId="14628" xr:uid="{FAF3E405-6282-464A-8C3E-3D401AE6C633}"/>
    <cellStyle name="Eingabe 2 10 2" xfId="34065" xr:uid="{4333DC1B-2581-41E1-BBF3-A26924E13A66}"/>
    <cellStyle name="Eingabe 2 11" xfId="14629" xr:uid="{173310B1-62EE-4D1B-9AE2-3B41266A981E}"/>
    <cellStyle name="Eingabe 2 11 2" xfId="34066" xr:uid="{031B74D0-C128-40E6-8031-73BB3CD3A17C}"/>
    <cellStyle name="Eingabe 2 12" xfId="14630" xr:uid="{3272E410-1823-435A-B22D-37A2665AB220}"/>
    <cellStyle name="Eingabe 2 12 2" xfId="34067" xr:uid="{35E1B82B-1A34-4E23-86F9-34ECE27D2458}"/>
    <cellStyle name="Eingabe 2 13" xfId="14631" xr:uid="{D7317130-1399-49F0-BAB5-30599A013656}"/>
    <cellStyle name="Eingabe 2 13 2" xfId="34068" xr:uid="{DC0542E9-2B83-4489-8844-65CB6F3E0A57}"/>
    <cellStyle name="Eingabe 2 14" xfId="14632" xr:uid="{500FCA14-077D-496D-B355-AE1CAAEC5F59}"/>
    <cellStyle name="Eingabe 2 14 2" xfId="34069" xr:uid="{6C04C991-4A2B-4F24-97BE-87A2DBE81F38}"/>
    <cellStyle name="Eingabe 2 15" xfId="34064" xr:uid="{B56DEEDD-88D4-4079-BDA5-55868A7DBE99}"/>
    <cellStyle name="Eingabe 2 16" xfId="39433" xr:uid="{32C48CB5-9337-4FCC-AF5C-028A46E62F3F}"/>
    <cellStyle name="Eingabe 2 2" xfId="14633" xr:uid="{21992416-7002-4B52-ACEE-561DF0B6051B}"/>
    <cellStyle name="Eingabe 2 2 10" xfId="14634" xr:uid="{9AB46057-C710-4FBF-9619-15C2955C8068}"/>
    <cellStyle name="Eingabe 2 2 10 2" xfId="34071" xr:uid="{D8F9BA44-867B-41ED-A4A3-BCB32B1FCE15}"/>
    <cellStyle name="Eingabe 2 2 11" xfId="14635" xr:uid="{B45D0A33-7C34-48A7-A323-292876D45297}"/>
    <cellStyle name="Eingabe 2 2 11 2" xfId="34072" xr:uid="{B626B864-8C68-4A28-95A3-FAB46F6F80DD}"/>
    <cellStyle name="Eingabe 2 2 12" xfId="14636" xr:uid="{9D217E45-4A98-4468-B94C-A38CCD0E1F89}"/>
    <cellStyle name="Eingabe 2 2 12 2" xfId="34073" xr:uid="{21F4F595-467B-41D8-98B3-A40947A2A2CC}"/>
    <cellStyle name="Eingabe 2 2 13" xfId="34070" xr:uid="{50006466-4873-418D-98A7-891363624EB2}"/>
    <cellStyle name="Eingabe 2 2 14" xfId="39434" xr:uid="{ED115BDD-54A6-4398-9253-9025C587EE4D}"/>
    <cellStyle name="Eingabe 2 2 2" xfId="14637" xr:uid="{FBCDDEA4-9E25-4C28-AC70-5E60CB7AE26B}"/>
    <cellStyle name="Eingabe 2 2 2 10" xfId="14638" xr:uid="{74D864AE-A5FF-4EF5-B59C-E7BE2FCF8808}"/>
    <cellStyle name="Eingabe 2 2 2 10 2" xfId="34075" xr:uid="{EB4C08FC-10F5-410D-821F-3DA26CF0A230}"/>
    <cellStyle name="Eingabe 2 2 2 11" xfId="34074" xr:uid="{3DBB2106-CC8A-48EF-A92E-FDD30206B6D5}"/>
    <cellStyle name="Eingabe 2 2 2 2" xfId="14639" xr:uid="{AE1BE5F1-A235-40BE-AB7A-81B17DAA1809}"/>
    <cellStyle name="Eingabe 2 2 2 2 2" xfId="14640" xr:uid="{46D5C7ED-BA64-42C3-97DA-E0B0F0628A0C}"/>
    <cellStyle name="Eingabe 2 2 2 2 2 2" xfId="14641" xr:uid="{0CC62C66-FBF0-40BA-9838-41F866294B7D}"/>
    <cellStyle name="Eingabe 2 2 2 2 2 2 2" xfId="14642" xr:uid="{FF0F919C-9224-4F0B-86AB-97B112D10733}"/>
    <cellStyle name="Eingabe 2 2 2 2 2 2 2 2" xfId="34079" xr:uid="{9C613699-2B88-41A3-9E2F-961DCB6A57E2}"/>
    <cellStyle name="Eingabe 2 2 2 2 2 2 3" xfId="34078" xr:uid="{E66FA751-CD18-4C68-B5CE-1987E7FA58ED}"/>
    <cellStyle name="Eingabe 2 2 2 2 2 3" xfId="14643" xr:uid="{9C319688-C003-42E3-BAD9-1D581B2D297F}"/>
    <cellStyle name="Eingabe 2 2 2 2 2 3 2" xfId="34080" xr:uid="{1932DE98-C263-458A-8704-2B468DC79854}"/>
    <cellStyle name="Eingabe 2 2 2 2 2 4" xfId="14644" xr:uid="{6A8DA319-50DD-4399-8C9E-4E7454D82C89}"/>
    <cellStyle name="Eingabe 2 2 2 2 2 4 2" xfId="34081" xr:uid="{3582EC4B-B6F5-4324-8D07-FAECE75898D1}"/>
    <cellStyle name="Eingabe 2 2 2 2 2 5" xfId="14645" xr:uid="{CAE210BE-77CE-4C00-92F4-D7C172433CE0}"/>
    <cellStyle name="Eingabe 2 2 2 2 2 5 2" xfId="34082" xr:uid="{9FFEFDB4-D13F-4D6B-8194-38B1703D02D3}"/>
    <cellStyle name="Eingabe 2 2 2 2 2 6" xfId="14646" xr:uid="{D7DE01AA-650D-4724-866E-81466DF92E3C}"/>
    <cellStyle name="Eingabe 2 2 2 2 2 6 2" xfId="34083" xr:uid="{82F7A601-C0BB-443E-B7B9-EC791411C3B8}"/>
    <cellStyle name="Eingabe 2 2 2 2 2 7" xfId="14647" xr:uid="{43713C3A-EA2C-4158-BA0A-FA1750EE56EB}"/>
    <cellStyle name="Eingabe 2 2 2 2 2 7 2" xfId="34084" xr:uid="{E07C4269-8D0F-44CF-B7D6-7F7738231BE9}"/>
    <cellStyle name="Eingabe 2 2 2 2 2 8" xfId="14648" xr:uid="{B831C41D-ABEC-4CA1-8E2B-240C74712AEB}"/>
    <cellStyle name="Eingabe 2 2 2 2 2 8 2" xfId="34085" xr:uid="{BC8C2995-8B17-4C01-96BB-93251BFDE931}"/>
    <cellStyle name="Eingabe 2 2 2 2 2 9" xfId="34077" xr:uid="{7B46755D-3E16-48CE-B5E3-31762A762190}"/>
    <cellStyle name="Eingabe 2 2 2 2 3" xfId="14649" xr:uid="{EC667A10-C356-42A0-8ED1-D2B09E92A4BE}"/>
    <cellStyle name="Eingabe 2 2 2 2 3 2" xfId="14650" xr:uid="{2DAADDE6-57A8-4661-9EEF-688D82BF2DE4}"/>
    <cellStyle name="Eingabe 2 2 2 2 3 2 2" xfId="34087" xr:uid="{F2489666-D828-4853-A5E0-BF6090179308}"/>
    <cellStyle name="Eingabe 2 2 2 2 3 3" xfId="34086" xr:uid="{EBA902B5-A6F9-4636-8C6E-CE0901562C16}"/>
    <cellStyle name="Eingabe 2 2 2 2 4" xfId="14651" xr:uid="{E7F28401-A6E7-4F93-ACB4-5A231C2C34CA}"/>
    <cellStyle name="Eingabe 2 2 2 2 4 2" xfId="34088" xr:uid="{A2947782-A043-4468-A227-E609DDD872E9}"/>
    <cellStyle name="Eingabe 2 2 2 2 5" xfId="14652" xr:uid="{27805A80-E11B-4459-A2DC-4F9BB6B628C6}"/>
    <cellStyle name="Eingabe 2 2 2 2 5 2" xfId="34089" xr:uid="{EC6D3F4A-E6CE-4822-94D9-AE1DF7D614EB}"/>
    <cellStyle name="Eingabe 2 2 2 2 6" xfId="14653" xr:uid="{293B5601-1AF8-4D69-9BE6-94C8E9D4CBD6}"/>
    <cellStyle name="Eingabe 2 2 2 2 6 2" xfId="34090" xr:uid="{34DF198A-B8B1-42A1-A8CF-BE987A1B653A}"/>
    <cellStyle name="Eingabe 2 2 2 2 7" xfId="14654" xr:uid="{F29AD68F-BFF6-44FC-9282-99EE62959B35}"/>
    <cellStyle name="Eingabe 2 2 2 2 7 2" xfId="34091" xr:uid="{FAA0E5D3-9500-45E4-977F-9756E7B552AB}"/>
    <cellStyle name="Eingabe 2 2 2 2 8" xfId="14655" xr:uid="{C3F3BAD7-952C-42D6-9C9D-708169BAB71F}"/>
    <cellStyle name="Eingabe 2 2 2 2 8 2" xfId="34092" xr:uid="{5E1F1A12-050D-4169-9B01-5171D9577E62}"/>
    <cellStyle name="Eingabe 2 2 2 2 9" xfId="34076" xr:uid="{36D32B15-8E0B-40F4-8A5E-D7028F38DFF6}"/>
    <cellStyle name="Eingabe 2 2 2 3" xfId="14656" xr:uid="{1A158B16-30FF-4D57-8BE1-D75BE8CF0DAA}"/>
    <cellStyle name="Eingabe 2 2 2 3 2" xfId="34093" xr:uid="{5BF8E3C5-2071-428C-93F6-C4F7C2489D74}"/>
    <cellStyle name="Eingabe 2 2 2 4" xfId="14657" xr:uid="{E76E8FAC-3576-4751-B194-E522CBACC8D1}"/>
    <cellStyle name="Eingabe 2 2 2 4 2" xfId="34094" xr:uid="{A33124B3-6AF0-40AB-80C0-939BCCDE7DFD}"/>
    <cellStyle name="Eingabe 2 2 2 5" xfId="14658" xr:uid="{A2FF217B-31E9-474D-B8C9-0E6B05238A29}"/>
    <cellStyle name="Eingabe 2 2 2 5 2" xfId="14659" xr:uid="{D698BA77-E00A-420A-887A-80BDA2ABADFC}"/>
    <cellStyle name="Eingabe 2 2 2 5 2 2" xfId="34096" xr:uid="{1BFEF831-2F9A-4C07-8390-435374236369}"/>
    <cellStyle name="Eingabe 2 2 2 5 3" xfId="34095" xr:uid="{C83FA9D8-8586-46A9-B27E-B8D188F6494E}"/>
    <cellStyle name="Eingabe 2 2 2 6" xfId="14660" xr:uid="{DFBDB2E6-C712-403A-982A-1CB9DD243D8E}"/>
    <cellStyle name="Eingabe 2 2 2 6 2" xfId="34097" xr:uid="{B1850D65-E8BC-4FFE-8CA6-4451FB9DB991}"/>
    <cellStyle name="Eingabe 2 2 2 7" xfId="14661" xr:uid="{4DDF04A4-7636-4F2B-A57F-CC3BF84528FB}"/>
    <cellStyle name="Eingabe 2 2 2 7 2" xfId="34098" xr:uid="{B9DCEE43-B6D4-463A-99F2-A8EC6FF34529}"/>
    <cellStyle name="Eingabe 2 2 2 8" xfId="14662" xr:uid="{1D22D4BA-19AF-4C27-A08E-19F3665CED99}"/>
    <cellStyle name="Eingabe 2 2 2 8 2" xfId="34099" xr:uid="{47857024-8B2F-4E18-8BBF-D3998AAAE122}"/>
    <cellStyle name="Eingabe 2 2 2 9" xfId="14663" xr:uid="{1C0479F3-C8A9-4C30-B5E6-48A377AB12B2}"/>
    <cellStyle name="Eingabe 2 2 2 9 2" xfId="34100" xr:uid="{EF972C5B-BB39-4924-A29C-6935A8260A73}"/>
    <cellStyle name="Eingabe 2 2 3" xfId="14664" xr:uid="{D96176F4-1A12-461C-B4D7-FB215B70BF68}"/>
    <cellStyle name="Eingabe 2 2 3 2" xfId="34101" xr:uid="{62E6B56F-5C2B-4949-8675-E2D0FBF2500F}"/>
    <cellStyle name="Eingabe 2 2 4" xfId="14665" xr:uid="{72451142-5A61-486C-A886-ECB3973B4F78}"/>
    <cellStyle name="Eingabe 2 2 4 2" xfId="34102" xr:uid="{C80F2C54-D13F-42EB-95F1-1AAF5DBC54DC}"/>
    <cellStyle name="Eingabe 2 2 5" xfId="14666" xr:uid="{86534585-6119-4793-8887-217AF4240D2F}"/>
    <cellStyle name="Eingabe 2 2 5 2" xfId="14667" xr:uid="{375912DE-D056-4890-BB7F-A353449C1F34}"/>
    <cellStyle name="Eingabe 2 2 5 2 2" xfId="34104" xr:uid="{8649913C-5EAF-4DCD-83DE-5B06F440E924}"/>
    <cellStyle name="Eingabe 2 2 5 3" xfId="34103" xr:uid="{9572C096-19C0-41BF-B2F4-0BBDFFB839FD}"/>
    <cellStyle name="Eingabe 2 2 6" xfId="14668" xr:uid="{245FAA79-6A8C-4100-8119-E0820ED50B0A}"/>
    <cellStyle name="Eingabe 2 2 6 2" xfId="34105" xr:uid="{156F98E1-82F5-4F5A-9DE1-8F608E014B2A}"/>
    <cellStyle name="Eingabe 2 2 7" xfId="14669" xr:uid="{DAD9AB48-9344-4975-96DD-7A6DAD6FDEDF}"/>
    <cellStyle name="Eingabe 2 2 7 2" xfId="14670" xr:uid="{8D22941F-40DB-4EE7-A4FC-2C293083A8C3}"/>
    <cellStyle name="Eingabe 2 2 7 2 2" xfId="34107" xr:uid="{CF59461F-136D-4E0F-B577-F4138C8C4EEE}"/>
    <cellStyle name="Eingabe 2 2 7 3" xfId="34106" xr:uid="{32B10F7F-9A2F-4176-888E-A9FD78D0FB29}"/>
    <cellStyle name="Eingabe 2 2 8" xfId="14671" xr:uid="{3A5FDFD8-1423-4489-9DA7-17BE06836E12}"/>
    <cellStyle name="Eingabe 2 2 8 2" xfId="34108" xr:uid="{5B804866-50A0-4F9A-B964-723A7E71BBD8}"/>
    <cellStyle name="Eingabe 2 2 9" xfId="14672" xr:uid="{490B1FF7-03C3-4B94-A097-6ACE10D0695F}"/>
    <cellStyle name="Eingabe 2 2 9 2" xfId="34109" xr:uid="{2170258B-B3C2-4C4D-9275-61D59AC70DA5}"/>
    <cellStyle name="Eingabe 2 3" xfId="14673" xr:uid="{84A3A6AC-D52E-4155-9A40-B86FF7B9F3E4}"/>
    <cellStyle name="Eingabe 2 3 2" xfId="34110" xr:uid="{D515D1F8-B3AA-4BFF-AE71-F02A29DCE0B3}"/>
    <cellStyle name="Eingabe 2 4" xfId="14674" xr:uid="{DB7C9867-CB5A-4643-BB05-EEF329186BF7}"/>
    <cellStyle name="Eingabe 2 4 2" xfId="14675" xr:uid="{B7225AF6-E658-4861-91EA-1E3576B694B9}"/>
    <cellStyle name="Eingabe 2 4 2 2" xfId="14676" xr:uid="{122E430C-7AD5-49F4-BF9B-83D186706396}"/>
    <cellStyle name="Eingabe 2 4 2 2 2" xfId="34113" xr:uid="{C84A4B86-AE31-4924-AEF8-CC903BB511F1}"/>
    <cellStyle name="Eingabe 2 4 2 3" xfId="34112" xr:uid="{150AA089-65BD-4E40-824A-B7586BEE44D3}"/>
    <cellStyle name="Eingabe 2 4 3" xfId="14677" xr:uid="{12D5F17E-684D-4C5C-98E5-D8C716934EF9}"/>
    <cellStyle name="Eingabe 2 4 3 2" xfId="34114" xr:uid="{AAD10ACE-C254-4CA3-BB75-C0D5D7A06C79}"/>
    <cellStyle name="Eingabe 2 4 4" xfId="14678" xr:uid="{4DB83DBA-E622-4583-9100-0012CCF51BE7}"/>
    <cellStyle name="Eingabe 2 4 4 2" xfId="34115" xr:uid="{07F000B7-DFC9-4526-BE2F-211278D8C34B}"/>
    <cellStyle name="Eingabe 2 4 5" xfId="34111" xr:uid="{85EE5A4E-2C94-4AF7-B3EA-52EF8832ADCE}"/>
    <cellStyle name="Eingabe 2 5" xfId="14679" xr:uid="{E9DDCBA2-43D7-4D03-883D-C17DC8942D46}"/>
    <cellStyle name="Eingabe 2 5 2" xfId="34116" xr:uid="{C392FD6E-5FF6-47A4-B9AB-F20EE866E4FD}"/>
    <cellStyle name="Eingabe 2 6" xfId="14680" xr:uid="{2E8E1831-4E55-4202-8601-7A0032F3A005}"/>
    <cellStyle name="Eingabe 2 6 2" xfId="14681" xr:uid="{A0826B5D-65CC-444C-9EF4-A8E3559190A8}"/>
    <cellStyle name="Eingabe 2 6 2 2" xfId="34118" xr:uid="{B4B33796-DD2F-4AC1-83EC-641EEF73B9CD}"/>
    <cellStyle name="Eingabe 2 6 3" xfId="34117" xr:uid="{A9F4A517-8CDD-4177-8E9B-7866DECBD13D}"/>
    <cellStyle name="Eingabe 2 7" xfId="14682" xr:uid="{7FAD8B48-BFD1-46AF-9FE8-684219A8BF16}"/>
    <cellStyle name="Eingabe 2 7 2" xfId="34119" xr:uid="{34819E78-A0EA-49BF-9B8E-1A88FA6A697E}"/>
    <cellStyle name="Eingabe 2 8" xfId="14683" xr:uid="{787BCAA1-5C54-4E8C-B83B-8AB3DB832F6C}"/>
    <cellStyle name="Eingabe 2 8 2" xfId="14684" xr:uid="{578C96A5-642A-42B8-96C4-8B63F0F9664B}"/>
    <cellStyle name="Eingabe 2 8 2 2" xfId="34121" xr:uid="{CEC19F6B-B6B5-438E-BD85-1C34D79EF0A2}"/>
    <cellStyle name="Eingabe 2 8 3" xfId="34120" xr:uid="{A8B0D2D8-C3BE-4696-BE9B-F862394E731D}"/>
    <cellStyle name="Eingabe 2 9" xfId="14685" xr:uid="{503426D8-6839-4F99-A4BC-786F5AE8E1E7}"/>
    <cellStyle name="Eingabe 2 9 2" xfId="34122" xr:uid="{A1BFEA85-3823-41BB-AF69-60C7B2DE3CCD}"/>
    <cellStyle name="Eingabe 20" xfId="14686" xr:uid="{6B532BDE-AD4C-48E8-9268-F41E19547BDC}"/>
    <cellStyle name="Eingabe 20 2" xfId="14687" xr:uid="{56135CF8-9877-46BA-ABFD-1552C5EF059E}"/>
    <cellStyle name="Eingabe 20 2 2" xfId="34124" xr:uid="{7A815E1E-AEA7-4AD1-92EE-F3275050F6F4}"/>
    <cellStyle name="Eingabe 20 3" xfId="34123" xr:uid="{4AA2BB97-A15C-4F20-837A-7DA47E5FD1E3}"/>
    <cellStyle name="Eingabe 21" xfId="14688" xr:uid="{F9401544-8FD7-4279-B714-1433CD981D09}"/>
    <cellStyle name="Eingabe 21 2" xfId="14689" xr:uid="{D5C13931-B1FF-4E11-8215-AF173F92E1AF}"/>
    <cellStyle name="Eingabe 21 2 2" xfId="34126" xr:uid="{3A98BECD-D426-4646-BF6F-FD60E414E130}"/>
    <cellStyle name="Eingabe 21 3" xfId="34125" xr:uid="{C26AB8EF-5A7A-467A-AC51-9F9CC3844D58}"/>
    <cellStyle name="Eingabe 22" xfId="14690" xr:uid="{0C3D81BB-07A7-40C5-8FCA-EC56C9D320B2}"/>
    <cellStyle name="Eingabe 22 2" xfId="14691" xr:uid="{651DAD72-51D4-4310-B83F-F02E6EA4A6D6}"/>
    <cellStyle name="Eingabe 22 2 2" xfId="34128" xr:uid="{23CB7BCA-9EEB-4B5E-B56E-7EA257A8E10A}"/>
    <cellStyle name="Eingabe 22 3" xfId="34127" xr:uid="{E8C41794-914D-4293-834F-E065A56C08F9}"/>
    <cellStyle name="Eingabe 23" xfId="14692" xr:uid="{D841AFB9-EB2B-4C1D-BB79-9599E8A3BE8B}"/>
    <cellStyle name="Eingabe 23 2" xfId="14693" xr:uid="{5815ACF1-0B9D-4F98-888E-E5162A9FE033}"/>
    <cellStyle name="Eingabe 23 2 2" xfId="34130" xr:uid="{4628C53A-FADD-436C-961D-A0C99F2274E2}"/>
    <cellStyle name="Eingabe 23 3" xfId="34129" xr:uid="{E879CCEC-1495-4CA7-9303-CC8E1CEDECF8}"/>
    <cellStyle name="Eingabe 24" xfId="14694" xr:uid="{70A96DB1-D900-490A-8853-989A8FA8E8CB}"/>
    <cellStyle name="Eingabe 24 2" xfId="14695" xr:uid="{2DD7D977-4550-4A4B-AE9E-7FD6AF030A6E}"/>
    <cellStyle name="Eingabe 24 2 2" xfId="34132" xr:uid="{27370B7D-EA9A-4B76-AECA-94DAE367F404}"/>
    <cellStyle name="Eingabe 24 3" xfId="34131" xr:uid="{3E91DB80-64F9-46EF-A9A5-0EEE8722DF45}"/>
    <cellStyle name="Eingabe 25" xfId="14696" xr:uid="{ED9B4DA7-5FBF-46CA-9D44-7C4733B56CC9}"/>
    <cellStyle name="Eingabe 25 2" xfId="14697" xr:uid="{0FDF9C28-B379-4018-908C-3431646F68DD}"/>
    <cellStyle name="Eingabe 25 2 2" xfId="34134" xr:uid="{BFDC1F9D-ED1E-4CCF-AFED-8513C1924742}"/>
    <cellStyle name="Eingabe 25 3" xfId="34133" xr:uid="{32FDA6C6-2A3C-4FB0-81EA-51D0FFA54B56}"/>
    <cellStyle name="Eingabe 26" xfId="14698" xr:uid="{BC5C9B2F-0357-4E00-8534-D64D7AF2E76D}"/>
    <cellStyle name="Eingabe 26 2" xfId="14699" xr:uid="{3326B6BD-B845-4537-AAC7-B98A6CCAF4F0}"/>
    <cellStyle name="Eingabe 26 2 2" xfId="34136" xr:uid="{09E91EAF-4588-4401-9D22-00786F433670}"/>
    <cellStyle name="Eingabe 26 3" xfId="34135" xr:uid="{140197FF-BD11-476F-981A-10BDBB286059}"/>
    <cellStyle name="Eingabe 27" xfId="14700" xr:uid="{A12A2367-0B01-4E76-8E3C-677DBFB72CF1}"/>
    <cellStyle name="Eingabe 27 2" xfId="14701" xr:uid="{4E0CF5CF-B914-404A-B5FD-41820396EA88}"/>
    <cellStyle name="Eingabe 27 2 2" xfId="34138" xr:uid="{AEF06909-1D56-4DF9-9551-E78D5B0A8AC7}"/>
    <cellStyle name="Eingabe 27 3" xfId="34137" xr:uid="{4F769B53-9A97-40BE-A245-C65CAEE0D065}"/>
    <cellStyle name="Eingabe 28" xfId="14702" xr:uid="{BC8A8074-607B-4E72-9FE8-C1FC39998EA4}"/>
    <cellStyle name="Eingabe 28 2" xfId="14703" xr:uid="{F133998E-C7FF-48FC-877B-0BA7CE7724C9}"/>
    <cellStyle name="Eingabe 28 2 2" xfId="34140" xr:uid="{ED46D787-2628-4C60-B923-2EF7AF541EE3}"/>
    <cellStyle name="Eingabe 28 3" xfId="34139" xr:uid="{5215902C-8F0B-4694-87F7-DF44E453CEFF}"/>
    <cellStyle name="Eingabe 29" xfId="14704" xr:uid="{7DC87511-F835-44F3-A5E5-F55E7AB568D0}"/>
    <cellStyle name="Eingabe 29 2" xfId="14705" xr:uid="{63ACDF95-8FBB-4F45-BA25-CB11599CB1A3}"/>
    <cellStyle name="Eingabe 29 2 2" xfId="34142" xr:uid="{807982A5-8B54-477B-9595-81E1A81DFE5D}"/>
    <cellStyle name="Eingabe 29 3" xfId="34141" xr:uid="{D0E23EFD-CAB7-491D-941F-1E32D2991845}"/>
    <cellStyle name="Eingabe 3" xfId="14706" xr:uid="{2D009BFC-E14C-4734-B9DF-A526068AB6D7}"/>
    <cellStyle name="Eingabe 3 10" xfId="39435" xr:uid="{25B98270-787A-4550-84F5-FDE7142CF6E4}"/>
    <cellStyle name="Eingabe 3 2" xfId="14707" xr:uid="{F43D6ECA-A73A-4AFA-9856-113DB735D1E8}"/>
    <cellStyle name="Eingabe 3 2 2" xfId="14708" xr:uid="{D04F1C88-9206-4366-9094-CB95327810B8}"/>
    <cellStyle name="Eingabe 3 2 2 2" xfId="14709" xr:uid="{55B81C88-E5F0-4FCF-BA83-8C1E49B45417}"/>
    <cellStyle name="Eingabe 3 2 2 2 2" xfId="34146" xr:uid="{A1B74396-391E-49BE-84E2-1DC6EDBC2AE4}"/>
    <cellStyle name="Eingabe 3 2 2 3" xfId="34145" xr:uid="{06411432-6B35-42C3-A8B5-8C5BF0220CCD}"/>
    <cellStyle name="Eingabe 3 2 3" xfId="14710" xr:uid="{3B3C8C09-66BB-43D5-BA18-B9D968298048}"/>
    <cellStyle name="Eingabe 3 2 3 2" xfId="34147" xr:uid="{6BED3B3A-F813-4AF9-9FDF-77F0005A544C}"/>
    <cellStyle name="Eingabe 3 2 4" xfId="14711" xr:uid="{7463F71A-EF87-467C-963F-99E07EE3E1D0}"/>
    <cellStyle name="Eingabe 3 2 4 2" xfId="34148" xr:uid="{BE5B3836-5DE0-41A7-B2BF-2ECE6C56E5E8}"/>
    <cellStyle name="Eingabe 3 2 5" xfId="34144" xr:uid="{17912EB8-4E64-45CC-B21A-517D0B054D62}"/>
    <cellStyle name="Eingabe 3 2 6" xfId="40002" xr:uid="{F6D70B26-0EDB-4A92-A0BF-1D85064B3A6C}"/>
    <cellStyle name="Eingabe 3 3" xfId="14712" xr:uid="{BD7DE922-D546-407C-8DA0-C6DF80603056}"/>
    <cellStyle name="Eingabe 3 3 2" xfId="34149" xr:uid="{7AD925B3-F1AF-4B5D-B2C3-26E73924B6A4}"/>
    <cellStyle name="Eingabe 3 4" xfId="14713" xr:uid="{635F0BEE-EA3A-49CB-A8E2-A51ABF77546B}"/>
    <cellStyle name="Eingabe 3 4 2" xfId="34150" xr:uid="{B669669F-6BAA-4E48-A58C-6251EEFFB4F4}"/>
    <cellStyle name="Eingabe 3 5" xfId="14714" xr:uid="{F62FA4F8-537A-44C6-A6B6-EB472A9DCACD}"/>
    <cellStyle name="Eingabe 3 5 2" xfId="14715" xr:uid="{19AD49B6-6394-44AB-B026-A97F68675DC7}"/>
    <cellStyle name="Eingabe 3 5 2 2" xfId="34152" xr:uid="{025C1059-D31C-4C3D-9D67-DCD527F5C157}"/>
    <cellStyle name="Eingabe 3 5 3" xfId="34151" xr:uid="{526ECFA2-7C20-4CB6-8ACB-F6AB63EF33C5}"/>
    <cellStyle name="Eingabe 3 6" xfId="14716" xr:uid="{2C709D68-B921-4556-BAA5-F110A6520152}"/>
    <cellStyle name="Eingabe 3 6 2" xfId="34153" xr:uid="{1517989A-F6E5-4BB0-BAF8-BA8108C8141C}"/>
    <cellStyle name="Eingabe 3 7" xfId="14717" xr:uid="{791427F5-BF8A-42FB-83D6-F61E01482952}"/>
    <cellStyle name="Eingabe 3 7 2" xfId="34154" xr:uid="{075950F9-B2DD-471A-8C18-442483A167FB}"/>
    <cellStyle name="Eingabe 3 8" xfId="14718" xr:uid="{F9DCB5F0-93CB-47FA-8FD4-0D03879B0DD7}"/>
    <cellStyle name="Eingabe 3 8 2" xfId="34155" xr:uid="{9040C0F0-F02D-4AA1-8A54-764C7C023201}"/>
    <cellStyle name="Eingabe 3 9" xfId="34143" xr:uid="{FDCE645C-2788-428E-8EAE-C966C7D871D1}"/>
    <cellStyle name="Eingabe 30" xfId="14719" xr:uid="{77897352-EBAB-4288-8B30-015E2175A1F6}"/>
    <cellStyle name="Eingabe 30 2" xfId="14720" xr:uid="{B7A6AB27-F264-4D65-B2AF-525C469C2968}"/>
    <cellStyle name="Eingabe 30 2 2" xfId="34157" xr:uid="{057576B4-3A98-43A0-88F9-7E0330D0C596}"/>
    <cellStyle name="Eingabe 30 3" xfId="34156" xr:uid="{E2FECA7F-3D09-4F05-9938-A925E240924B}"/>
    <cellStyle name="Eingabe 31" xfId="14721" xr:uid="{56376850-411D-4881-B19C-CB9C49ABAC6F}"/>
    <cellStyle name="Eingabe 31 2" xfId="14722" xr:uid="{6A9B5520-9159-473A-A1EF-5DCD931F4E1C}"/>
    <cellStyle name="Eingabe 31 2 2" xfId="34159" xr:uid="{734BC134-2193-4732-A278-9FFED11EBF54}"/>
    <cellStyle name="Eingabe 31 3" xfId="34158" xr:uid="{D71C1184-F5EC-44A0-891D-A1596402A1FC}"/>
    <cellStyle name="Eingabe 32" xfId="14723" xr:uid="{FB01AE32-D37B-4FEA-9D90-8B184A7201E2}"/>
    <cellStyle name="Eingabe 32 2" xfId="14724" xr:uid="{7306D4DB-50FA-460C-8380-BDF1B62C8069}"/>
    <cellStyle name="Eingabe 32 2 2" xfId="34161" xr:uid="{3501FFD8-C753-4BE0-9DD4-1403DB82288F}"/>
    <cellStyle name="Eingabe 32 3" xfId="34160" xr:uid="{94B51DBE-E365-45E8-BBEF-D309BD5B4F43}"/>
    <cellStyle name="Eingabe 33" xfId="14725" xr:uid="{B9AC5BE3-2599-40AD-AC56-6B386FB3BA82}"/>
    <cellStyle name="Eingabe 33 2" xfId="14726" xr:uid="{0A199E5F-3057-4AF1-81E4-B30D1A8BA2C9}"/>
    <cellStyle name="Eingabe 33 2 2" xfId="34163" xr:uid="{AD724BA2-AC9F-481B-92D9-285BE55CE7F5}"/>
    <cellStyle name="Eingabe 33 3" xfId="34162" xr:uid="{8E689CDB-DFFF-498B-81D2-7B2B72EBCA63}"/>
    <cellStyle name="Eingabe 34" xfId="14727" xr:uid="{646909C6-D604-425A-8FB0-41D0147B21F0}"/>
    <cellStyle name="Eingabe 34 2" xfId="14728" xr:uid="{9620BC5C-4B65-4C11-9A9F-8E208F6DBEE9}"/>
    <cellStyle name="Eingabe 34 2 2" xfId="34165" xr:uid="{B704B98B-13A6-43B6-9A6D-487C4D011B19}"/>
    <cellStyle name="Eingabe 34 3" xfId="34164" xr:uid="{1EFECF13-6FCB-461C-AEAC-44B2B2D17690}"/>
    <cellStyle name="Eingabe 35" xfId="14729" xr:uid="{545F1540-66EB-4233-BA3C-D335E185711E}"/>
    <cellStyle name="Eingabe 35 2" xfId="14730" xr:uid="{3A9BDF02-DC8A-4513-9C49-170CECFDA1AB}"/>
    <cellStyle name="Eingabe 35 2 2" xfId="34167" xr:uid="{33383864-5237-4972-8B51-EF8B4F7FA3DD}"/>
    <cellStyle name="Eingabe 35 3" xfId="34166" xr:uid="{B2C4ACE4-5522-4996-B562-8A34730272CB}"/>
    <cellStyle name="Eingabe 36" xfId="14731" xr:uid="{074ECEE2-CC08-4C87-9156-1B68A3317771}"/>
    <cellStyle name="Eingabe 36 2" xfId="14732" xr:uid="{4E0AB24F-9962-4744-A9B5-E26330FC5533}"/>
    <cellStyle name="Eingabe 36 2 2" xfId="34169" xr:uid="{1F914385-E380-4D53-AC22-9A0E327BBD4F}"/>
    <cellStyle name="Eingabe 36 3" xfId="34168" xr:uid="{20F18AF2-5B17-46FA-9F56-E317A0A9E51E}"/>
    <cellStyle name="Eingabe 37" xfId="34043" xr:uid="{5E773A09-E92C-4904-AF28-CDDF3C509E51}"/>
    <cellStyle name="Eingabe 38" xfId="40410" xr:uid="{523DFA29-3F99-42D2-9734-EE4369A357E6}"/>
    <cellStyle name="Eingabe 39" xfId="14606" xr:uid="{6F60C9F7-D227-4E21-B9BF-08B023B05F0D}"/>
    <cellStyle name="Eingabe 4" xfId="14733" xr:uid="{D8ADDB45-9C51-42FC-B36E-56BE3D33F441}"/>
    <cellStyle name="Eingabe 4 2" xfId="14734" xr:uid="{7EDECC5C-51A0-4953-83F7-441BB77A99A8}"/>
    <cellStyle name="Eingabe 4 2 2" xfId="14735" xr:uid="{05D0989F-9246-46A5-BFF4-6EB43AC8698D}"/>
    <cellStyle name="Eingabe 4 2 2 2" xfId="34172" xr:uid="{893F8DA2-262A-4726-9F05-F53D75F4533B}"/>
    <cellStyle name="Eingabe 4 2 3" xfId="34171" xr:uid="{06F78835-8433-47D9-9ACF-1D74A8DD9FE4}"/>
    <cellStyle name="Eingabe 4 2 4" xfId="40003" xr:uid="{FD671217-1F92-4E53-88EA-952F7C976518}"/>
    <cellStyle name="Eingabe 4 3" xfId="14736" xr:uid="{10B6C5D1-66F1-407B-82C4-CDD08D545ABA}"/>
    <cellStyle name="Eingabe 4 3 2" xfId="34173" xr:uid="{D0D8D01D-3A89-4F64-91AC-5910A7895F34}"/>
    <cellStyle name="Eingabe 4 4" xfId="14737" xr:uid="{F65B3241-FD3E-4F9C-B901-8B1D473EC1BD}"/>
    <cellStyle name="Eingabe 4 4 2" xfId="34174" xr:uid="{83745384-E69F-474A-8B9A-F4BE0BF21113}"/>
    <cellStyle name="Eingabe 4 5" xfId="14738" xr:uid="{04493F69-D5F2-48C6-AD7D-B1FBE415F0B0}"/>
    <cellStyle name="Eingabe 4 5 2" xfId="34175" xr:uid="{C784A4DC-26CA-4ECE-8BE7-0B2798D9CF71}"/>
    <cellStyle name="Eingabe 4 6" xfId="14739" xr:uid="{440B27B0-DD6B-4777-B9BA-678F6154CC9B}"/>
    <cellStyle name="Eingabe 4 6 2" xfId="34176" xr:uid="{D141DB1A-968A-4419-AA5B-E1E2F8A1BBB4}"/>
    <cellStyle name="Eingabe 4 7" xfId="34170" xr:uid="{96EDDCD8-A157-4E62-BEB0-F7581C1B7B9F}"/>
    <cellStyle name="Eingabe 4 8" xfId="39436" xr:uid="{689DDC12-0723-4690-B6F4-CE0850C2B02D}"/>
    <cellStyle name="Eingabe 40" xfId="48" xr:uid="{54399DC0-7E83-418A-92B4-E40FAF69D8D7}"/>
    <cellStyle name="Eingabe 5" xfId="14740" xr:uid="{8DCCAEEB-BEBE-43F4-9FCE-C81CCC2809F8}"/>
    <cellStyle name="Eingabe 5 2" xfId="14741" xr:uid="{D32B4358-82D5-4587-80CE-29DEF317E07B}"/>
    <cellStyle name="Eingabe 5 2 2" xfId="34178" xr:uid="{18340AFA-37C4-4796-880F-CE3A4035BEEF}"/>
    <cellStyle name="Eingabe 5 3" xfId="14742" xr:uid="{69785CB5-B9A7-48BE-8DE9-D2085BED2E88}"/>
    <cellStyle name="Eingabe 5 3 2" xfId="34179" xr:uid="{5E139E6E-141A-4567-A1FD-C458573AF1D4}"/>
    <cellStyle name="Eingabe 5 4" xfId="14743" xr:uid="{EF01E734-4A76-416F-9E2D-75BBC45BFC0A}"/>
    <cellStyle name="Eingabe 5 4 2" xfId="34180" xr:uid="{67A1576A-58C8-477C-AA7B-5C9EDABC96E4}"/>
    <cellStyle name="Eingabe 5 5" xfId="34177" xr:uid="{8F76C1D0-E56D-4DB9-8ED9-992C380D9E7E}"/>
    <cellStyle name="Eingabe 5 6" xfId="39432" xr:uid="{0EC1FADE-5FC1-41B9-9F8B-DA33005764AE}"/>
    <cellStyle name="Eingabe 6" xfId="14744" xr:uid="{B554F06D-EEDF-4780-BE12-E9972C134BA1}"/>
    <cellStyle name="Eingabe 6 2" xfId="14745" xr:uid="{E8665786-8C14-4BF5-9AE8-F9CB8363FA5B}"/>
    <cellStyle name="Eingabe 6 2 2" xfId="34182" xr:uid="{C961C0DA-2D4B-4888-B70B-A522626D229F}"/>
    <cellStyle name="Eingabe 6 3" xfId="14746" xr:uid="{DBB807FE-98B0-4A72-AE9A-83F3E3C51042}"/>
    <cellStyle name="Eingabe 6 3 2" xfId="34183" xr:uid="{BE09B526-B46E-41EB-ABC5-B0E8DC64B995}"/>
    <cellStyle name="Eingabe 6 4" xfId="14747" xr:uid="{77D1DB80-1EB4-40D9-A3A1-D75220328AE0}"/>
    <cellStyle name="Eingabe 6 4 2" xfId="34184" xr:uid="{D359CCD2-BF9A-4713-9191-8B692BA60E0B}"/>
    <cellStyle name="Eingabe 6 5" xfId="34181" xr:uid="{983C7559-1BA6-457A-B5FC-BF6EFD674E21}"/>
    <cellStyle name="Eingabe 7" xfId="14748" xr:uid="{DF37A74D-E84B-4EBD-9D63-31E45D6D8588}"/>
    <cellStyle name="Eingabe 7 2" xfId="14749" xr:uid="{296A9187-138A-4101-B569-D5ECC7137DF4}"/>
    <cellStyle name="Eingabe 7 2 2" xfId="34186" xr:uid="{F67948C0-1010-4720-85C5-A10ED7C6A4FB}"/>
    <cellStyle name="Eingabe 7 3" xfId="34185" xr:uid="{FC150FE1-9979-4301-BB5C-79193F73E2A8}"/>
    <cellStyle name="Eingabe 8" xfId="14750" xr:uid="{A193C581-697F-4D41-9150-1BD2A4E986EF}"/>
    <cellStyle name="Eingabe 8 2" xfId="14751" xr:uid="{1077C2EC-90F2-43F0-A9B4-632909985659}"/>
    <cellStyle name="Eingabe 8 2 2" xfId="34188" xr:uid="{AADD5931-3368-4887-AC4E-359517FA31F0}"/>
    <cellStyle name="Eingabe 8 3" xfId="34187" xr:uid="{20146A65-F69E-4E5A-8099-CD101D8930BD}"/>
    <cellStyle name="Eingabe 9" xfId="14752" xr:uid="{1E173E13-E696-48C4-A7CA-90EA99B923AA}"/>
    <cellStyle name="Eingabe 9 2" xfId="14753" xr:uid="{27538FCD-AADF-4A00-A0BE-AC21BB5EC26F}"/>
    <cellStyle name="Eingabe 9 2 2" xfId="34190" xr:uid="{4A5909A1-7FFC-407A-B81D-061F7E955C9F}"/>
    <cellStyle name="Eingabe 9 3" xfId="34189" xr:uid="{91A90DEA-E1F5-4CF5-BD85-0656BF027190}"/>
    <cellStyle name="Ergebnis 10" xfId="14755" xr:uid="{D0E65D11-9746-4BEE-B43E-FD4661CD3C13}"/>
    <cellStyle name="Ergebnis 10 2" xfId="14756" xr:uid="{4627FB9D-ABBB-4C3D-A06A-A58475B81130}"/>
    <cellStyle name="Ergebnis 10 2 2" xfId="34193" xr:uid="{58C19BD9-81C8-4BBE-BCCB-197289A41285}"/>
    <cellStyle name="Ergebnis 10 3" xfId="34192" xr:uid="{1BFF410F-DFEF-4D79-9276-2DC9D0B3C5DD}"/>
    <cellStyle name="Ergebnis 11" xfId="14757" xr:uid="{52921AA6-8D36-4EB9-90D5-A8E3F90E5CE8}"/>
    <cellStyle name="Ergebnis 11 2" xfId="14758" xr:uid="{2ECA5FD0-12A7-47DB-A027-7A611280B2FB}"/>
    <cellStyle name="Ergebnis 11 2 2" xfId="34195" xr:uid="{B162F83F-8D65-4212-86E9-79798C321849}"/>
    <cellStyle name="Ergebnis 11 3" xfId="34194" xr:uid="{24C56B1F-D161-4238-B98C-4692ECD13CA5}"/>
    <cellStyle name="Ergebnis 12" xfId="14759" xr:uid="{5A651014-3FA7-4A98-BB07-6E2814FD25D1}"/>
    <cellStyle name="Ergebnis 12 2" xfId="14760" xr:uid="{25FCA4A0-1B8C-4142-B5B8-258C97B482F4}"/>
    <cellStyle name="Ergebnis 12 2 2" xfId="34197" xr:uid="{7EA81AB9-243C-43C3-B919-173DAF9C4B8E}"/>
    <cellStyle name="Ergebnis 12 3" xfId="34196" xr:uid="{B04FEBC5-1A39-409F-B50B-1BD0FCB41FB2}"/>
    <cellStyle name="Ergebnis 13" xfId="14761" xr:uid="{93AD5F8F-ABF1-4D69-BA08-B6FA46588C57}"/>
    <cellStyle name="Ergebnis 13 2" xfId="14762" xr:uid="{AF35ECDB-7E5D-414D-A059-FE743DD38111}"/>
    <cellStyle name="Ergebnis 13 2 2" xfId="34199" xr:uid="{5E2179A9-F63B-4BC3-998F-189E512A11C6}"/>
    <cellStyle name="Ergebnis 13 3" xfId="34198" xr:uid="{EFAE1C5A-7279-46B8-B16B-F81B507F5568}"/>
    <cellStyle name="Ergebnis 14" xfId="14763" xr:uid="{B0C35FA5-9E7D-46B3-A08B-95D754B10B5F}"/>
    <cellStyle name="Ergebnis 14 2" xfId="14764" xr:uid="{8364A7F4-86F6-4D3C-8C6D-274C64670DD1}"/>
    <cellStyle name="Ergebnis 14 2 2" xfId="34201" xr:uid="{4A5A1B67-EB2C-44E6-944C-90FC2A09B9AF}"/>
    <cellStyle name="Ergebnis 14 3" xfId="34200" xr:uid="{F0FDA63E-8003-4258-9868-9806CAC0910A}"/>
    <cellStyle name="Ergebnis 15" xfId="14765" xr:uid="{2791EC78-4CA1-4626-AA7B-AEA363658A7E}"/>
    <cellStyle name="Ergebnis 15 2" xfId="14766" xr:uid="{8758A236-82E2-456E-887B-864F818C7DA1}"/>
    <cellStyle name="Ergebnis 15 2 2" xfId="34203" xr:uid="{162F0479-86B3-459F-8D8D-8E2942CA19C7}"/>
    <cellStyle name="Ergebnis 15 3" xfId="34202" xr:uid="{7690BDC3-94BB-4B85-9485-EEE168D58909}"/>
    <cellStyle name="Ergebnis 16" xfId="14767" xr:uid="{FA49DDA1-C008-4B67-9CF8-D04548CB420F}"/>
    <cellStyle name="Ergebnis 16 2" xfId="14768" xr:uid="{DFA5415E-E175-4F6C-AD1B-39028023D667}"/>
    <cellStyle name="Ergebnis 16 2 2" xfId="34205" xr:uid="{1576C6C9-314D-493B-BA29-EA754098330E}"/>
    <cellStyle name="Ergebnis 16 3" xfId="34204" xr:uid="{FB12025A-618B-4483-B6E7-907F87730A40}"/>
    <cellStyle name="Ergebnis 17" xfId="14769" xr:uid="{44DF5746-D11A-44AD-8F44-2E399684B6EF}"/>
    <cellStyle name="Ergebnis 17 2" xfId="14770" xr:uid="{0118179B-05F0-402B-A4F0-5E5BA4B7F63B}"/>
    <cellStyle name="Ergebnis 17 2 2" xfId="34207" xr:uid="{D4E9D594-193C-47C0-89A0-5B1D295DB577}"/>
    <cellStyle name="Ergebnis 17 3" xfId="34206" xr:uid="{805CC2AB-4AFD-4A34-9C24-6DD2FE76C2DE}"/>
    <cellStyle name="Ergebnis 18" xfId="14771" xr:uid="{203615BE-749C-47BA-8FFD-91A590D36158}"/>
    <cellStyle name="Ergebnis 18 2" xfId="14772" xr:uid="{54946DF9-E30C-4146-B586-23DA5B1B41BE}"/>
    <cellStyle name="Ergebnis 18 2 2" xfId="34209" xr:uid="{D84134EE-43EE-4421-B5DF-334453F13E2C}"/>
    <cellStyle name="Ergebnis 18 3" xfId="34208" xr:uid="{A90C80C1-9A4C-4C9A-B45C-EC940C34AEF9}"/>
    <cellStyle name="Ergebnis 19" xfId="14773" xr:uid="{36A007B8-DD69-4F0B-9A9C-8EE634200403}"/>
    <cellStyle name="Ergebnis 19 2" xfId="14774" xr:uid="{9E9EA088-862F-4F95-8EA3-EEB721F5B471}"/>
    <cellStyle name="Ergebnis 19 2 2" xfId="34211" xr:uid="{801E4417-614D-4D17-8E5E-8ED6FC1C1089}"/>
    <cellStyle name="Ergebnis 19 3" xfId="34210" xr:uid="{B8B97D8C-43B1-4F6E-95DD-30DBDF9D2F2A}"/>
    <cellStyle name="Ergebnis 2" xfId="14775" xr:uid="{8253038E-C79E-4207-9505-65E21260512E}"/>
    <cellStyle name="Ergebnis 2 10" xfId="14776" xr:uid="{730815B2-AD5D-43E4-BC94-1E18221FBC28}"/>
    <cellStyle name="Ergebnis 2 10 2" xfId="34213" xr:uid="{59D70967-6ADF-45C1-A75F-508EC34A2607}"/>
    <cellStyle name="Ergebnis 2 11" xfId="14777" xr:uid="{C2A18DE9-8C5B-4AFE-82EB-1FBC5C3A245D}"/>
    <cellStyle name="Ergebnis 2 11 2" xfId="34214" xr:uid="{C8C457A4-C75C-4D97-A48B-2CD027AF159C}"/>
    <cellStyle name="Ergebnis 2 12" xfId="14778" xr:uid="{73EC1747-92B5-4815-8CAD-E2CDF377A89D}"/>
    <cellStyle name="Ergebnis 2 12 2" xfId="34215" xr:uid="{A7C923F6-0800-4196-A4D9-AB8BC99E75C0}"/>
    <cellStyle name="Ergebnis 2 13" xfId="14779" xr:uid="{E840C2F5-F1F2-4861-81E9-C58FD4A4D74A}"/>
    <cellStyle name="Ergebnis 2 13 2" xfId="34216" xr:uid="{8B6E0594-94CA-4BB4-9E8F-84F228804FB4}"/>
    <cellStyle name="Ergebnis 2 14" xfId="14780" xr:uid="{3DBC56DC-D4F7-4F7F-ABB0-3EFB113992C6}"/>
    <cellStyle name="Ergebnis 2 14 2" xfId="34217" xr:uid="{7B5BE2A5-E503-42D3-8AA1-7B37AE27FD59}"/>
    <cellStyle name="Ergebnis 2 15" xfId="34212" xr:uid="{9F23F470-116E-40EA-87D3-24227E0236AA}"/>
    <cellStyle name="Ergebnis 2 16" xfId="39438" xr:uid="{8E5A9037-B5BD-4BA5-9CA6-E7FB21258395}"/>
    <cellStyle name="Ergebnis 2 2" xfId="14781" xr:uid="{4037987D-2EB1-489E-B547-E1F810CAA191}"/>
    <cellStyle name="Ergebnis 2 2 10" xfId="14782" xr:uid="{13B98B1A-7E36-488B-9123-0D183D97B7C9}"/>
    <cellStyle name="Ergebnis 2 2 10 2" xfId="34219" xr:uid="{4DAFF7E2-A564-4639-8D13-A5FF620AED36}"/>
    <cellStyle name="Ergebnis 2 2 11" xfId="14783" xr:uid="{2F213743-0A7A-4BD0-9BED-DB5104269EB1}"/>
    <cellStyle name="Ergebnis 2 2 11 2" xfId="34220" xr:uid="{687D5A38-2075-43A8-A2B7-BC0916F3805E}"/>
    <cellStyle name="Ergebnis 2 2 12" xfId="14784" xr:uid="{8CB08B52-8610-4C3E-A98F-A3B6EB6C7FE4}"/>
    <cellStyle name="Ergebnis 2 2 12 2" xfId="34221" xr:uid="{7386BB0A-2864-4036-B7C6-2D8CA32EAA19}"/>
    <cellStyle name="Ergebnis 2 2 13" xfId="34218" xr:uid="{4D39BA99-8DDF-48F2-9A50-8809E716693F}"/>
    <cellStyle name="Ergebnis 2 2 14" xfId="39439" xr:uid="{20228F4A-096C-492A-8E01-8E8F8CDD73F3}"/>
    <cellStyle name="Ergebnis 2 2 2" xfId="14785" xr:uid="{DC4060F4-A7F3-4B34-940A-2E9589CF39A4}"/>
    <cellStyle name="Ergebnis 2 2 2 10" xfId="14786" xr:uid="{C1957783-0063-41D7-9839-F2E34016E559}"/>
    <cellStyle name="Ergebnis 2 2 2 10 2" xfId="34223" xr:uid="{3A20B799-A2AB-4860-8889-F8E412AB095F}"/>
    <cellStyle name="Ergebnis 2 2 2 11" xfId="34222" xr:uid="{65196315-1A25-4ADD-AFE4-210FF8392C28}"/>
    <cellStyle name="Ergebnis 2 2 2 2" xfId="14787" xr:uid="{DEC0ECCF-3E55-4FEB-B67B-358AAF4E5CE0}"/>
    <cellStyle name="Ergebnis 2 2 2 2 2" xfId="14788" xr:uid="{D83FC6B5-548E-48D4-BCB0-2191B24F9A3B}"/>
    <cellStyle name="Ergebnis 2 2 2 2 2 2" xfId="14789" xr:uid="{6EAB51E7-ED81-4A5B-98EA-1D74AAE977DF}"/>
    <cellStyle name="Ergebnis 2 2 2 2 2 2 2" xfId="14790" xr:uid="{7D1F688C-7FBD-4AB6-907F-C2974FA7CAD4}"/>
    <cellStyle name="Ergebnis 2 2 2 2 2 2 2 2" xfId="34227" xr:uid="{E5863302-29EB-4614-B3E1-C1ACFC7FAB6A}"/>
    <cellStyle name="Ergebnis 2 2 2 2 2 2 3" xfId="34226" xr:uid="{16363E21-E66F-476C-B644-2D71E094BD0C}"/>
    <cellStyle name="Ergebnis 2 2 2 2 2 3" xfId="14791" xr:uid="{A9E53AAC-448A-43C4-A60D-8482DF114F37}"/>
    <cellStyle name="Ergebnis 2 2 2 2 2 3 2" xfId="34228" xr:uid="{7483C204-A3E1-4EB4-84E7-EC6B819D071C}"/>
    <cellStyle name="Ergebnis 2 2 2 2 2 4" xfId="14792" xr:uid="{8D27FBC0-6621-477B-98F0-88DD1EF19F9F}"/>
    <cellStyle name="Ergebnis 2 2 2 2 2 4 2" xfId="34229" xr:uid="{F3536F9D-B085-4AA5-8E0F-C0B38C1210F1}"/>
    <cellStyle name="Ergebnis 2 2 2 2 2 5" xfId="14793" xr:uid="{423AE63B-6EB0-49D6-8318-82E9921C4E9E}"/>
    <cellStyle name="Ergebnis 2 2 2 2 2 5 2" xfId="34230" xr:uid="{882C9354-78FF-4F41-870E-9C4BD846DEDA}"/>
    <cellStyle name="Ergebnis 2 2 2 2 2 6" xfId="14794" xr:uid="{FA9CE68D-9558-4C8D-B89A-D882E4C01C34}"/>
    <cellStyle name="Ergebnis 2 2 2 2 2 6 2" xfId="34231" xr:uid="{707D9DF4-F5C5-47A2-9B70-00050DDAEFCC}"/>
    <cellStyle name="Ergebnis 2 2 2 2 2 7" xfId="14795" xr:uid="{6B784369-4D4E-44D7-800A-4ED7BD357F1A}"/>
    <cellStyle name="Ergebnis 2 2 2 2 2 7 2" xfId="34232" xr:uid="{A2D308AE-D036-4095-9381-21B9EDEA4051}"/>
    <cellStyle name="Ergebnis 2 2 2 2 2 8" xfId="14796" xr:uid="{AB440B94-C5B2-4EC8-A49E-7932A6A94600}"/>
    <cellStyle name="Ergebnis 2 2 2 2 2 8 2" xfId="34233" xr:uid="{9E0E065F-7D91-4F98-95C2-9DA5E4260109}"/>
    <cellStyle name="Ergebnis 2 2 2 2 2 9" xfId="34225" xr:uid="{B83366FF-4D6B-4216-8A34-BC0EB1C4AA97}"/>
    <cellStyle name="Ergebnis 2 2 2 2 3" xfId="14797" xr:uid="{E187B627-F5E4-4E47-94E5-19021904367D}"/>
    <cellStyle name="Ergebnis 2 2 2 2 3 2" xfId="14798" xr:uid="{1A45DBE3-1327-4FBE-9516-EF755BEC4DCB}"/>
    <cellStyle name="Ergebnis 2 2 2 2 3 2 2" xfId="34235" xr:uid="{C60F8F1D-3D32-44F8-A2CE-90D885A57547}"/>
    <cellStyle name="Ergebnis 2 2 2 2 3 3" xfId="34234" xr:uid="{C84550EB-3594-4200-B591-61FBBD1B4192}"/>
    <cellStyle name="Ergebnis 2 2 2 2 4" xfId="14799" xr:uid="{D55D1FEA-EE94-4175-98DB-969E35893F27}"/>
    <cellStyle name="Ergebnis 2 2 2 2 4 2" xfId="34236" xr:uid="{1C7E2E3E-7299-4455-B9D1-FE9CFDA88808}"/>
    <cellStyle name="Ergebnis 2 2 2 2 5" xfId="14800" xr:uid="{3CACA524-B5A5-4FEB-AA96-88779D1047B1}"/>
    <cellStyle name="Ergebnis 2 2 2 2 5 2" xfId="34237" xr:uid="{A1F273BC-AEAD-40C8-A0C7-2E936D02BEFB}"/>
    <cellStyle name="Ergebnis 2 2 2 2 6" xfId="14801" xr:uid="{A45E758A-A7F8-4469-B112-0E3F06F52BAD}"/>
    <cellStyle name="Ergebnis 2 2 2 2 6 2" xfId="34238" xr:uid="{090C98D3-0366-4FA8-AA98-B0BBAD36EDEE}"/>
    <cellStyle name="Ergebnis 2 2 2 2 7" xfId="14802" xr:uid="{E7BC98C6-7009-41BC-82D3-8C61CC820BE9}"/>
    <cellStyle name="Ergebnis 2 2 2 2 7 2" xfId="34239" xr:uid="{F0E7ACB4-78D2-43B2-AE5D-E2C97C615E65}"/>
    <cellStyle name="Ergebnis 2 2 2 2 8" xfId="14803" xr:uid="{913D34D8-63D3-4B28-9720-385A349BF003}"/>
    <cellStyle name="Ergebnis 2 2 2 2 8 2" xfId="34240" xr:uid="{0469996D-0B6D-415B-A8AD-D855C0165920}"/>
    <cellStyle name="Ergebnis 2 2 2 2 9" xfId="34224" xr:uid="{344E4C63-CC91-41C6-B796-0B3B67A97696}"/>
    <cellStyle name="Ergebnis 2 2 2 3" xfId="14804" xr:uid="{91AEA447-1027-4F5E-800A-9418BF64C22E}"/>
    <cellStyle name="Ergebnis 2 2 2 3 2" xfId="34241" xr:uid="{76C394E6-86A8-4B5D-8347-27BD5DE52817}"/>
    <cellStyle name="Ergebnis 2 2 2 4" xfId="14805" xr:uid="{EE895D75-9430-4E4D-AEB8-D7216806589D}"/>
    <cellStyle name="Ergebnis 2 2 2 4 2" xfId="34242" xr:uid="{15971FD0-FBA5-4610-BA1D-3D5CCCA69A74}"/>
    <cellStyle name="Ergebnis 2 2 2 5" xfId="14806" xr:uid="{266640F3-6021-4951-B84C-56F310D02D37}"/>
    <cellStyle name="Ergebnis 2 2 2 5 2" xfId="14807" xr:uid="{9234A2EB-716E-4E4F-BE54-B92CC473FDB3}"/>
    <cellStyle name="Ergebnis 2 2 2 5 2 2" xfId="34244" xr:uid="{F8C9D500-5E52-4D2F-9052-C6180AF6F846}"/>
    <cellStyle name="Ergebnis 2 2 2 5 3" xfId="34243" xr:uid="{7F5206D5-757C-49A9-A507-DC3A7A389300}"/>
    <cellStyle name="Ergebnis 2 2 2 6" xfId="14808" xr:uid="{44BE051D-FDD9-4C02-81FC-3ED412AD9F04}"/>
    <cellStyle name="Ergebnis 2 2 2 6 2" xfId="34245" xr:uid="{2211EE00-61B7-4211-9ACF-2490893ED0AF}"/>
    <cellStyle name="Ergebnis 2 2 2 7" xfId="14809" xr:uid="{B0C633BD-BBC7-4964-B698-B21DBCB6FF1F}"/>
    <cellStyle name="Ergebnis 2 2 2 7 2" xfId="34246" xr:uid="{BDED72DA-E7F0-44A0-B327-78D0DD4DE04F}"/>
    <cellStyle name="Ergebnis 2 2 2 8" xfId="14810" xr:uid="{6238239D-FDA8-4FF5-B6D1-707210ADB7DA}"/>
    <cellStyle name="Ergebnis 2 2 2 8 2" xfId="34247" xr:uid="{8E1EFF83-7B9C-4989-B09F-A7FE5E70AE75}"/>
    <cellStyle name="Ergebnis 2 2 2 9" xfId="14811" xr:uid="{FC3FFC39-5546-42C6-9E15-2DBC39DA7354}"/>
    <cellStyle name="Ergebnis 2 2 2 9 2" xfId="34248" xr:uid="{D9F3BC7A-A2D4-4AB8-A179-617CF40AE828}"/>
    <cellStyle name="Ergebnis 2 2 3" xfId="14812" xr:uid="{01D8BE68-A8E0-43A4-9544-E8F8302E865C}"/>
    <cellStyle name="Ergebnis 2 2 3 2" xfId="34249" xr:uid="{788E27C9-9930-452C-BCE0-DD2C2500F8CB}"/>
    <cellStyle name="Ergebnis 2 2 4" xfId="14813" xr:uid="{2EE3ECB7-5390-4FDB-BA9C-439139A79198}"/>
    <cellStyle name="Ergebnis 2 2 4 2" xfId="34250" xr:uid="{C5554F03-A308-4196-815D-F7C29A420D6B}"/>
    <cellStyle name="Ergebnis 2 2 5" xfId="14814" xr:uid="{C55850BC-52C9-412E-A422-EB6B9A6CC691}"/>
    <cellStyle name="Ergebnis 2 2 5 2" xfId="14815" xr:uid="{10F941A1-4DC2-431B-8F4A-8705CCBD70DE}"/>
    <cellStyle name="Ergebnis 2 2 5 2 2" xfId="34252" xr:uid="{ADF3629E-3FF9-4068-B08E-B363FF968689}"/>
    <cellStyle name="Ergebnis 2 2 5 3" xfId="34251" xr:uid="{D2EECC8E-DE0B-4570-BDC0-9016F8BC9679}"/>
    <cellStyle name="Ergebnis 2 2 6" xfId="14816" xr:uid="{62AB156D-C6D3-47D5-842B-9679B3A1AC7F}"/>
    <cellStyle name="Ergebnis 2 2 6 2" xfId="34253" xr:uid="{7018457F-989C-42D2-A344-A587729DD6E5}"/>
    <cellStyle name="Ergebnis 2 2 7" xfId="14817" xr:uid="{E22D5A99-27B3-4DA3-8886-AAA299212D3A}"/>
    <cellStyle name="Ergebnis 2 2 7 2" xfId="14818" xr:uid="{E3EB9FB9-5207-4566-B25C-4510D9D45DBE}"/>
    <cellStyle name="Ergebnis 2 2 7 2 2" xfId="34255" xr:uid="{17042998-3CDF-4E55-BB96-F0421175ED27}"/>
    <cellStyle name="Ergebnis 2 2 7 3" xfId="34254" xr:uid="{3CCA726E-7ABF-4C80-96A0-E573F4D92769}"/>
    <cellStyle name="Ergebnis 2 2 8" xfId="14819" xr:uid="{04A625AA-D878-45A9-9063-40479D4C20A6}"/>
    <cellStyle name="Ergebnis 2 2 8 2" xfId="34256" xr:uid="{FC3EF17F-6B7A-431E-80F9-FD9933F9E469}"/>
    <cellStyle name="Ergebnis 2 2 9" xfId="14820" xr:uid="{D40A7DB9-1AEB-470C-8A35-0FD2389FA8F9}"/>
    <cellStyle name="Ergebnis 2 2 9 2" xfId="34257" xr:uid="{B46466C1-D690-4C10-97D6-243867C2C948}"/>
    <cellStyle name="Ergebnis 2 3" xfId="14821" xr:uid="{4BF56CCD-298D-4312-8E32-1A0980940E4E}"/>
    <cellStyle name="Ergebnis 2 3 2" xfId="34258" xr:uid="{667FBF84-AD9B-441A-9BDF-7AB757956EB7}"/>
    <cellStyle name="Ergebnis 2 4" xfId="14822" xr:uid="{31EAAC05-C50D-45D9-970D-537BD2931D17}"/>
    <cellStyle name="Ergebnis 2 4 2" xfId="14823" xr:uid="{15C29061-EEAF-4E4C-AA6E-8F0E89EB17F4}"/>
    <cellStyle name="Ergebnis 2 4 2 2" xfId="14824" xr:uid="{2C544251-9116-4B23-9623-33F8981371D7}"/>
    <cellStyle name="Ergebnis 2 4 2 2 2" xfId="34261" xr:uid="{5360F099-540C-456C-8A51-A5A5E4029DA1}"/>
    <cellStyle name="Ergebnis 2 4 2 3" xfId="34260" xr:uid="{2858545B-BEEB-4F39-9DEE-188F2237839D}"/>
    <cellStyle name="Ergebnis 2 4 3" xfId="14825" xr:uid="{912002D2-EE0C-49A4-8156-C6CF92F1CD3B}"/>
    <cellStyle name="Ergebnis 2 4 3 2" xfId="34262" xr:uid="{CD6275B9-C0AF-4EC5-B755-6B76739FFC0A}"/>
    <cellStyle name="Ergebnis 2 4 4" xfId="14826" xr:uid="{DAE1749B-CC24-41E5-9F32-27E10EDE93B4}"/>
    <cellStyle name="Ergebnis 2 4 4 2" xfId="34263" xr:uid="{D1817F65-299A-4B97-9671-5F8D31D19045}"/>
    <cellStyle name="Ergebnis 2 4 5" xfId="34259" xr:uid="{D2354367-73CD-4A6E-9FF4-C304B14E707C}"/>
    <cellStyle name="Ergebnis 2 5" xfId="14827" xr:uid="{9C6AFD05-5D8C-4C71-AD09-A9EB7A019859}"/>
    <cellStyle name="Ergebnis 2 5 2" xfId="34264" xr:uid="{A14BA457-A925-43EF-A28C-582D2832E0CA}"/>
    <cellStyle name="Ergebnis 2 6" xfId="14828" xr:uid="{2714B391-F574-4986-9ECF-3105B1E0128A}"/>
    <cellStyle name="Ergebnis 2 6 2" xfId="14829" xr:uid="{B67B88C7-33B0-4D8F-AA4E-9BE9A42A5913}"/>
    <cellStyle name="Ergebnis 2 6 2 2" xfId="34266" xr:uid="{731F9BA5-2607-4EB2-B8B5-4F39E0BA4217}"/>
    <cellStyle name="Ergebnis 2 6 3" xfId="34265" xr:uid="{6B6F4BA2-AF4E-4004-8ED9-C60AA3DE3767}"/>
    <cellStyle name="Ergebnis 2 7" xfId="14830" xr:uid="{F03562E1-CC9F-479C-95FA-5775E6587A30}"/>
    <cellStyle name="Ergebnis 2 7 2" xfId="34267" xr:uid="{0C7EFFAA-C60F-48C2-9541-E99F0E2086DE}"/>
    <cellStyle name="Ergebnis 2 8" xfId="14831" xr:uid="{5112FE7B-B84C-4A90-B4B4-CF0291634C1B}"/>
    <cellStyle name="Ergebnis 2 8 2" xfId="14832" xr:uid="{89E2B2DA-A5DB-4AF5-824C-E099DB38542E}"/>
    <cellStyle name="Ergebnis 2 8 2 2" xfId="34269" xr:uid="{CD09E692-A841-4FE0-BC4E-D62FC0A96046}"/>
    <cellStyle name="Ergebnis 2 8 3" xfId="34268" xr:uid="{4C2D7446-B1B6-4B3E-82CB-D9B475245981}"/>
    <cellStyle name="Ergebnis 2 9" xfId="14833" xr:uid="{28209111-C4F9-44B9-839D-3624490F3B96}"/>
    <cellStyle name="Ergebnis 2 9 2" xfId="34270" xr:uid="{0C8B0C64-32F9-416E-B0C0-D9B8E86D1B6B}"/>
    <cellStyle name="Ergebnis 20" xfId="14834" xr:uid="{5475A690-76DD-482B-953D-362761E28BE3}"/>
    <cellStyle name="Ergebnis 20 2" xfId="14835" xr:uid="{29B09CAE-05A4-4F71-BA78-DA80DE76DC0F}"/>
    <cellStyle name="Ergebnis 20 2 2" xfId="34272" xr:uid="{562CD88D-C4E9-4FFC-937C-429AA8E82A44}"/>
    <cellStyle name="Ergebnis 20 3" xfId="34271" xr:uid="{45DBDAB2-AAFD-4B36-81FC-437EB2FA1495}"/>
    <cellStyle name="Ergebnis 21" xfId="14836" xr:uid="{4F25C2CE-9A0A-44BF-ACE1-A4E009BBB7C2}"/>
    <cellStyle name="Ergebnis 21 2" xfId="14837" xr:uid="{F2CF46B9-9268-409F-BA63-80E9162FE39A}"/>
    <cellStyle name="Ergebnis 21 2 2" xfId="34274" xr:uid="{584D3605-8D0B-4948-AA03-19B38A2A0036}"/>
    <cellStyle name="Ergebnis 21 3" xfId="34273" xr:uid="{B4227C77-DCD9-46CD-87D9-D0549D8BBED9}"/>
    <cellStyle name="Ergebnis 22" xfId="14838" xr:uid="{6DD51454-4EDD-46B7-B006-DB38985CB9A8}"/>
    <cellStyle name="Ergebnis 22 2" xfId="14839" xr:uid="{548D7537-2DA0-4426-914E-A250AE7F9D0A}"/>
    <cellStyle name="Ergebnis 22 2 2" xfId="34276" xr:uid="{737FB3A1-2357-4EAB-8F1F-CA63EEE67241}"/>
    <cellStyle name="Ergebnis 22 3" xfId="34275" xr:uid="{92CD25E2-998F-4F84-A8AF-AF7163EBE22A}"/>
    <cellStyle name="Ergebnis 23" xfId="14840" xr:uid="{15833C1E-C1E8-4573-AF85-0324FB77FE5B}"/>
    <cellStyle name="Ergebnis 23 2" xfId="14841" xr:uid="{EE523503-94AC-4741-A0DE-13D75989B51A}"/>
    <cellStyle name="Ergebnis 23 2 2" xfId="34278" xr:uid="{4DF5E50C-9E52-4D62-A560-27BBDEA97675}"/>
    <cellStyle name="Ergebnis 23 3" xfId="34277" xr:uid="{0496889A-9FAE-41D5-868F-395CFDE09E86}"/>
    <cellStyle name="Ergebnis 24" xfId="14842" xr:uid="{BD71910A-4371-4A95-89BB-D446820B11E0}"/>
    <cellStyle name="Ergebnis 24 2" xfId="14843" xr:uid="{9AE98B19-3792-4E01-9C19-6A4E70117135}"/>
    <cellStyle name="Ergebnis 24 2 2" xfId="34280" xr:uid="{F51769CA-A432-4A11-969D-14A911C90F2F}"/>
    <cellStyle name="Ergebnis 24 3" xfId="34279" xr:uid="{C65B9DB6-E483-45E2-A58B-947FD2446932}"/>
    <cellStyle name="Ergebnis 25" xfId="14844" xr:uid="{26A8A5D2-C7B1-4AC1-BA30-7D421B511B91}"/>
    <cellStyle name="Ergebnis 25 2" xfId="14845" xr:uid="{13039D64-711C-4FF4-A7D5-23171E21B078}"/>
    <cellStyle name="Ergebnis 25 2 2" xfId="34282" xr:uid="{9F48CA67-F17B-44F0-8976-26F4810C17B7}"/>
    <cellStyle name="Ergebnis 25 3" xfId="34281" xr:uid="{BA2EF43A-E999-4835-9A8A-3DAD89B443F0}"/>
    <cellStyle name="Ergebnis 26" xfId="14846" xr:uid="{63FDB71F-2070-42D7-943A-2C6CD809CD28}"/>
    <cellStyle name="Ergebnis 26 2" xfId="14847" xr:uid="{455F9DD5-A4E0-419C-8CCE-F2274A1BFDE1}"/>
    <cellStyle name="Ergebnis 26 2 2" xfId="34284" xr:uid="{67E15F8C-A7B1-4B9C-B36A-ACBC8CF85A68}"/>
    <cellStyle name="Ergebnis 26 3" xfId="34283" xr:uid="{21A38D5F-459E-467E-904C-383DFC129A14}"/>
    <cellStyle name="Ergebnis 27" xfId="14848" xr:uid="{32BE5453-C035-4443-9C32-99E7EF5AB4CC}"/>
    <cellStyle name="Ergebnis 27 2" xfId="14849" xr:uid="{709FBE77-B713-4AA7-8184-DBFF175BC540}"/>
    <cellStyle name="Ergebnis 27 2 2" xfId="34286" xr:uid="{D765E850-443E-44F0-ADA0-26F1017AB658}"/>
    <cellStyle name="Ergebnis 27 3" xfId="34285" xr:uid="{E4D9E5BA-714B-4C6B-AAA1-BEB68A39099F}"/>
    <cellStyle name="Ergebnis 28" xfId="14850" xr:uid="{F8339D22-58AB-4454-B717-22897D243BF3}"/>
    <cellStyle name="Ergebnis 28 2" xfId="14851" xr:uid="{E78B376E-70C9-48B8-A85D-F2EE4ADEAB9E}"/>
    <cellStyle name="Ergebnis 28 2 2" xfId="34288" xr:uid="{235C42B4-8D25-4395-8644-D0C9D6E691F0}"/>
    <cellStyle name="Ergebnis 28 3" xfId="34287" xr:uid="{C050E98C-ED64-48F4-8089-60297EBCA603}"/>
    <cellStyle name="Ergebnis 29" xfId="14852" xr:uid="{DF13761E-696B-4BAA-87DB-6F0034B88007}"/>
    <cellStyle name="Ergebnis 29 2" xfId="14853" xr:uid="{C699B6A5-A30D-47C3-B9B6-D8F83E6469FF}"/>
    <cellStyle name="Ergebnis 29 2 2" xfId="34290" xr:uid="{2BD2A070-6562-4A3D-BCEA-58615EDA4FEC}"/>
    <cellStyle name="Ergebnis 29 3" xfId="34289" xr:uid="{2BEF630C-97E1-4919-9854-C05248B7CB3A}"/>
    <cellStyle name="Ergebnis 3" xfId="14854" xr:uid="{279DE0FB-3C21-4EDC-9999-9455704EA96E}"/>
    <cellStyle name="Ergebnis 3 10" xfId="39440" xr:uid="{144B49D2-12C9-466B-A4EB-41AB9C37D8FF}"/>
    <cellStyle name="Ergebnis 3 2" xfId="14855" xr:uid="{8CE90C2A-65CD-48D7-BC38-3323D8A576F3}"/>
    <cellStyle name="Ergebnis 3 2 2" xfId="14856" xr:uid="{8B43996A-9AD3-4F55-9BAA-B9BBB036B6AE}"/>
    <cellStyle name="Ergebnis 3 2 2 2" xfId="14857" xr:uid="{FD5ED0E1-AFC2-469E-835D-39A15C269B57}"/>
    <cellStyle name="Ergebnis 3 2 2 2 2" xfId="34294" xr:uid="{2F4C8008-60FF-4763-A2C9-4B7D0A2A1A1D}"/>
    <cellStyle name="Ergebnis 3 2 2 3" xfId="34293" xr:uid="{469C298F-8A42-4369-92E7-49F792E70CB2}"/>
    <cellStyle name="Ergebnis 3 2 3" xfId="14858" xr:uid="{FCAA5FAD-5FB9-4ED3-AD8A-C1E3D3486348}"/>
    <cellStyle name="Ergebnis 3 2 3 2" xfId="34295" xr:uid="{18CCB8F9-BAD7-4466-96C6-8C119375B551}"/>
    <cellStyle name="Ergebnis 3 2 4" xfId="14859" xr:uid="{5B523E7A-7F3C-4D14-B35D-C93758975352}"/>
    <cellStyle name="Ergebnis 3 2 4 2" xfId="34296" xr:uid="{4E1BF160-2BC2-4F76-80A2-E4952962C0B2}"/>
    <cellStyle name="Ergebnis 3 2 5" xfId="34292" xr:uid="{2B1B9C22-FFAB-4FF7-8EC9-85AE26ED5F72}"/>
    <cellStyle name="Ergebnis 3 2 6" xfId="40004" xr:uid="{B310797C-21F4-4578-ACDD-F356CC328DEB}"/>
    <cellStyle name="Ergebnis 3 3" xfId="14860" xr:uid="{0B06643B-E338-4676-858B-087CC8C41E0F}"/>
    <cellStyle name="Ergebnis 3 3 2" xfId="34297" xr:uid="{763B60A0-0541-4714-82C9-DF8B72432218}"/>
    <cellStyle name="Ergebnis 3 4" xfId="14861" xr:uid="{7026FDEB-4EE0-4FCF-AF7E-3316121B8D2F}"/>
    <cellStyle name="Ergebnis 3 4 2" xfId="34298" xr:uid="{429F9A13-8448-4DE8-AD45-F190F105EDC2}"/>
    <cellStyle name="Ergebnis 3 5" xfId="14862" xr:uid="{AB1D97DF-53AD-48A0-AAC6-65E82A4E7C7E}"/>
    <cellStyle name="Ergebnis 3 5 2" xfId="14863" xr:uid="{9047CA18-9F9C-482E-A3ED-7054F9BB87E5}"/>
    <cellStyle name="Ergebnis 3 5 2 2" xfId="34300" xr:uid="{DFA0A628-C37B-410B-AFF2-B9C785812ED1}"/>
    <cellStyle name="Ergebnis 3 5 3" xfId="34299" xr:uid="{B24689BF-70A4-4799-AC9B-0E5CAADF0C8B}"/>
    <cellStyle name="Ergebnis 3 6" xfId="14864" xr:uid="{73214EA9-467F-404E-8411-AAA058D7119F}"/>
    <cellStyle name="Ergebnis 3 6 2" xfId="34301" xr:uid="{8B381230-8D39-4186-8901-39396199A563}"/>
    <cellStyle name="Ergebnis 3 7" xfId="14865" xr:uid="{A06E12D6-4610-48AA-91E7-24653897252A}"/>
    <cellStyle name="Ergebnis 3 7 2" xfId="34302" xr:uid="{330C2EBA-798A-4F0A-87BC-D9789E0BB9F3}"/>
    <cellStyle name="Ergebnis 3 8" xfId="14866" xr:uid="{82522E44-CB99-4DC3-8D68-598B7E6A8019}"/>
    <cellStyle name="Ergebnis 3 8 2" xfId="34303" xr:uid="{BEDFEF1A-DA87-4D7D-92DC-F7CD076BB5D9}"/>
    <cellStyle name="Ergebnis 3 9" xfId="34291" xr:uid="{7602DE86-7D8D-4143-83AA-ABDD42BC31A6}"/>
    <cellStyle name="Ergebnis 30" xfId="14867" xr:uid="{6E54A100-7F14-4978-AC84-9FBA1E31686B}"/>
    <cellStyle name="Ergebnis 30 2" xfId="14868" xr:uid="{3CB7AECB-62C3-45F4-8B41-A7672179F89E}"/>
    <cellStyle name="Ergebnis 30 2 2" xfId="34305" xr:uid="{8261F348-DCDF-4C5E-80A8-1578320AA328}"/>
    <cellStyle name="Ergebnis 30 3" xfId="34304" xr:uid="{D78C9D1E-8824-4C38-9537-FCC30A6EC78B}"/>
    <cellStyle name="Ergebnis 31" xfId="14869" xr:uid="{8D98BCE3-7297-48E5-A0CE-0080009F45B9}"/>
    <cellStyle name="Ergebnis 31 2" xfId="14870" xr:uid="{20E85BB9-FBA3-4613-936F-16AAD7883A14}"/>
    <cellStyle name="Ergebnis 31 2 2" xfId="34307" xr:uid="{0733C7BF-05C5-459B-85D2-2E178E7A1FA7}"/>
    <cellStyle name="Ergebnis 31 3" xfId="34306" xr:uid="{679F1C2D-8ABD-4CAF-AA6B-06EE8F343115}"/>
    <cellStyle name="Ergebnis 32" xfId="14871" xr:uid="{164D9ACD-695D-45A7-BC5C-A8A79D0692E6}"/>
    <cellStyle name="Ergebnis 32 2" xfId="14872" xr:uid="{B5601843-7ECA-4BD5-99DA-C5693A0903F2}"/>
    <cellStyle name="Ergebnis 32 2 2" xfId="34309" xr:uid="{19CC2738-2039-4071-9F73-44EAFD0D0FE8}"/>
    <cellStyle name="Ergebnis 32 3" xfId="34308" xr:uid="{9B4E8512-F714-4B69-87C7-E6F9202AD21F}"/>
    <cellStyle name="Ergebnis 33" xfId="14873" xr:uid="{FF92526F-0459-41FA-949E-A56E18B35280}"/>
    <cellStyle name="Ergebnis 33 2" xfId="14874" xr:uid="{7E5897C9-5A53-43A9-A504-BAFB510F6AA8}"/>
    <cellStyle name="Ergebnis 33 2 2" xfId="34311" xr:uid="{4BC9B53E-803A-4BA5-B2F6-95ACD16B9FC4}"/>
    <cellStyle name="Ergebnis 33 3" xfId="34310" xr:uid="{D80E1A1A-6724-417D-AFF0-F2BF9E195E45}"/>
    <cellStyle name="Ergebnis 34" xfId="14875" xr:uid="{252DD3D2-429F-449E-BBC9-BE078D962F5E}"/>
    <cellStyle name="Ergebnis 34 2" xfId="14876" xr:uid="{C2E5EF3B-30A2-4729-BFB9-886608C6EF68}"/>
    <cellStyle name="Ergebnis 34 2 2" xfId="34313" xr:uid="{4BAFF32E-7E75-459F-AAA7-C1DB82BFF06B}"/>
    <cellStyle name="Ergebnis 34 3" xfId="34312" xr:uid="{29956AD0-859E-4D8B-AB9A-7A81499764D1}"/>
    <cellStyle name="Ergebnis 35" xfId="14877" xr:uid="{FE5B16C0-7226-4FC2-B52D-63AAB656D054}"/>
    <cellStyle name="Ergebnis 35 2" xfId="14878" xr:uid="{5C934DFA-F0D8-407A-95A6-9B74D6D9AE5F}"/>
    <cellStyle name="Ergebnis 35 2 2" xfId="34315" xr:uid="{DDFBD2B2-546F-44D9-B99B-1B6AFFA8C57B}"/>
    <cellStyle name="Ergebnis 35 3" xfId="34314" xr:uid="{226D2F71-4E99-4B5D-89A8-579855D98537}"/>
    <cellStyle name="Ergebnis 36" xfId="14879" xr:uid="{434642E4-ACC2-458F-A1FE-3354E824BAFE}"/>
    <cellStyle name="Ergebnis 36 2" xfId="14880" xr:uid="{740C6B4A-8AD8-401C-A0C0-BBDD21633CC1}"/>
    <cellStyle name="Ergebnis 36 2 2" xfId="34317" xr:uid="{C2EE2ED3-A17A-45A0-9F69-66E0442E2F7C}"/>
    <cellStyle name="Ergebnis 36 3" xfId="34316" xr:uid="{9E005709-545A-4C6A-BC22-28EA0D0CADFF}"/>
    <cellStyle name="Ergebnis 37" xfId="34191" xr:uid="{1E036FCA-D886-4541-8883-416B8D61F3F7}"/>
    <cellStyle name="Ergebnis 38" xfId="40418" xr:uid="{15779F9E-22A2-49E1-BEAD-9C7E93CC07A1}"/>
    <cellStyle name="Ergebnis 39" xfId="14754" xr:uid="{838A4134-7416-4EF2-8BC1-C002386F6BD0}"/>
    <cellStyle name="Ergebnis 4" xfId="14881" xr:uid="{ED578E33-CB4B-4F8E-8AD6-9E2524D16660}"/>
    <cellStyle name="Ergebnis 4 2" xfId="14882" xr:uid="{3936E191-D82E-40F1-A65A-59749965BB9E}"/>
    <cellStyle name="Ergebnis 4 2 2" xfId="14883" xr:uid="{BFCA7ECD-8C58-4241-AAF7-1EA8F87A97A0}"/>
    <cellStyle name="Ergebnis 4 2 2 2" xfId="34320" xr:uid="{93297AB2-28D2-4EA9-A903-17E7DCFAB59E}"/>
    <cellStyle name="Ergebnis 4 2 3" xfId="34319" xr:uid="{947CBB12-4724-4295-8F4A-6A80D5BC5D11}"/>
    <cellStyle name="Ergebnis 4 2 4" xfId="40005" xr:uid="{AA5A3257-B2EB-4396-874F-B97BCBD8F8D1}"/>
    <cellStyle name="Ergebnis 4 3" xfId="14884" xr:uid="{07AFA606-747E-40AB-9EC8-A4E6C6ACB010}"/>
    <cellStyle name="Ergebnis 4 3 2" xfId="34321" xr:uid="{08A74446-D123-4DAF-A912-89C0A42045C1}"/>
    <cellStyle name="Ergebnis 4 4" xfId="14885" xr:uid="{3367CE8F-DCFC-417D-BE07-8FF6436CF488}"/>
    <cellStyle name="Ergebnis 4 4 2" xfId="34322" xr:uid="{BBD16CBF-F1DA-44BE-850F-0F961DE9CBB4}"/>
    <cellStyle name="Ergebnis 4 5" xfId="14886" xr:uid="{BF05E1A0-F76F-4CF2-9C41-E8DFB61E582D}"/>
    <cellStyle name="Ergebnis 4 5 2" xfId="34323" xr:uid="{31F8AD94-55DA-49BC-994F-74AD3BC5AEAB}"/>
    <cellStyle name="Ergebnis 4 6" xfId="14887" xr:uid="{9E7895D8-0954-4E7E-B9B3-1F6BF9B0DD05}"/>
    <cellStyle name="Ergebnis 4 6 2" xfId="34324" xr:uid="{88C46403-B262-44BD-BC58-D983E2D6D207}"/>
    <cellStyle name="Ergebnis 4 7" xfId="34318" xr:uid="{71F6D64D-8F1A-4BD7-A58B-11BD260EE1C6}"/>
    <cellStyle name="Ergebnis 4 8" xfId="39441" xr:uid="{C58E2E93-7783-4FCC-8806-215D7A48AA7B}"/>
    <cellStyle name="Ergebnis 40" xfId="55" xr:uid="{77F0123A-EEBE-40F1-9954-E25573B15A5B}"/>
    <cellStyle name="Ergebnis 5" xfId="14888" xr:uid="{869013ED-CC35-4AEB-8F91-AADE0E860E06}"/>
    <cellStyle name="Ergebnis 5 2" xfId="14889" xr:uid="{E2C04FD0-3041-47A2-8471-383FAC5678A3}"/>
    <cellStyle name="Ergebnis 5 2 2" xfId="34326" xr:uid="{484AEE71-5692-49ED-B233-CA939E18A9C6}"/>
    <cellStyle name="Ergebnis 5 3" xfId="14890" xr:uid="{5C9EA9C6-B6E0-4A5D-8710-5F32D1585097}"/>
    <cellStyle name="Ergebnis 5 3 2" xfId="34327" xr:uid="{D333C803-4479-495F-80BC-3BE9172464EC}"/>
    <cellStyle name="Ergebnis 5 4" xfId="14891" xr:uid="{A32E28C0-E3DC-4300-9B78-C1617232CCC3}"/>
    <cellStyle name="Ergebnis 5 4 2" xfId="34328" xr:uid="{A2BC10DE-3DB1-48F1-A737-E2587A3B3689}"/>
    <cellStyle name="Ergebnis 5 5" xfId="34325" xr:uid="{621CC2ED-F3EF-4FE7-ABD7-3CB998092F93}"/>
    <cellStyle name="Ergebnis 5 6" xfId="39442" xr:uid="{EBE371D9-8898-4F13-9534-A26CDB02E147}"/>
    <cellStyle name="Ergebnis 6" xfId="14892" xr:uid="{2A72409C-D11B-432E-A600-55E393B63328}"/>
    <cellStyle name="Ergebnis 6 2" xfId="14893" xr:uid="{AC14D5F4-9FCE-4EBB-AB64-01EBD94FD30C}"/>
    <cellStyle name="Ergebnis 6 2 2" xfId="34330" xr:uid="{C51907AD-19D1-4B53-B10C-5E05C0D66FD8}"/>
    <cellStyle name="Ergebnis 6 3" xfId="14894" xr:uid="{2FBDDBF9-A7F5-49C8-B4F4-1D7BE5EAA7F3}"/>
    <cellStyle name="Ergebnis 6 3 2" xfId="34331" xr:uid="{C1BCB089-E424-40A5-831D-817D218A76B8}"/>
    <cellStyle name="Ergebnis 6 4" xfId="14895" xr:uid="{890B08BE-45A0-4719-A5D4-8DB3BFD2BED9}"/>
    <cellStyle name="Ergebnis 6 4 2" xfId="34332" xr:uid="{D572B84E-B891-48E2-9CBD-0F86A04E84CC}"/>
    <cellStyle name="Ergebnis 6 5" xfId="34329" xr:uid="{049016E0-63B4-4F88-8597-3C1560EA159D}"/>
    <cellStyle name="Ergebnis 6 6" xfId="39437" xr:uid="{70E405F6-8AC3-4391-AB23-0B361C515A92}"/>
    <cellStyle name="Ergebnis 7" xfId="14896" xr:uid="{913746C8-D05A-46F3-A21D-CC0C49BEA78E}"/>
    <cellStyle name="Ergebnis 7 2" xfId="14897" xr:uid="{4F6337AF-D9E5-4D69-9982-2BE9F90DDECF}"/>
    <cellStyle name="Ergebnis 7 2 2" xfId="34334" xr:uid="{6414A65A-099E-4DDD-9DCB-9BE9A37FD2EE}"/>
    <cellStyle name="Ergebnis 7 3" xfId="34333" xr:uid="{EC65950C-CFC3-4B80-A931-18707CC0DA13}"/>
    <cellStyle name="Ergebnis 8" xfId="14898" xr:uid="{2CB7BCED-4716-46BB-BEDA-07D5F4A308BB}"/>
    <cellStyle name="Ergebnis 8 2" xfId="14899" xr:uid="{BA88C621-EE04-4D57-B34D-0563177416AE}"/>
    <cellStyle name="Ergebnis 8 2 2" xfId="34336" xr:uid="{5AC2E627-D273-48C1-A1FD-8DE78D55DD66}"/>
    <cellStyle name="Ergebnis 8 3" xfId="34335" xr:uid="{E8012615-6F2F-4A7B-AB6B-18B7E330F6C7}"/>
    <cellStyle name="Ergebnis 9" xfId="14900" xr:uid="{9864CF70-889D-4C3A-A2AA-D9B7ADDFC846}"/>
    <cellStyle name="Ergebnis 9 2" xfId="14901" xr:uid="{25969936-46D8-4855-95BA-7B8A9EF4734D}"/>
    <cellStyle name="Ergebnis 9 2 2" xfId="34338" xr:uid="{1C46DB52-6239-4EEA-BF4D-F1D4D7E2E0BD}"/>
    <cellStyle name="Ergebnis 9 3" xfId="34337" xr:uid="{C5067F2D-90D3-4A19-BA6C-5AE170E5A92D}"/>
    <cellStyle name="Erklärender Text 10" xfId="14903" xr:uid="{440F363E-94A9-460B-BA06-67AF8287D67A}"/>
    <cellStyle name="Erklärender Text 10 2" xfId="14904" xr:uid="{89A788F7-54ED-4393-AA21-E88D276CFFEA}"/>
    <cellStyle name="Erklärender Text 10 2 2" xfId="34341" xr:uid="{AC4E773B-0731-4563-A44E-47DA129A9E7C}"/>
    <cellStyle name="Erklärender Text 10 3" xfId="34340" xr:uid="{DA19A23B-2356-40B5-B719-CFF89D850876}"/>
    <cellStyle name="Erklärender Text 11" xfId="14905" xr:uid="{C07CD675-1F12-4FDF-AE02-26052A22370F}"/>
    <cellStyle name="Erklärender Text 11 2" xfId="14906" xr:uid="{9C08FF06-9679-48AF-A375-014163633E6F}"/>
    <cellStyle name="Erklärender Text 11 2 2" xfId="34343" xr:uid="{3AAE27CF-5E3F-4509-A93C-16CBB256A73D}"/>
    <cellStyle name="Erklärender Text 11 3" xfId="34342" xr:uid="{FFB351D7-3634-431B-AD93-B0EB1F03B120}"/>
    <cellStyle name="Erklärender Text 12" xfId="14907" xr:uid="{09151C09-B574-4AAD-8EC4-8D3FF584D2CE}"/>
    <cellStyle name="Erklärender Text 12 2" xfId="14908" xr:uid="{DC3A036A-7CB4-476B-96BD-23F0E9235DD0}"/>
    <cellStyle name="Erklärender Text 12 2 2" xfId="34345" xr:uid="{EF634AE7-254C-42AC-8770-C82553323F15}"/>
    <cellStyle name="Erklärender Text 12 3" xfId="34344" xr:uid="{AD175B16-1618-4868-9C1D-C36AF3D597A6}"/>
    <cellStyle name="Erklärender Text 13" xfId="14909" xr:uid="{D0A00CFA-8CE5-4D43-BB7A-C104329BD005}"/>
    <cellStyle name="Erklärender Text 13 2" xfId="14910" xr:uid="{6FAD34CA-F467-4844-A3D9-01BDB390597D}"/>
    <cellStyle name="Erklärender Text 13 2 2" xfId="34347" xr:uid="{8387389E-2186-4EFC-BC88-D471C297EECB}"/>
    <cellStyle name="Erklärender Text 13 3" xfId="34346" xr:uid="{E8F8E97E-5D18-4DB8-AB51-6A55AF0C7A6E}"/>
    <cellStyle name="Erklärender Text 14" xfId="14911" xr:uid="{5C3C87A1-8E00-4DBB-AD46-2A5D8B975DB4}"/>
    <cellStyle name="Erklärender Text 14 2" xfId="14912" xr:uid="{2A496043-A3A6-4E83-98BE-9A82431A1E69}"/>
    <cellStyle name="Erklärender Text 14 2 2" xfId="34349" xr:uid="{FCF8ABDE-F305-4D3A-8E15-BC01999BD433}"/>
    <cellStyle name="Erklärender Text 14 3" xfId="34348" xr:uid="{8C7EAEA6-9356-4EF4-96E0-DA3DD9655D5A}"/>
    <cellStyle name="Erklärender Text 15" xfId="14913" xr:uid="{AEBAD78E-EA50-4E24-B367-A90EEAE2D993}"/>
    <cellStyle name="Erklärender Text 15 2" xfId="14914" xr:uid="{5078D33D-C90B-4C6B-A429-992AEBB984C5}"/>
    <cellStyle name="Erklärender Text 15 2 2" xfId="34351" xr:uid="{2FEC7DC1-26B8-4301-B4D0-6049E37DC7D7}"/>
    <cellStyle name="Erklärender Text 15 3" xfId="34350" xr:uid="{A04EDBA7-43E1-4B21-953F-CCCE8BAE1E16}"/>
    <cellStyle name="Erklärender Text 16" xfId="14915" xr:uid="{44F6444B-91B2-46DB-9A32-AFC779B9198B}"/>
    <cellStyle name="Erklärender Text 16 2" xfId="14916" xr:uid="{32994AA1-D1B9-47BC-A448-628EC5D3D44B}"/>
    <cellStyle name="Erklärender Text 16 2 2" xfId="34353" xr:uid="{A7254A27-8AF9-4DA7-93C1-CFB9F245497D}"/>
    <cellStyle name="Erklärender Text 16 3" xfId="34352" xr:uid="{DF79B85A-02FF-4487-9C02-630D2CC7AD53}"/>
    <cellStyle name="Erklärender Text 17" xfId="14917" xr:uid="{4A8C7DBB-66DC-4F0B-9E3C-7A61FDB1B59A}"/>
    <cellStyle name="Erklärender Text 17 2" xfId="14918" xr:uid="{5B45E824-888E-4760-89C6-4963F6C0936F}"/>
    <cellStyle name="Erklärender Text 17 2 2" xfId="34355" xr:uid="{F1E47283-7685-477B-A0C8-D94F71D16780}"/>
    <cellStyle name="Erklärender Text 17 3" xfId="34354" xr:uid="{840F28EE-78D1-4712-9B57-8AF2E17E372F}"/>
    <cellStyle name="Erklärender Text 18" xfId="14919" xr:uid="{B0299845-4487-4056-ABFF-D722ABA4A6DB}"/>
    <cellStyle name="Erklärender Text 18 2" xfId="14920" xr:uid="{81B2A722-F49F-4718-B454-19B21287BDB8}"/>
    <cellStyle name="Erklärender Text 18 2 2" xfId="34357" xr:uid="{6D384C11-575D-4A95-A3C7-745D8CDF4F02}"/>
    <cellStyle name="Erklärender Text 18 3" xfId="34356" xr:uid="{658F302B-32B2-4947-8F5D-7D6E37E071B2}"/>
    <cellStyle name="Erklärender Text 19" xfId="14921" xr:uid="{BE9CFD9A-BFAE-414E-BF32-963B87F9127B}"/>
    <cellStyle name="Erklärender Text 19 2" xfId="14922" xr:uid="{85EB5D9C-6B21-4AA1-88C1-73AFBD8FF335}"/>
    <cellStyle name="Erklärender Text 19 2 2" xfId="34359" xr:uid="{9FB84DF1-BB49-4321-8C01-9FC73B4A257D}"/>
    <cellStyle name="Erklärender Text 19 3" xfId="34358" xr:uid="{599EB1D1-EB61-4A8E-B084-ADD66892786B}"/>
    <cellStyle name="Erklärender Text 2" xfId="14923" xr:uid="{0A05B598-7F1C-4B90-9685-1C69038774DE}"/>
    <cellStyle name="Erklärender Text 2 10" xfId="14924" xr:uid="{06357CB9-1DDE-4C4D-A1C7-46D9F2D7BA33}"/>
    <cellStyle name="Erklärender Text 2 10 2" xfId="34361" xr:uid="{C5489B9B-E871-4D8A-BBAC-C64F18FD38F1}"/>
    <cellStyle name="Erklärender Text 2 11" xfId="14925" xr:uid="{08F5BBDC-53AD-4AC3-8712-E1492D17CC1B}"/>
    <cellStyle name="Erklärender Text 2 11 2" xfId="34362" xr:uid="{89B31B16-CB4B-4594-9704-3DB96E0BA42B}"/>
    <cellStyle name="Erklärender Text 2 12" xfId="14926" xr:uid="{FF14655A-9DF0-4741-9FDB-7C90A27CD1B7}"/>
    <cellStyle name="Erklärender Text 2 12 2" xfId="34363" xr:uid="{A330781B-D98A-457E-9828-900DC4118C29}"/>
    <cellStyle name="Erklärender Text 2 13" xfId="14927" xr:uid="{28ADEEBC-63EF-450A-A880-4B7539D58A34}"/>
    <cellStyle name="Erklärender Text 2 13 2" xfId="34364" xr:uid="{56C3714F-4F1A-4BEA-B00B-318FC81E6187}"/>
    <cellStyle name="Erklärender Text 2 14" xfId="14928" xr:uid="{5A8D9838-8FB3-4BD9-BE0C-98DC491782A8}"/>
    <cellStyle name="Erklärender Text 2 14 2" xfId="34365" xr:uid="{83C628BD-9ADC-4133-8459-F2CA0600E2FC}"/>
    <cellStyle name="Erklärender Text 2 15" xfId="34360" xr:uid="{B56A0DB7-90AE-4C18-900C-FDC1FD14989F}"/>
    <cellStyle name="Erklärender Text 2 16" xfId="39444" xr:uid="{D561A3A5-D2A1-45CE-921F-62B70753C59D}"/>
    <cellStyle name="Erklärender Text 2 2" xfId="14929" xr:uid="{00D5E490-C449-469D-ADB9-131D557C356D}"/>
    <cellStyle name="Erklärender Text 2 2 10" xfId="14930" xr:uid="{398D2901-BC57-4F44-9E37-787EC9E54DE4}"/>
    <cellStyle name="Erklärender Text 2 2 10 2" xfId="34367" xr:uid="{D23D9FBB-765A-4126-8A48-E14C61634DE4}"/>
    <cellStyle name="Erklärender Text 2 2 11" xfId="14931" xr:uid="{EE6B058F-39DD-4A35-8A3F-AD4E25D0BC9B}"/>
    <cellStyle name="Erklärender Text 2 2 11 2" xfId="34368" xr:uid="{1FC84AB8-EF6A-461E-9A56-22DB461F548F}"/>
    <cellStyle name="Erklärender Text 2 2 12" xfId="14932" xr:uid="{E5B03A6E-1EE9-4682-AB92-2CEA6B7AE052}"/>
    <cellStyle name="Erklärender Text 2 2 12 2" xfId="34369" xr:uid="{41A68F7D-5437-4CEC-AC83-EA40E8B3D843}"/>
    <cellStyle name="Erklärender Text 2 2 13" xfId="34366" xr:uid="{8D267188-9BB0-434B-A9D1-AE2C09053CFB}"/>
    <cellStyle name="Erklärender Text 2 2 14" xfId="39445" xr:uid="{36ADA35B-8A98-4410-8452-21D515863C9D}"/>
    <cellStyle name="Erklärender Text 2 2 2" xfId="14933" xr:uid="{92A9C50A-8991-41AD-A261-313CFA2A6EFC}"/>
    <cellStyle name="Erklärender Text 2 2 2 10" xfId="14934" xr:uid="{FA5C6C9C-4610-4F5C-892B-CE8ED5664A1D}"/>
    <cellStyle name="Erklärender Text 2 2 2 10 2" xfId="34371" xr:uid="{725E59CF-E05B-4148-89F8-63C4B192A7D4}"/>
    <cellStyle name="Erklärender Text 2 2 2 11" xfId="34370" xr:uid="{50E9F621-858D-4B3E-AD61-15BE8203B483}"/>
    <cellStyle name="Erklärender Text 2 2 2 2" xfId="14935" xr:uid="{C5427155-FB03-45DD-AA3B-077A400A3F65}"/>
    <cellStyle name="Erklärender Text 2 2 2 2 2" xfId="14936" xr:uid="{A186FF0C-E8A5-48F9-832B-D839101834C1}"/>
    <cellStyle name="Erklärender Text 2 2 2 2 2 2" xfId="14937" xr:uid="{1F85F464-389B-4391-A7F8-3954A79F1791}"/>
    <cellStyle name="Erklärender Text 2 2 2 2 2 2 2" xfId="14938" xr:uid="{1F088914-57FE-490A-9C61-DF5DB5C3EEF6}"/>
    <cellStyle name="Erklärender Text 2 2 2 2 2 2 2 2" xfId="34375" xr:uid="{DA1058E3-A349-4C27-AF74-8EC08C882FD4}"/>
    <cellStyle name="Erklärender Text 2 2 2 2 2 2 3" xfId="34374" xr:uid="{3A79ABC9-CC34-483D-A108-87AC658075B7}"/>
    <cellStyle name="Erklärender Text 2 2 2 2 2 3" xfId="14939" xr:uid="{B30E07F2-786E-461B-8C24-C469CE3E4ED7}"/>
    <cellStyle name="Erklärender Text 2 2 2 2 2 3 2" xfId="34376" xr:uid="{E507318B-E0D4-492A-AA23-3D5D69CB797C}"/>
    <cellStyle name="Erklärender Text 2 2 2 2 2 4" xfId="14940" xr:uid="{F52C3669-8D9E-4424-9137-083DAE8675DA}"/>
    <cellStyle name="Erklärender Text 2 2 2 2 2 4 2" xfId="34377" xr:uid="{5AFC720C-18E7-45AC-8E35-4358D2D8197D}"/>
    <cellStyle name="Erklärender Text 2 2 2 2 2 5" xfId="14941" xr:uid="{3F47CFD0-4035-4300-B5E4-5078F86BCFE8}"/>
    <cellStyle name="Erklärender Text 2 2 2 2 2 5 2" xfId="34378" xr:uid="{719E9CE0-CDCD-45FE-8A8E-E724E7474AC6}"/>
    <cellStyle name="Erklärender Text 2 2 2 2 2 6" xfId="14942" xr:uid="{F05A9998-1DBC-4C04-B79E-FFA73FA42F8F}"/>
    <cellStyle name="Erklärender Text 2 2 2 2 2 6 2" xfId="34379" xr:uid="{94ABF91D-E638-4B5D-8BF6-69D77F4DE5E5}"/>
    <cellStyle name="Erklärender Text 2 2 2 2 2 7" xfId="14943" xr:uid="{B22B0839-35D2-43CB-A1A0-32CD8EA016BF}"/>
    <cellStyle name="Erklärender Text 2 2 2 2 2 7 2" xfId="34380" xr:uid="{FFC4DA58-489F-4EF0-8BB2-86F21A716F30}"/>
    <cellStyle name="Erklärender Text 2 2 2 2 2 8" xfId="14944" xr:uid="{802BBBEE-C1E7-4DAA-897D-6D982ED1EB42}"/>
    <cellStyle name="Erklärender Text 2 2 2 2 2 8 2" xfId="34381" xr:uid="{52C8E63F-6C62-4819-9728-1027B90C38DC}"/>
    <cellStyle name="Erklärender Text 2 2 2 2 2 9" xfId="34373" xr:uid="{CF735FF4-48DB-4664-A0F1-61F00EAAA29A}"/>
    <cellStyle name="Erklärender Text 2 2 2 2 3" xfId="14945" xr:uid="{21016260-0329-455D-BC16-9945373F78D6}"/>
    <cellStyle name="Erklärender Text 2 2 2 2 3 2" xfId="14946" xr:uid="{AA167FB4-50C8-4C93-A744-4DBCB22DBC01}"/>
    <cellStyle name="Erklärender Text 2 2 2 2 3 2 2" xfId="34383" xr:uid="{7D2764E0-62BB-4FB1-9138-D39BEB483AD8}"/>
    <cellStyle name="Erklärender Text 2 2 2 2 3 3" xfId="34382" xr:uid="{A742DC7D-00F6-491C-8906-F7861B771CA0}"/>
    <cellStyle name="Erklärender Text 2 2 2 2 4" xfId="14947" xr:uid="{28B0FD97-84F2-4244-9993-B5D96A6E80C6}"/>
    <cellStyle name="Erklärender Text 2 2 2 2 4 2" xfId="34384" xr:uid="{22DED58E-AAAA-4DDF-912A-D2235424336F}"/>
    <cellStyle name="Erklärender Text 2 2 2 2 5" xfId="14948" xr:uid="{580DFBAA-2DF1-4636-9068-B606C5A1B692}"/>
    <cellStyle name="Erklärender Text 2 2 2 2 5 2" xfId="34385" xr:uid="{C75FF788-4471-4E48-930E-0B56D3791134}"/>
    <cellStyle name="Erklärender Text 2 2 2 2 6" xfId="14949" xr:uid="{8142964E-C8D7-4C8A-8FE8-E48C547DD6D7}"/>
    <cellStyle name="Erklärender Text 2 2 2 2 6 2" xfId="34386" xr:uid="{11AAA43F-D1DA-4CF7-A937-A3090862A937}"/>
    <cellStyle name="Erklärender Text 2 2 2 2 7" xfId="14950" xr:uid="{1B41F875-0281-4178-9329-D8596F9560D1}"/>
    <cellStyle name="Erklärender Text 2 2 2 2 7 2" xfId="34387" xr:uid="{BD23CEE9-5D21-40EB-BB50-3122E25E8373}"/>
    <cellStyle name="Erklärender Text 2 2 2 2 8" xfId="14951" xr:uid="{683EE311-7E73-401F-8C54-7FA07C203CC8}"/>
    <cellStyle name="Erklärender Text 2 2 2 2 8 2" xfId="34388" xr:uid="{A13A9BCC-2E47-4532-BE4E-5BBF84BC773C}"/>
    <cellStyle name="Erklärender Text 2 2 2 2 9" xfId="34372" xr:uid="{45F212E6-189C-409F-9E8D-399C63147E44}"/>
    <cellStyle name="Erklärender Text 2 2 2 3" xfId="14952" xr:uid="{85FBDB58-2A06-4840-8D30-14E3D78F8DA2}"/>
    <cellStyle name="Erklärender Text 2 2 2 3 2" xfId="34389" xr:uid="{756E141F-7CAF-410F-BDB0-3A8F8D9D7D66}"/>
    <cellStyle name="Erklärender Text 2 2 2 4" xfId="14953" xr:uid="{7AC69AF9-B69B-4781-B873-68A829D9B930}"/>
    <cellStyle name="Erklärender Text 2 2 2 4 2" xfId="34390" xr:uid="{EC7649B0-9234-4AF5-A336-ECE3C634BA46}"/>
    <cellStyle name="Erklärender Text 2 2 2 5" xfId="14954" xr:uid="{8B2DD903-938C-4CB6-B25D-FC160E6B7496}"/>
    <cellStyle name="Erklärender Text 2 2 2 5 2" xfId="14955" xr:uid="{15FED337-7E0D-4CEF-B963-EFB21193C7DD}"/>
    <cellStyle name="Erklärender Text 2 2 2 5 2 2" xfId="34392" xr:uid="{A7DB671E-608A-49AA-A503-CCA9425EEE7B}"/>
    <cellStyle name="Erklärender Text 2 2 2 5 3" xfId="34391" xr:uid="{70E144BE-6440-47B4-874F-AC1DF83D8582}"/>
    <cellStyle name="Erklärender Text 2 2 2 6" xfId="14956" xr:uid="{1C08D959-4DD2-4274-86BB-6DF5FBA3BFD4}"/>
    <cellStyle name="Erklärender Text 2 2 2 6 2" xfId="34393" xr:uid="{02D739EB-336A-45E1-8E38-70750D44F090}"/>
    <cellStyle name="Erklärender Text 2 2 2 7" xfId="14957" xr:uid="{7E8E581E-81C9-43DC-B71F-6E37682F1908}"/>
    <cellStyle name="Erklärender Text 2 2 2 7 2" xfId="34394" xr:uid="{4954C087-A267-4063-9C4A-CFE29EC61CCC}"/>
    <cellStyle name="Erklärender Text 2 2 2 8" xfId="14958" xr:uid="{DF348F9C-2D11-4EB8-A9A2-7A8C7879462E}"/>
    <cellStyle name="Erklärender Text 2 2 2 8 2" xfId="34395" xr:uid="{7EE7FC16-C21B-480E-99D0-8874458FD8AB}"/>
    <cellStyle name="Erklärender Text 2 2 2 9" xfId="14959" xr:uid="{0AAEC1A5-0083-453B-A08F-D1057674EEA8}"/>
    <cellStyle name="Erklärender Text 2 2 2 9 2" xfId="34396" xr:uid="{E4A6733F-64BF-4AAA-8516-4B8506175510}"/>
    <cellStyle name="Erklärender Text 2 2 3" xfId="14960" xr:uid="{53D36273-6840-4EC4-A383-328522C39F5B}"/>
    <cellStyle name="Erklärender Text 2 2 3 2" xfId="34397" xr:uid="{ADA3A041-9DE4-4D81-BD23-13A1930074F6}"/>
    <cellStyle name="Erklärender Text 2 2 4" xfId="14961" xr:uid="{802FBFDA-AA2C-44F5-96BE-50815AFDA0F6}"/>
    <cellStyle name="Erklärender Text 2 2 4 2" xfId="34398" xr:uid="{C7FB5F9E-1E55-4B53-B577-6216B8270AB4}"/>
    <cellStyle name="Erklärender Text 2 2 5" xfId="14962" xr:uid="{9C902DB0-2BB8-4595-8056-6D2E21293059}"/>
    <cellStyle name="Erklärender Text 2 2 5 2" xfId="14963" xr:uid="{2FAB536D-1CFA-458E-90DC-F8B956246181}"/>
    <cellStyle name="Erklärender Text 2 2 5 2 2" xfId="34400" xr:uid="{1EDA35A1-E2D2-441E-A55A-B84BEB316978}"/>
    <cellStyle name="Erklärender Text 2 2 5 3" xfId="34399" xr:uid="{D1F335F8-EF09-4B26-AB0C-4A9F7744EFBB}"/>
    <cellStyle name="Erklärender Text 2 2 6" xfId="14964" xr:uid="{39617DA0-FD90-4C8A-8A47-5E98EC7E8C56}"/>
    <cellStyle name="Erklärender Text 2 2 6 2" xfId="34401" xr:uid="{4A136E33-F355-44F5-8A22-D55CE1D3C992}"/>
    <cellStyle name="Erklärender Text 2 2 7" xfId="14965" xr:uid="{DD82CDD3-19E5-430C-BEAB-6896B00680C8}"/>
    <cellStyle name="Erklärender Text 2 2 7 2" xfId="14966" xr:uid="{622E3534-ADEB-4D90-939F-8CDECD924AEC}"/>
    <cellStyle name="Erklärender Text 2 2 7 2 2" xfId="34403" xr:uid="{CA4CE6F3-5750-490A-B3AA-079480D255EC}"/>
    <cellStyle name="Erklärender Text 2 2 7 3" xfId="34402" xr:uid="{C396E243-01D9-4B69-8603-E4729A74C7E0}"/>
    <cellStyle name="Erklärender Text 2 2 8" xfId="14967" xr:uid="{7FFEFB04-FAE5-4784-8978-B716D82C87DA}"/>
    <cellStyle name="Erklärender Text 2 2 8 2" xfId="34404" xr:uid="{B5224DC0-1CB1-4E0E-8474-ACA16AB5D771}"/>
    <cellStyle name="Erklärender Text 2 2 9" xfId="14968" xr:uid="{D2994277-15EF-4B57-93BE-038D33A753E3}"/>
    <cellStyle name="Erklärender Text 2 2 9 2" xfId="34405" xr:uid="{1C9E4B2F-3A9E-419B-9E9B-9C3E35644430}"/>
    <cellStyle name="Erklärender Text 2 3" xfId="14969" xr:uid="{E859B6CF-592F-4039-BE59-EF63985F62D4}"/>
    <cellStyle name="Erklärender Text 2 3 2" xfId="34406" xr:uid="{8266F042-5015-4BD1-B7B8-4AD4411E819B}"/>
    <cellStyle name="Erklärender Text 2 4" xfId="14970" xr:uid="{8219E2A7-26C0-4742-B00F-C64B2B59D72C}"/>
    <cellStyle name="Erklärender Text 2 4 2" xfId="14971" xr:uid="{DB75C1C2-C8DF-46F5-898B-6F310DB9426C}"/>
    <cellStyle name="Erklärender Text 2 4 2 2" xfId="14972" xr:uid="{FCC9EE75-102A-4599-AB8E-A57432101132}"/>
    <cellStyle name="Erklärender Text 2 4 2 2 2" xfId="34409" xr:uid="{DCB27B12-A79E-45F7-B833-AD1AC028CC49}"/>
    <cellStyle name="Erklärender Text 2 4 2 3" xfId="34408" xr:uid="{444366CF-61D8-4AC1-BB18-696C33F992E9}"/>
    <cellStyle name="Erklärender Text 2 4 3" xfId="14973" xr:uid="{89ED3608-708E-4589-BAC6-205424932022}"/>
    <cellStyle name="Erklärender Text 2 4 3 2" xfId="34410" xr:uid="{ADFF0F06-6148-436B-92D8-3DE8120B2F04}"/>
    <cellStyle name="Erklärender Text 2 4 4" xfId="14974" xr:uid="{F33878A4-007A-4ED6-97C0-FE34767380BB}"/>
    <cellStyle name="Erklärender Text 2 4 4 2" xfId="34411" xr:uid="{276FA023-4B0D-4F66-8DCC-03F15E2D05DE}"/>
    <cellStyle name="Erklärender Text 2 4 5" xfId="34407" xr:uid="{42503CDF-532B-4FFB-BD88-666F6E01A5EF}"/>
    <cellStyle name="Erklärender Text 2 5" xfId="14975" xr:uid="{CA913FBE-40AB-48CF-9107-0B380B7CE648}"/>
    <cellStyle name="Erklärender Text 2 5 2" xfId="34412" xr:uid="{28AD519B-F972-4353-8411-CE199E637C03}"/>
    <cellStyle name="Erklärender Text 2 6" xfId="14976" xr:uid="{4EFAC26D-F89B-4A51-AB44-5E55F5DA0EDC}"/>
    <cellStyle name="Erklärender Text 2 6 2" xfId="14977" xr:uid="{D95FCBC8-45D3-4128-A6BE-F0989B9BD622}"/>
    <cellStyle name="Erklärender Text 2 6 2 2" xfId="34414" xr:uid="{9072A0A1-4E3B-407B-B212-CEEB57E22D98}"/>
    <cellStyle name="Erklärender Text 2 6 3" xfId="34413" xr:uid="{EAFA40B6-5E1F-4413-A02F-FBE685C6C8BF}"/>
    <cellStyle name="Erklärender Text 2 7" xfId="14978" xr:uid="{58DE555F-AD5F-4456-AC99-0FD46F283216}"/>
    <cellStyle name="Erklärender Text 2 7 2" xfId="34415" xr:uid="{4EB9C4D1-2814-4E2C-8B9A-B05184F28EEC}"/>
    <cellStyle name="Erklärender Text 2 8" xfId="14979" xr:uid="{92A4D0A0-930A-40E9-BCDB-058093970616}"/>
    <cellStyle name="Erklärender Text 2 8 2" xfId="14980" xr:uid="{D674C34B-DD77-4E16-9735-00A6A8032646}"/>
    <cellStyle name="Erklärender Text 2 8 2 2" xfId="34417" xr:uid="{88D459DD-8167-4ED1-9E4B-0967FBDB8100}"/>
    <cellStyle name="Erklärender Text 2 8 3" xfId="34416" xr:uid="{6B6C09A3-B347-4E33-9A27-E4A68BE83314}"/>
    <cellStyle name="Erklärender Text 2 9" xfId="14981" xr:uid="{9EB0AB70-373F-4BA8-9F2A-1696DFF66CDA}"/>
    <cellStyle name="Erklärender Text 2 9 2" xfId="34418" xr:uid="{9CA8D955-7D92-4555-A897-F95482F9C099}"/>
    <cellStyle name="Erklärender Text 20" xfId="14982" xr:uid="{90C82289-2C55-419E-B0B0-9288E1227E7C}"/>
    <cellStyle name="Erklärender Text 20 2" xfId="14983" xr:uid="{F76EE1BD-6BC2-498C-BA2A-FCC12E45FBC2}"/>
    <cellStyle name="Erklärender Text 20 2 2" xfId="34420" xr:uid="{96EACD17-DB15-4A2D-A7A2-27F1360584B7}"/>
    <cellStyle name="Erklärender Text 20 3" xfId="34419" xr:uid="{B8DA21C6-26D9-465A-92D7-12794E694500}"/>
    <cellStyle name="Erklärender Text 21" xfId="14984" xr:uid="{B4A8565A-7710-4B56-8000-B41AB33FA30E}"/>
    <cellStyle name="Erklärender Text 21 2" xfId="14985" xr:uid="{EAEC3F68-06E9-4FD6-8C7F-359E1571B37B}"/>
    <cellStyle name="Erklärender Text 21 2 2" xfId="34422" xr:uid="{0BB0CADA-9121-481A-A2BC-5BBEE778CB83}"/>
    <cellStyle name="Erklärender Text 21 3" xfId="34421" xr:uid="{12F23669-72AE-42E6-81B2-49A6885EE2C5}"/>
    <cellStyle name="Erklärender Text 22" xfId="14986" xr:uid="{5B2FB649-99A5-488E-A262-4ECFE5BA4447}"/>
    <cellStyle name="Erklärender Text 22 2" xfId="14987" xr:uid="{099E4FC5-2771-405C-ABD6-4B6DB52EBA61}"/>
    <cellStyle name="Erklärender Text 22 2 2" xfId="34424" xr:uid="{F3C1248C-679F-4DD4-B2C6-4DD1FCC02515}"/>
    <cellStyle name="Erklärender Text 22 3" xfId="34423" xr:uid="{AC384DBD-4E29-487A-B977-8C54C124FCB9}"/>
    <cellStyle name="Erklärender Text 23" xfId="14988" xr:uid="{3878AC4E-8A71-4799-BEFB-A38DF070CB80}"/>
    <cellStyle name="Erklärender Text 23 2" xfId="14989" xr:uid="{946D2706-1DD1-4ED2-91DF-CD1689F368FD}"/>
    <cellStyle name="Erklärender Text 23 2 2" xfId="34426" xr:uid="{2FFC8D98-4E78-4F6D-99CF-D9FCCA295938}"/>
    <cellStyle name="Erklärender Text 23 3" xfId="34425" xr:uid="{F695BBC4-B185-4FC4-A2B6-4FC48BED4C1F}"/>
    <cellStyle name="Erklärender Text 24" xfId="14990" xr:uid="{5DA236DE-F698-4254-8B51-868CBFA6AD1E}"/>
    <cellStyle name="Erklärender Text 24 2" xfId="14991" xr:uid="{CFA8B00D-93FB-459B-85F3-34B7DFB384E7}"/>
    <cellStyle name="Erklärender Text 24 2 2" xfId="34428" xr:uid="{C8570C01-B72C-4821-BE04-FABBC036914C}"/>
    <cellStyle name="Erklärender Text 24 3" xfId="34427" xr:uid="{E7D611C9-1C47-4743-80BA-B34019C2F3BD}"/>
    <cellStyle name="Erklärender Text 25" xfId="14992" xr:uid="{848FEDB0-AA3E-4342-8A02-1D1E6A695D6F}"/>
    <cellStyle name="Erklärender Text 25 2" xfId="14993" xr:uid="{25923028-A132-45DE-AB7B-624E2FCA0322}"/>
    <cellStyle name="Erklärender Text 25 2 2" xfId="34430" xr:uid="{664C68BE-7164-4488-80E4-932E5A705989}"/>
    <cellStyle name="Erklärender Text 25 3" xfId="34429" xr:uid="{06C680A7-2AF9-4D05-85F3-12BBE722E7EF}"/>
    <cellStyle name="Erklärender Text 26" xfId="14994" xr:uid="{40630C48-5D91-4623-AAD0-215082E2A0DB}"/>
    <cellStyle name="Erklärender Text 26 2" xfId="14995" xr:uid="{011BC0C2-590D-45D3-8876-A36B3A5BC80F}"/>
    <cellStyle name="Erklärender Text 26 2 2" xfId="34432" xr:uid="{F946E86A-4376-4FDE-9D10-12472B936108}"/>
    <cellStyle name="Erklärender Text 26 3" xfId="34431" xr:uid="{2DB68D16-26C3-41C3-A649-7B5CC5D06055}"/>
    <cellStyle name="Erklärender Text 27" xfId="14996" xr:uid="{9537AA2B-2C38-46D4-B740-AD6FA4BA4A0D}"/>
    <cellStyle name="Erklärender Text 27 2" xfId="14997" xr:uid="{6B31FA46-853D-494D-BFE7-1A6F7AF7CDCB}"/>
    <cellStyle name="Erklärender Text 27 2 2" xfId="34434" xr:uid="{51024EEA-4BDC-4BA2-A2F1-9BE4EFA39B05}"/>
    <cellStyle name="Erklärender Text 27 3" xfId="34433" xr:uid="{364E58FA-D4E9-4588-AAAE-7C25A25955A7}"/>
    <cellStyle name="Erklärender Text 28" xfId="14998" xr:uid="{EC63CA81-4161-4A6F-B4B9-B98FEF814C53}"/>
    <cellStyle name="Erklärender Text 28 2" xfId="14999" xr:uid="{2001625B-FD7C-407F-A29B-203A192B5C73}"/>
    <cellStyle name="Erklärender Text 28 2 2" xfId="34436" xr:uid="{2F1598EC-55B0-4995-A839-8029B971AE4C}"/>
    <cellStyle name="Erklärender Text 28 3" xfId="34435" xr:uid="{AA70D584-FE03-418B-91AE-2CD612ACF1EA}"/>
    <cellStyle name="Erklärender Text 29" xfId="15000" xr:uid="{5B487779-33DA-4736-A2BA-7747DB39ED22}"/>
    <cellStyle name="Erklärender Text 29 2" xfId="15001" xr:uid="{0E3E4CE2-449E-407E-B2C3-5009459CBB8B}"/>
    <cellStyle name="Erklärender Text 29 2 2" xfId="34438" xr:uid="{17225F5C-1CD4-407F-9EEC-1A7CC66D96F3}"/>
    <cellStyle name="Erklärender Text 29 3" xfId="34437" xr:uid="{F0376919-5673-489F-B850-7215BE75BF6D}"/>
    <cellStyle name="Erklärender Text 3" xfId="15002" xr:uid="{D8B3EE8A-6B03-4FE5-926D-9F43D77FA460}"/>
    <cellStyle name="Erklärender Text 3 10" xfId="39446" xr:uid="{2FC40BF5-CAF1-4F08-ACD2-DABE00D532A8}"/>
    <cellStyle name="Erklärender Text 3 2" xfId="15003" xr:uid="{03B561B3-C51C-4763-B1F1-491A7E33E6EC}"/>
    <cellStyle name="Erklärender Text 3 2 2" xfId="15004" xr:uid="{4551EAF2-7E53-4D53-9B81-0EDDCB833563}"/>
    <cellStyle name="Erklärender Text 3 2 2 2" xfId="15005" xr:uid="{C7DE148C-3A3E-4AD5-8867-A6F50A5AF3F4}"/>
    <cellStyle name="Erklärender Text 3 2 2 2 2" xfId="34442" xr:uid="{9EF03B31-CC41-4D05-8BB1-F4C7A9B6BF2B}"/>
    <cellStyle name="Erklärender Text 3 2 2 3" xfId="34441" xr:uid="{568D65AE-B310-41A8-A592-71C40EEB4DF1}"/>
    <cellStyle name="Erklärender Text 3 2 3" xfId="15006" xr:uid="{2D2F253D-7313-4383-A797-8BFFCFDD3C58}"/>
    <cellStyle name="Erklärender Text 3 2 3 2" xfId="34443" xr:uid="{BBB8487B-57BA-47D5-9491-FAEF1B0970BA}"/>
    <cellStyle name="Erklärender Text 3 2 4" xfId="15007" xr:uid="{3FBC651B-5883-455A-AD39-BF945202E5F9}"/>
    <cellStyle name="Erklärender Text 3 2 4 2" xfId="34444" xr:uid="{FBDD6DFF-C0DA-46C1-B295-028C9AD81D21}"/>
    <cellStyle name="Erklärender Text 3 2 5" xfId="34440" xr:uid="{0ACCB506-F7B0-47BE-BFD6-E725555876ED}"/>
    <cellStyle name="Erklärender Text 3 2 6" xfId="40006" xr:uid="{A1C22E3D-F79C-4B66-BC75-843B943ABFE7}"/>
    <cellStyle name="Erklärender Text 3 3" xfId="15008" xr:uid="{17AB42BE-A5BC-4B2A-B738-B4EDA0150C1A}"/>
    <cellStyle name="Erklärender Text 3 3 2" xfId="34445" xr:uid="{922365A7-5282-4824-81BB-33EE53A0DAC2}"/>
    <cellStyle name="Erklärender Text 3 4" xfId="15009" xr:uid="{A737FCE2-427C-4255-A686-C0F9CE58C284}"/>
    <cellStyle name="Erklärender Text 3 4 2" xfId="34446" xr:uid="{407970A8-03AE-4C2A-9743-402A0C7A2DBB}"/>
    <cellStyle name="Erklärender Text 3 5" xfId="15010" xr:uid="{607579F6-A436-46C8-B63E-51697C9B2DF4}"/>
    <cellStyle name="Erklärender Text 3 5 2" xfId="15011" xr:uid="{3F0D3362-26E5-45CD-B7B3-2DBABF7A1F0E}"/>
    <cellStyle name="Erklärender Text 3 5 2 2" xfId="34448" xr:uid="{833B9728-2E91-4A43-8FF9-C3065042569D}"/>
    <cellStyle name="Erklärender Text 3 5 3" xfId="34447" xr:uid="{F2D6E5FC-F33F-4DFF-96DC-3FB35994EBAB}"/>
    <cellStyle name="Erklärender Text 3 6" xfId="15012" xr:uid="{065F9364-BB4C-4889-AAB0-83367C3A4982}"/>
    <cellStyle name="Erklärender Text 3 6 2" xfId="34449" xr:uid="{2575D3F7-562D-4BFA-9921-76DC8226694D}"/>
    <cellStyle name="Erklärender Text 3 7" xfId="15013" xr:uid="{57243700-6908-4250-B685-3B492769B1F8}"/>
    <cellStyle name="Erklärender Text 3 7 2" xfId="34450" xr:uid="{B2CE0C02-65B0-4B6B-B77E-D41A29FC5C63}"/>
    <cellStyle name="Erklärender Text 3 8" xfId="15014" xr:uid="{BD678F45-2507-4F75-AD11-32B68280B635}"/>
    <cellStyle name="Erklärender Text 3 8 2" xfId="34451" xr:uid="{26988456-92D9-4AE3-99AB-F7609410A4FD}"/>
    <cellStyle name="Erklärender Text 3 9" xfId="34439" xr:uid="{8E0C14E9-D8DA-401F-A90A-5DC221010C42}"/>
    <cellStyle name="Erklärender Text 30" xfId="15015" xr:uid="{AEA04A78-6FDF-474A-B743-977437CF1A4D}"/>
    <cellStyle name="Erklärender Text 30 2" xfId="15016" xr:uid="{6A488984-2A69-4586-9157-9819149BC25A}"/>
    <cellStyle name="Erklärender Text 30 2 2" xfId="34453" xr:uid="{3F295366-E0C4-40C9-8146-AC7EA357AED7}"/>
    <cellStyle name="Erklärender Text 30 3" xfId="34452" xr:uid="{B3AC3DBB-2F5E-447C-ADB3-3FE3098C45F5}"/>
    <cellStyle name="Erklärender Text 31" xfId="15017" xr:uid="{47038409-12DA-4CA3-B560-11054A25C191}"/>
    <cellStyle name="Erklärender Text 31 2" xfId="15018" xr:uid="{4601B296-E989-4DF7-B7D3-D29256208012}"/>
    <cellStyle name="Erklärender Text 31 2 2" xfId="34455" xr:uid="{33B03A0C-FC07-40E8-9DFE-2CFBDFF3D8CA}"/>
    <cellStyle name="Erklärender Text 31 3" xfId="34454" xr:uid="{3F2327CB-BE57-4E45-BBBA-1F6AFCCD7886}"/>
    <cellStyle name="Erklärender Text 32" xfId="15019" xr:uid="{FE32F509-35EC-44C3-B3CE-F96B3947A6BB}"/>
    <cellStyle name="Erklärender Text 32 2" xfId="15020" xr:uid="{7736B35B-494D-4966-96F7-96B6263919C9}"/>
    <cellStyle name="Erklärender Text 32 2 2" xfId="34457" xr:uid="{C0866CEA-3FAF-4A1E-9EEE-114DFD23030A}"/>
    <cellStyle name="Erklärender Text 32 3" xfId="34456" xr:uid="{DD745807-888E-4C71-A95E-9BAC1D1E1044}"/>
    <cellStyle name="Erklärender Text 33" xfId="15021" xr:uid="{9CB9B836-E6D0-4F85-A1FA-93E9DEE963B4}"/>
    <cellStyle name="Erklärender Text 33 2" xfId="15022" xr:uid="{C3CB1EC0-3F0E-48C7-B4F9-031361840F4C}"/>
    <cellStyle name="Erklärender Text 33 2 2" xfId="34459" xr:uid="{99B2CECA-47CC-4BD1-98D0-67A5282CECC6}"/>
    <cellStyle name="Erklärender Text 33 3" xfId="34458" xr:uid="{7568D5EF-4FCD-4C5B-A0D7-BCE9E56870C7}"/>
    <cellStyle name="Erklärender Text 34" xfId="15023" xr:uid="{496A39AD-D6F5-4335-B1F5-B2BEB5A6E20B}"/>
    <cellStyle name="Erklärender Text 34 2" xfId="15024" xr:uid="{9912A038-2B06-4A04-B0EE-75F0926FCB44}"/>
    <cellStyle name="Erklärender Text 34 2 2" xfId="34461" xr:uid="{0D08B497-506E-4D95-82A4-627070BA691F}"/>
    <cellStyle name="Erklärender Text 34 3" xfId="34460" xr:uid="{C5B7BDC9-9A4E-4CE8-AD13-C7A5D1C309C2}"/>
    <cellStyle name="Erklärender Text 35" xfId="15025" xr:uid="{0B106A61-3C5C-4549-82FD-8672E3EC85E7}"/>
    <cellStyle name="Erklärender Text 35 2" xfId="15026" xr:uid="{8D580288-DA93-4189-BD8C-5EEDD34DF5C5}"/>
    <cellStyle name="Erklärender Text 35 2 2" xfId="34463" xr:uid="{52E059D3-EE9D-41C6-83C9-92866432497C}"/>
    <cellStyle name="Erklärender Text 35 3" xfId="34462" xr:uid="{1E802855-86C8-4C6C-80CF-41C2AA1A2370}"/>
    <cellStyle name="Erklärender Text 36" xfId="15027" xr:uid="{0BE6A46C-6314-4B10-AD74-8C8878E8158D}"/>
    <cellStyle name="Erklärender Text 36 2" xfId="15028" xr:uid="{8E36C768-82CF-4C02-B26B-95A33ABEBCB6}"/>
    <cellStyle name="Erklärender Text 36 2 2" xfId="34465" xr:uid="{DA782A3F-8ECF-4B77-9071-A2D5F09655E5}"/>
    <cellStyle name="Erklärender Text 36 3" xfId="34464" xr:uid="{383F805F-A368-484D-B432-E9F5723B656C}"/>
    <cellStyle name="Erklärender Text 37" xfId="34339" xr:uid="{61FDC104-77DD-4C51-95D8-D89B7748C15E}"/>
    <cellStyle name="Erklärender Text 38" xfId="40417" xr:uid="{BC15B93F-BFB2-4FF1-885D-4619D395D08E}"/>
    <cellStyle name="Erklärender Text 39" xfId="14902" xr:uid="{6E315EAC-3E08-4D09-AD97-8A56A772CC84}"/>
    <cellStyle name="Erklärender Text 4" xfId="15029" xr:uid="{4EF4A188-E401-4903-91CE-059960EFD23B}"/>
    <cellStyle name="Erklärender Text 4 2" xfId="15030" xr:uid="{E728F3C3-F447-4A72-926A-5551C48B34B5}"/>
    <cellStyle name="Erklärender Text 4 2 2" xfId="15031" xr:uid="{915DC7CE-F477-4BB4-A598-C6A9C1561AFB}"/>
    <cellStyle name="Erklärender Text 4 2 2 2" xfId="34468" xr:uid="{4D6E314B-25C4-45FA-9BA0-D2666D199794}"/>
    <cellStyle name="Erklärender Text 4 2 3" xfId="34467" xr:uid="{A17C23EC-2E30-4050-B8F9-552623688194}"/>
    <cellStyle name="Erklärender Text 4 2 4" xfId="40007" xr:uid="{BAF9FC17-CDCA-4E5B-A6E6-D532AC61AB32}"/>
    <cellStyle name="Erklärender Text 4 3" xfId="15032" xr:uid="{2E798056-1334-44FA-A976-4DE5EC1D57FF}"/>
    <cellStyle name="Erklärender Text 4 3 2" xfId="34469" xr:uid="{2F963020-8F9F-4FDD-B225-A04B589DDFEF}"/>
    <cellStyle name="Erklärender Text 4 4" xfId="15033" xr:uid="{FB633246-ECC7-4D5F-8264-540458861C81}"/>
    <cellStyle name="Erklärender Text 4 4 2" xfId="34470" xr:uid="{5234ED6E-6AA4-49E7-B3B0-CACC820E8973}"/>
    <cellStyle name="Erklärender Text 4 5" xfId="15034" xr:uid="{AAC41838-11A2-4EF6-A20A-5C856C3A6FBA}"/>
    <cellStyle name="Erklärender Text 4 5 2" xfId="34471" xr:uid="{D89526DF-CA13-444B-A9AF-209F8ACA5C6A}"/>
    <cellStyle name="Erklärender Text 4 6" xfId="15035" xr:uid="{1051AB05-DA2E-4A6A-B040-141798055826}"/>
    <cellStyle name="Erklärender Text 4 6 2" xfId="34472" xr:uid="{04B05EA7-C9E4-4082-B19F-C0D41A5DBDCE}"/>
    <cellStyle name="Erklärender Text 4 7" xfId="34466" xr:uid="{EE7E38B7-62E4-43DD-83F5-9BB062716F47}"/>
    <cellStyle name="Erklärender Text 4 8" xfId="39447" xr:uid="{1C9A39DF-A204-431F-ACE6-30056869C1AE}"/>
    <cellStyle name="Erklärender Text 40" xfId="54" xr:uid="{7FB90324-1C7C-4A9E-8517-E3BDF7AEA5B7}"/>
    <cellStyle name="Erklärender Text 5" xfId="15036" xr:uid="{BFFF95B9-11D9-461C-8214-4F0561E02EB9}"/>
    <cellStyle name="Erklärender Text 5 2" xfId="15037" xr:uid="{FB4CF5E1-980F-4E14-90AF-421EDE00DD1C}"/>
    <cellStyle name="Erklärender Text 5 2 2" xfId="34474" xr:uid="{4644E891-8A74-4ABE-BC6E-7095DE0B7FF7}"/>
    <cellStyle name="Erklärender Text 5 3" xfId="15038" xr:uid="{6244CE79-6578-4D88-BAD7-887967007B49}"/>
    <cellStyle name="Erklärender Text 5 3 2" xfId="34475" xr:uid="{EB48FBFB-24C9-4ABE-9358-A18F5B25A3E3}"/>
    <cellStyle name="Erklärender Text 5 4" xfId="15039" xr:uid="{6B042287-3681-4A6A-819A-160528257D38}"/>
    <cellStyle name="Erklärender Text 5 4 2" xfId="34476" xr:uid="{FCC68037-54CA-4050-ACB5-A3BBE53B89C6}"/>
    <cellStyle name="Erklärender Text 5 5" xfId="34473" xr:uid="{771C289A-EA29-4210-A207-59D2A9709D75}"/>
    <cellStyle name="Erklärender Text 5 6" xfId="39443" xr:uid="{F1793E8D-790B-4E4F-9D11-CC04163C04EC}"/>
    <cellStyle name="Erklärender Text 6" xfId="15040" xr:uid="{11FAC0FB-D36D-458A-862D-EFBFDA80F831}"/>
    <cellStyle name="Erklärender Text 6 2" xfId="15041" xr:uid="{9AF7A102-E9DF-4724-AF7F-EEF4EF1F1B08}"/>
    <cellStyle name="Erklärender Text 6 2 2" xfId="34478" xr:uid="{CDC0349C-68E0-45CC-95CF-169656BB5CB0}"/>
    <cellStyle name="Erklärender Text 6 3" xfId="15042" xr:uid="{CFDF0F33-0673-49F1-B503-5CFE482490D5}"/>
    <cellStyle name="Erklärender Text 6 3 2" xfId="34479" xr:uid="{10BF44B1-E2C4-4698-945B-4EF109C8467A}"/>
    <cellStyle name="Erklärender Text 6 4" xfId="15043" xr:uid="{A26368DA-95E9-4BDD-913B-A57F570933BC}"/>
    <cellStyle name="Erklärender Text 6 4 2" xfId="34480" xr:uid="{D005D446-26A8-4133-9AE1-46EB7EEC2752}"/>
    <cellStyle name="Erklärender Text 6 5" xfId="34477" xr:uid="{80F7D607-4E97-4968-9DD5-166699418593}"/>
    <cellStyle name="Erklärender Text 7" xfId="15044" xr:uid="{E7039D1E-DBEA-404E-A2E2-907AA2B94D4E}"/>
    <cellStyle name="Erklärender Text 7 2" xfId="15045" xr:uid="{E0A32933-E037-414A-9449-539991B0364A}"/>
    <cellStyle name="Erklärender Text 7 2 2" xfId="34482" xr:uid="{8397C6F5-822B-4F56-9BC0-E781FDE5C567}"/>
    <cellStyle name="Erklärender Text 7 3" xfId="34481" xr:uid="{FED3F616-CE7D-4779-9A5A-A133D9496BD4}"/>
    <cellStyle name="Erklärender Text 8" xfId="15046" xr:uid="{4AC99DDA-2272-4AEB-821E-E3AFB4E16041}"/>
    <cellStyle name="Erklärender Text 8 2" xfId="15047" xr:uid="{DAE5882C-E2C8-42AE-8F64-D68BA30F6A67}"/>
    <cellStyle name="Erklärender Text 8 2 2" xfId="34484" xr:uid="{C71EBEE9-6A74-4FB4-B3D0-C4BF06CABCA5}"/>
    <cellStyle name="Erklärender Text 8 3" xfId="34483" xr:uid="{85EBDD70-0546-49F9-98FC-43E9D1E19B5E}"/>
    <cellStyle name="Erklärender Text 9" xfId="15048" xr:uid="{CA6EEA93-A533-4A8A-9C70-103AA12338E2}"/>
    <cellStyle name="Erklärender Text 9 2" xfId="15049" xr:uid="{8DAC0EEE-66F8-48A7-9C25-31EC6B693314}"/>
    <cellStyle name="Erklärender Text 9 2 2" xfId="34486" xr:uid="{0ED4E72A-99A0-41DA-9F1D-1FD12E90E518}"/>
    <cellStyle name="Erklärender Text 9 3" xfId="34485" xr:uid="{AFC8A44C-F62C-401E-A2C0-4CE0DEC611E9}"/>
    <cellStyle name="Gut 10" xfId="15051" xr:uid="{912C54C9-4927-4EBF-81E3-07EB94F88B21}"/>
    <cellStyle name="Gut 10 2" xfId="15052" xr:uid="{5F93BB82-4DED-4B3F-81A9-B2673F19D949}"/>
    <cellStyle name="Gut 10 2 2" xfId="34489" xr:uid="{523339A7-DDF9-4382-9074-98ADEC890024}"/>
    <cellStyle name="Gut 10 3" xfId="34488" xr:uid="{5535F309-4536-4C70-BBF6-4E2C437EEE40}"/>
    <cellStyle name="Gut 11" xfId="15053" xr:uid="{A478A41E-C9EC-4DC7-BBB6-370D0D07F803}"/>
    <cellStyle name="Gut 11 2" xfId="15054" xr:uid="{D0740AAF-9074-4753-AF40-758AC7E1B83D}"/>
    <cellStyle name="Gut 11 2 2" xfId="34491" xr:uid="{30D26987-DDA9-429C-B6A8-DF299C133971}"/>
    <cellStyle name="Gut 11 3" xfId="34490" xr:uid="{7B6B3FDD-606C-4CC7-B6DF-EFFD7A49D89E}"/>
    <cellStyle name="Gut 12" xfId="15055" xr:uid="{5BC1CB49-965D-4215-89C9-5581BD167774}"/>
    <cellStyle name="Gut 12 2" xfId="15056" xr:uid="{C818BC26-26AC-46E3-873C-62E54B23A746}"/>
    <cellStyle name="Gut 12 2 2" xfId="34493" xr:uid="{F487F4FB-FE72-4E0F-A1B5-CD3D065B5F74}"/>
    <cellStyle name="Gut 12 3" xfId="34492" xr:uid="{D3A0495E-1A42-4079-93DE-3700D9ECC3B2}"/>
    <cellStyle name="Gut 13" xfId="15057" xr:uid="{6D6E3C78-0731-4E8A-99DF-5E5051D40BC6}"/>
    <cellStyle name="Gut 13 2" xfId="15058" xr:uid="{B0DD3910-C3CA-4446-9327-1085ED6A57B4}"/>
    <cellStyle name="Gut 13 2 2" xfId="34495" xr:uid="{7B56A803-D748-4BDC-8144-E0710B636AF5}"/>
    <cellStyle name="Gut 13 3" xfId="34494" xr:uid="{D4D872EB-DF29-45A2-89DA-66EB61A3F460}"/>
    <cellStyle name="Gut 14" xfId="15059" xr:uid="{F3015629-41B4-4AC4-AC7C-3604F38C7CF7}"/>
    <cellStyle name="Gut 14 2" xfId="15060" xr:uid="{9DE9A243-DF4D-493C-87BE-3F78B08F0949}"/>
    <cellStyle name="Gut 14 2 2" xfId="34497" xr:uid="{8DCE21FE-0054-40C9-AE94-F464C6F47318}"/>
    <cellStyle name="Gut 14 3" xfId="34496" xr:uid="{AFFD58A6-4002-46B9-BAFA-E9DC4A0BD414}"/>
    <cellStyle name="Gut 15" xfId="15061" xr:uid="{92E27773-FC06-46A0-A777-FDF252BE264B}"/>
    <cellStyle name="Gut 15 2" xfId="15062" xr:uid="{0A24583D-5179-4C60-A628-5FEC9C8BA4A0}"/>
    <cellStyle name="Gut 15 2 2" xfId="34499" xr:uid="{D2F761F0-D049-47B3-B16C-A2A58F5B03F4}"/>
    <cellStyle name="Gut 15 3" xfId="34498" xr:uid="{627094F6-FB9F-417E-971C-41F67EFC0A7D}"/>
    <cellStyle name="Gut 16" xfId="15063" xr:uid="{E197FDB6-00D2-4879-8381-32C950D64235}"/>
    <cellStyle name="Gut 16 2" xfId="15064" xr:uid="{71DFDA88-7F0C-4CBB-BEAB-7F64849FE8C0}"/>
    <cellStyle name="Gut 16 2 2" xfId="34501" xr:uid="{D165167B-D1BD-443B-9B51-48580548A93C}"/>
    <cellStyle name="Gut 16 3" xfId="34500" xr:uid="{A6F3CE29-2C4E-408B-BB51-EA1805B257BD}"/>
    <cellStyle name="Gut 17" xfId="15065" xr:uid="{CFB86FC2-6B61-4C25-BEB3-CD7FF729CBC2}"/>
    <cellStyle name="Gut 17 2" xfId="15066" xr:uid="{F673906D-2E5C-477C-832A-30580807637B}"/>
    <cellStyle name="Gut 17 2 2" xfId="34503" xr:uid="{804F6C6F-D38D-492C-9EBC-2085C128E01D}"/>
    <cellStyle name="Gut 17 3" xfId="34502" xr:uid="{23E7F994-F141-4C94-8DF9-498DD6093C30}"/>
    <cellStyle name="Gut 18" xfId="15067" xr:uid="{A2093E7C-4D1C-4AD5-8493-76A4E51D1AA5}"/>
    <cellStyle name="Gut 18 2" xfId="15068" xr:uid="{3A41E41A-60DB-44C1-9C5D-B785ACB6FD5B}"/>
    <cellStyle name="Gut 18 2 2" xfId="34505" xr:uid="{BDEBD9D2-EA80-4CD7-853A-8B773C2A5144}"/>
    <cellStyle name="Gut 18 3" xfId="34504" xr:uid="{65DBC958-71E1-4713-A0D3-38A76D6EFAF0}"/>
    <cellStyle name="Gut 19" xfId="15069" xr:uid="{00EF6244-0800-43DA-8B98-78E6CAD01B30}"/>
    <cellStyle name="Gut 19 2" xfId="15070" xr:uid="{F055979C-60CD-4FE5-965E-2EC7CF53FC36}"/>
    <cellStyle name="Gut 19 2 2" xfId="34507" xr:uid="{FB76CD56-4A01-47EF-87BC-76249BA22D9E}"/>
    <cellStyle name="Gut 19 3" xfId="34506" xr:uid="{96E44848-15D0-4368-83E7-F37AC6309E12}"/>
    <cellStyle name="Gut 2" xfId="15071" xr:uid="{666C2472-A60D-4E22-A79F-E6638E067889}"/>
    <cellStyle name="Gut 2 10" xfId="15072" xr:uid="{7E6D6EE7-15D1-476D-B135-8F7D0EEBE4C2}"/>
    <cellStyle name="Gut 2 10 2" xfId="34509" xr:uid="{87D11A10-09C8-4CA7-B5A8-4B38B09C6931}"/>
    <cellStyle name="Gut 2 11" xfId="15073" xr:uid="{6645FE43-9372-497F-9B3E-75F79AD3F32B}"/>
    <cellStyle name="Gut 2 11 2" xfId="34510" xr:uid="{842B315A-7143-4023-94F2-8E5613FF442A}"/>
    <cellStyle name="Gut 2 12" xfId="15074" xr:uid="{1262399F-5C19-4E42-9BE4-922E5054C002}"/>
    <cellStyle name="Gut 2 12 2" xfId="34511" xr:uid="{983C0546-E1F5-45DE-9122-448DD8671A8F}"/>
    <cellStyle name="Gut 2 13" xfId="15075" xr:uid="{780A8CF0-E6F7-4020-A61A-ED2B7297C08A}"/>
    <cellStyle name="Gut 2 13 2" xfId="34512" xr:uid="{3935E927-FEB0-4FC9-BE01-9B609F78FA1F}"/>
    <cellStyle name="Gut 2 14" xfId="15076" xr:uid="{BD34147F-DEE6-4D93-BC50-C560DCC9402C}"/>
    <cellStyle name="Gut 2 14 2" xfId="34513" xr:uid="{EE5CBF2B-8C9A-437C-B3E6-39F3484AA729}"/>
    <cellStyle name="Gut 2 15" xfId="34508" xr:uid="{E9E5A197-B15A-479C-9F69-BDCA50930B6F}"/>
    <cellStyle name="Gut 2 16" xfId="39449" xr:uid="{0E99E9D0-202A-44A4-9143-044B28035BE0}"/>
    <cellStyle name="Gut 2 2" xfId="15077" xr:uid="{03B8E4D4-6479-4881-B830-1126E3989520}"/>
    <cellStyle name="Gut 2 2 10" xfId="15078" xr:uid="{FB7F9823-87C3-4D40-83CD-1F3B479AA031}"/>
    <cellStyle name="Gut 2 2 10 2" xfId="34515" xr:uid="{DEED5F81-42F0-430D-9365-7AAFE932DC24}"/>
    <cellStyle name="Gut 2 2 11" xfId="15079" xr:uid="{27E34CEB-BD5F-4291-AED3-159B8107C67C}"/>
    <cellStyle name="Gut 2 2 11 2" xfId="34516" xr:uid="{50E9329F-0BCB-492A-9184-DA574991ABEC}"/>
    <cellStyle name="Gut 2 2 12" xfId="15080" xr:uid="{0C78F4C7-6CFF-4C21-9641-392094C7E0A1}"/>
    <cellStyle name="Gut 2 2 12 2" xfId="34517" xr:uid="{88B3F2E2-C4AA-4183-8854-643C08562655}"/>
    <cellStyle name="Gut 2 2 13" xfId="34514" xr:uid="{E3778849-C223-4F13-BC1F-35576C589C0D}"/>
    <cellStyle name="Gut 2 2 14" xfId="39450" xr:uid="{0DEA9D23-5B48-44B4-AD20-26254CD12984}"/>
    <cellStyle name="Gut 2 2 2" xfId="15081" xr:uid="{F3934D92-03F3-4E27-A6B0-27691DA15637}"/>
    <cellStyle name="Gut 2 2 2 10" xfId="15082" xr:uid="{6EC6E42B-6406-45C3-8260-E43038A3B085}"/>
    <cellStyle name="Gut 2 2 2 10 2" xfId="34519" xr:uid="{9AE081C4-6B43-42D7-9976-D56FEADCB882}"/>
    <cellStyle name="Gut 2 2 2 11" xfId="34518" xr:uid="{07FD373E-8C57-4519-A2DD-7025BDF3A4F3}"/>
    <cellStyle name="Gut 2 2 2 2" xfId="15083" xr:uid="{74F2916C-4B90-464F-A4B1-AA8CBDF88C1A}"/>
    <cellStyle name="Gut 2 2 2 2 2" xfId="15084" xr:uid="{DA35FA1F-82E0-4210-8018-F3A79269E460}"/>
    <cellStyle name="Gut 2 2 2 2 2 2" xfId="15085" xr:uid="{48E9320E-7EC6-4375-9D46-7FBBD4251C23}"/>
    <cellStyle name="Gut 2 2 2 2 2 2 2" xfId="15086" xr:uid="{6F155BF8-DCA9-4238-92A9-0A4DC99A54FE}"/>
    <cellStyle name="Gut 2 2 2 2 2 2 2 2" xfId="34523" xr:uid="{5E8FEA2F-1463-4507-B979-A27F794A0A6D}"/>
    <cellStyle name="Gut 2 2 2 2 2 2 3" xfId="34522" xr:uid="{040107F7-58BF-4E0A-978A-A87221FCB3FD}"/>
    <cellStyle name="Gut 2 2 2 2 2 3" xfId="15087" xr:uid="{4ECD0ABB-9196-407B-8860-74143217A9A9}"/>
    <cellStyle name="Gut 2 2 2 2 2 3 2" xfId="34524" xr:uid="{1933EC3F-EC37-4A59-AAFC-DDB3F79C96E8}"/>
    <cellStyle name="Gut 2 2 2 2 2 4" xfId="15088" xr:uid="{60427DB0-B0E4-4CC2-AEA3-79CBAA5DB8A3}"/>
    <cellStyle name="Gut 2 2 2 2 2 4 2" xfId="34525" xr:uid="{D1BA37EE-5718-44F0-A4B1-2FF2E1321651}"/>
    <cellStyle name="Gut 2 2 2 2 2 5" xfId="15089" xr:uid="{3FF68948-8BA5-4B68-BF31-6DF63DAFFA01}"/>
    <cellStyle name="Gut 2 2 2 2 2 5 2" xfId="34526" xr:uid="{C2B66F46-33DC-483C-BC6D-5BB7F1DACD53}"/>
    <cellStyle name="Gut 2 2 2 2 2 6" xfId="15090" xr:uid="{B4CD3AED-3C31-48CB-AECA-7A07CE742B0C}"/>
    <cellStyle name="Gut 2 2 2 2 2 6 2" xfId="34527" xr:uid="{8B36A7CA-B70C-4E49-A884-60BACAF247FD}"/>
    <cellStyle name="Gut 2 2 2 2 2 7" xfId="15091" xr:uid="{D5C8D846-966C-4413-B2D6-E2F3F1610D70}"/>
    <cellStyle name="Gut 2 2 2 2 2 7 2" xfId="34528" xr:uid="{30F0A54E-D9FC-4C30-94BB-9E6CE0211F63}"/>
    <cellStyle name="Gut 2 2 2 2 2 8" xfId="15092" xr:uid="{91519771-CC97-49F6-9DC8-361192F0ED60}"/>
    <cellStyle name="Gut 2 2 2 2 2 8 2" xfId="34529" xr:uid="{C9B7AC20-3ABC-4572-9C6C-AD7FCFA64EE8}"/>
    <cellStyle name="Gut 2 2 2 2 2 9" xfId="34521" xr:uid="{BC796221-A0A3-444A-90DB-64D9B9730631}"/>
    <cellStyle name="Gut 2 2 2 2 3" xfId="15093" xr:uid="{9EE7698B-26F8-49D0-9BA0-5BF2471EE338}"/>
    <cellStyle name="Gut 2 2 2 2 3 2" xfId="15094" xr:uid="{FF5199C5-59B6-400E-968B-121EF771A715}"/>
    <cellStyle name="Gut 2 2 2 2 3 2 2" xfId="34531" xr:uid="{B2FC2653-EF67-4D3A-8D86-9FDB85B99737}"/>
    <cellStyle name="Gut 2 2 2 2 3 3" xfId="34530" xr:uid="{84D3092D-FC58-4DF5-89D7-DA145B09D792}"/>
    <cellStyle name="Gut 2 2 2 2 4" xfId="15095" xr:uid="{925D7A65-055E-4253-8228-FC2B019CA681}"/>
    <cellStyle name="Gut 2 2 2 2 4 2" xfId="34532" xr:uid="{DF032BE1-5019-4A3C-A112-279741712B7C}"/>
    <cellStyle name="Gut 2 2 2 2 5" xfId="15096" xr:uid="{E6A6830E-B14C-48FC-8F74-3F6DDFB9E7D8}"/>
    <cellStyle name="Gut 2 2 2 2 5 2" xfId="34533" xr:uid="{8152E987-441A-49C3-AC73-38C8787252DD}"/>
    <cellStyle name="Gut 2 2 2 2 6" xfId="15097" xr:uid="{497407E5-4971-46C4-B37D-718ECB041E80}"/>
    <cellStyle name="Gut 2 2 2 2 6 2" xfId="34534" xr:uid="{95F93F07-3974-4A6B-9AA1-D73B68711915}"/>
    <cellStyle name="Gut 2 2 2 2 7" xfId="15098" xr:uid="{19E465ED-5E7D-4073-ADDA-26B21A64CEA4}"/>
    <cellStyle name="Gut 2 2 2 2 7 2" xfId="34535" xr:uid="{FD9C8F7B-F384-410E-A8F6-98573979E447}"/>
    <cellStyle name="Gut 2 2 2 2 8" xfId="15099" xr:uid="{2AEDA3CA-4AF5-4331-984B-2A8822AA26FB}"/>
    <cellStyle name="Gut 2 2 2 2 8 2" xfId="34536" xr:uid="{2D7B2387-BB64-4A13-A792-61144E5E8699}"/>
    <cellStyle name="Gut 2 2 2 2 9" xfId="34520" xr:uid="{B9F22CCA-2B4B-48E0-8A8F-EC76C3AAD86B}"/>
    <cellStyle name="Gut 2 2 2 3" xfId="15100" xr:uid="{0EC5A6B4-B4EE-470C-820E-9AC108B225C9}"/>
    <cellStyle name="Gut 2 2 2 3 2" xfId="34537" xr:uid="{3E94F33E-465C-4B83-871A-973C132002FC}"/>
    <cellStyle name="Gut 2 2 2 4" xfId="15101" xr:uid="{C12A7682-87DA-4E79-B6EC-10728B8B218D}"/>
    <cellStyle name="Gut 2 2 2 4 2" xfId="34538" xr:uid="{E8663651-DF80-4B2D-A41D-B14B1C565FAA}"/>
    <cellStyle name="Gut 2 2 2 5" xfId="15102" xr:uid="{DDA01E06-53D2-4E47-B4B2-0DBEFB0667AC}"/>
    <cellStyle name="Gut 2 2 2 5 2" xfId="15103" xr:uid="{B748A241-0399-4BA4-8522-7E69400F8A82}"/>
    <cellStyle name="Gut 2 2 2 5 2 2" xfId="34540" xr:uid="{3C591D0D-15E6-4D60-A3D7-56519FDD079F}"/>
    <cellStyle name="Gut 2 2 2 5 3" xfId="34539" xr:uid="{FAE9BE06-7F03-4965-BAA7-E76FB0D747A9}"/>
    <cellStyle name="Gut 2 2 2 6" xfId="15104" xr:uid="{E5ED0F2F-28C7-468A-8695-B15056A96C0E}"/>
    <cellStyle name="Gut 2 2 2 6 2" xfId="34541" xr:uid="{E9FA9951-2EE2-48DC-81A8-671E8AD7A998}"/>
    <cellStyle name="Gut 2 2 2 7" xfId="15105" xr:uid="{DB2EA049-B3CE-4A86-B175-5F9F60A1160D}"/>
    <cellStyle name="Gut 2 2 2 7 2" xfId="34542" xr:uid="{94D4CD78-72AA-410C-8D8E-5B6374CCB7C0}"/>
    <cellStyle name="Gut 2 2 2 8" xfId="15106" xr:uid="{6B5E125F-48E9-48F3-AF42-B6E71D79E974}"/>
    <cellStyle name="Gut 2 2 2 8 2" xfId="34543" xr:uid="{13065EF1-81B6-40B4-AC82-BB5C81225FB3}"/>
    <cellStyle name="Gut 2 2 2 9" xfId="15107" xr:uid="{FF3698A4-8E71-4291-A7F8-65D7A6A1410B}"/>
    <cellStyle name="Gut 2 2 2 9 2" xfId="34544" xr:uid="{DA5D62D0-CC1C-4605-ACE3-17F0DF491FA1}"/>
    <cellStyle name="Gut 2 2 3" xfId="15108" xr:uid="{D44DC281-5D37-4383-8650-E46CC4F42DE3}"/>
    <cellStyle name="Gut 2 2 3 2" xfId="34545" xr:uid="{DA7B043E-2693-4844-8533-ACCE4F257DDC}"/>
    <cellStyle name="Gut 2 2 4" xfId="15109" xr:uid="{59588859-49A3-4C80-8495-8EFA1F8A739A}"/>
    <cellStyle name="Gut 2 2 4 2" xfId="34546" xr:uid="{B4C5BE6E-72FE-4799-8489-A4CEB4F158E9}"/>
    <cellStyle name="Gut 2 2 5" xfId="15110" xr:uid="{60E55BC8-076D-45CA-AC18-3246E26F6404}"/>
    <cellStyle name="Gut 2 2 5 2" xfId="15111" xr:uid="{D198C787-44AE-4970-A592-4BA6837543DC}"/>
    <cellStyle name="Gut 2 2 5 2 2" xfId="34548" xr:uid="{3047A358-9E17-4D14-9F2F-41C446A6D301}"/>
    <cellStyle name="Gut 2 2 5 3" xfId="34547" xr:uid="{EEC83F0E-9681-473D-AA16-DB7E2CE1ED59}"/>
    <cellStyle name="Gut 2 2 6" xfId="15112" xr:uid="{2D2F7E0F-C5B8-439A-A134-C84C2A73417A}"/>
    <cellStyle name="Gut 2 2 6 2" xfId="34549" xr:uid="{974E3D96-4A5A-448B-B8BE-ABF9921EE4C9}"/>
    <cellStyle name="Gut 2 2 7" xfId="15113" xr:uid="{4249C2DD-9C29-409B-ADF8-CAAEB5F7DA97}"/>
    <cellStyle name="Gut 2 2 7 2" xfId="15114" xr:uid="{E2782F28-65F0-49B7-8CE4-97A92D5D493D}"/>
    <cellStyle name="Gut 2 2 7 2 2" xfId="34551" xr:uid="{DE38D25E-3F3C-4CCC-90AE-7CBB1A716DC7}"/>
    <cellStyle name="Gut 2 2 7 3" xfId="34550" xr:uid="{6D0EE0EB-8E30-4B74-B71D-5F1C6F0B9048}"/>
    <cellStyle name="Gut 2 2 8" xfId="15115" xr:uid="{909D3451-B032-488D-B0A3-C6D74F76A7A6}"/>
    <cellStyle name="Gut 2 2 8 2" xfId="34552" xr:uid="{76CEC1FA-4DC0-465C-A98C-1A5F35C4FC4E}"/>
    <cellStyle name="Gut 2 2 9" xfId="15116" xr:uid="{FA84458B-D1E6-493D-B798-8621458B1E3D}"/>
    <cellStyle name="Gut 2 2 9 2" xfId="34553" xr:uid="{AAE34829-01A8-4B6D-B0B7-9A4E31DFABC1}"/>
    <cellStyle name="Gut 2 3" xfId="15117" xr:uid="{C144DC43-10B1-403D-B95D-319EDCAD7B76}"/>
    <cellStyle name="Gut 2 3 2" xfId="34554" xr:uid="{61FF230A-70C3-4882-A309-3D1F545C70E8}"/>
    <cellStyle name="Gut 2 4" xfId="15118" xr:uid="{978C14B0-3043-4293-A05B-380218F56BA0}"/>
    <cellStyle name="Gut 2 4 2" xfId="15119" xr:uid="{B2B6F2F2-44D6-438D-9D2C-0539BBA25DEB}"/>
    <cellStyle name="Gut 2 4 2 2" xfId="15120" xr:uid="{34B15501-9978-4BC5-8D97-C3426787E14A}"/>
    <cellStyle name="Gut 2 4 2 2 2" xfId="34557" xr:uid="{396799A6-50DF-46D0-B42C-35E10CD47619}"/>
    <cellStyle name="Gut 2 4 2 3" xfId="34556" xr:uid="{884C9500-9389-4250-9D91-A62EB8C1E27F}"/>
    <cellStyle name="Gut 2 4 3" xfId="15121" xr:uid="{A147E4EE-84DF-4909-A447-0322AE53C412}"/>
    <cellStyle name="Gut 2 4 3 2" xfId="34558" xr:uid="{664B1C17-2B23-49E0-8DFF-AC78A30C9E9E}"/>
    <cellStyle name="Gut 2 4 4" xfId="15122" xr:uid="{07664578-F800-420F-B6D3-6E921FFB1AEF}"/>
    <cellStyle name="Gut 2 4 4 2" xfId="34559" xr:uid="{63E5B8A3-2F37-416B-A5F3-003AAB18930F}"/>
    <cellStyle name="Gut 2 4 5" xfId="34555" xr:uid="{2B04D99A-8ADB-44EC-859D-DB8CAFA69D1E}"/>
    <cellStyle name="Gut 2 5" xfId="15123" xr:uid="{D627F82C-51E4-4989-812F-E42A3B720858}"/>
    <cellStyle name="Gut 2 5 2" xfId="34560" xr:uid="{8B03B7F3-F803-4D1C-955B-4B8361A17ECE}"/>
    <cellStyle name="Gut 2 6" xfId="15124" xr:uid="{0D351F21-0D41-4116-B5D4-9E64B12DAC37}"/>
    <cellStyle name="Gut 2 6 2" xfId="15125" xr:uid="{17A2F8B4-B3FC-4F33-A0CB-186B54C2BBBE}"/>
    <cellStyle name="Gut 2 6 2 2" xfId="34562" xr:uid="{A82C6197-8F03-480C-8A5A-CC0D2563DE1C}"/>
    <cellStyle name="Gut 2 6 3" xfId="34561" xr:uid="{38274980-57C9-44B7-B835-506C4F6D53DC}"/>
    <cellStyle name="Gut 2 7" xfId="15126" xr:uid="{16974131-448B-492D-A6B6-5C67F4BC4B69}"/>
    <cellStyle name="Gut 2 7 2" xfId="34563" xr:uid="{4A6D0147-70DF-4B8B-9EEB-A1B5BAB18AB9}"/>
    <cellStyle name="Gut 2 8" xfId="15127" xr:uid="{BE22E2E5-8BDC-4C18-89EE-95EA3DFAC7CE}"/>
    <cellStyle name="Gut 2 8 2" xfId="15128" xr:uid="{478E519A-98CF-479D-BB4A-5E801B8FB9C3}"/>
    <cellStyle name="Gut 2 8 2 2" xfId="34565" xr:uid="{D2E45C7E-6AF9-434F-84D9-5A1F39A50CE1}"/>
    <cellStyle name="Gut 2 8 3" xfId="34564" xr:uid="{A31BBA23-B03E-4B3C-886E-D9E20A00EB71}"/>
    <cellStyle name="Gut 2 9" xfId="15129" xr:uid="{8279289C-1E5E-4607-8399-F876DCA2E2BA}"/>
    <cellStyle name="Gut 2 9 2" xfId="34566" xr:uid="{B7FEA83E-2724-4293-A448-C643A0073175}"/>
    <cellStyle name="Gut 20" xfId="15130" xr:uid="{41F00F77-FD88-4195-B974-6BE4E10C31CC}"/>
    <cellStyle name="Gut 20 2" xfId="15131" xr:uid="{1F1BFD35-7FC8-4F13-B6C1-D2B051E927A5}"/>
    <cellStyle name="Gut 20 2 2" xfId="34568" xr:uid="{1DF87A1B-C036-4275-80F6-736AEBE8DAEC}"/>
    <cellStyle name="Gut 20 3" xfId="34567" xr:uid="{0BF03F5F-1B83-4DF1-8412-0D1B6EFF398D}"/>
    <cellStyle name="Gut 21" xfId="15132" xr:uid="{BAF0E0BA-F388-402E-BF6A-EE668BAC8D43}"/>
    <cellStyle name="Gut 21 2" xfId="15133" xr:uid="{991CB8E1-43D5-4F85-93AB-8A1023E605D4}"/>
    <cellStyle name="Gut 21 2 2" xfId="34570" xr:uid="{90FD1A5C-8388-4C3C-9F65-A47CCC3B4569}"/>
    <cellStyle name="Gut 21 3" xfId="34569" xr:uid="{C3F09251-5865-477A-88D6-BE53EF3A7947}"/>
    <cellStyle name="Gut 22" xfId="15134" xr:uid="{619C1EF7-1B69-42DF-9B12-2EF4329CAA03}"/>
    <cellStyle name="Gut 22 2" xfId="15135" xr:uid="{A397026C-8A30-4A31-85E2-30AA3D923973}"/>
    <cellStyle name="Gut 22 2 2" xfId="34572" xr:uid="{EC6AB187-B4D6-4025-BF83-ED419246D833}"/>
    <cellStyle name="Gut 22 3" xfId="34571" xr:uid="{6FDCF6AD-4EEC-49B8-A86D-D7D5DE3C0100}"/>
    <cellStyle name="Gut 23" xfId="15136" xr:uid="{921479DE-95B4-49F7-B289-BCB429119DED}"/>
    <cellStyle name="Gut 23 2" xfId="15137" xr:uid="{A75DEB4C-66F5-4960-B386-30E0C6A165FB}"/>
    <cellStyle name="Gut 23 2 2" xfId="34574" xr:uid="{E761AF51-6BFB-4BA0-B484-ACB6A1F5730E}"/>
    <cellStyle name="Gut 23 3" xfId="34573" xr:uid="{B0D1CBFD-0DAF-4CAA-8997-E8741D08FE0B}"/>
    <cellStyle name="Gut 24" xfId="15138" xr:uid="{60CD24E8-6264-44D0-A402-B18C3841F78F}"/>
    <cellStyle name="Gut 24 2" xfId="15139" xr:uid="{C6D03890-59A7-40E8-8220-B5563527BFE8}"/>
    <cellStyle name="Gut 24 2 2" xfId="34576" xr:uid="{0657163B-466E-4C9B-AE48-A75F150465F2}"/>
    <cellStyle name="Gut 24 3" xfId="34575" xr:uid="{2A96FB90-C609-4BF7-80CB-5C32FC5CFEFC}"/>
    <cellStyle name="Gut 25" xfId="15140" xr:uid="{EBE18695-9861-4AFA-A1B7-06F3C959423D}"/>
    <cellStyle name="Gut 25 2" xfId="15141" xr:uid="{94D87ECD-7FA0-434A-9209-67155126136F}"/>
    <cellStyle name="Gut 25 2 2" xfId="34578" xr:uid="{28E0DB7C-2EF5-48E8-A96B-EB2B36BA4F35}"/>
    <cellStyle name="Gut 25 3" xfId="34577" xr:uid="{B9AF580F-F252-4B9F-A044-511002E70648}"/>
    <cellStyle name="Gut 26" xfId="15142" xr:uid="{A75DE1DF-E29A-4F53-B014-D543DBD56A0E}"/>
    <cellStyle name="Gut 26 2" xfId="15143" xr:uid="{C287B6A4-745F-435C-A025-E9D9CE9D8413}"/>
    <cellStyle name="Gut 26 2 2" xfId="34580" xr:uid="{9BC63144-CCA2-47F3-8D37-7F93738C7188}"/>
    <cellStyle name="Gut 26 3" xfId="34579" xr:uid="{A173D991-7485-4D5A-967E-8343D19FF7DE}"/>
    <cellStyle name="Gut 27" xfId="15144" xr:uid="{D042B935-2F06-427F-A906-EF9B5589126E}"/>
    <cellStyle name="Gut 27 2" xfId="15145" xr:uid="{45AF347C-51E7-49A1-BE42-D719F54BACE8}"/>
    <cellStyle name="Gut 27 2 2" xfId="34582" xr:uid="{0AA8A3DA-8CFD-42B6-8CCE-668F45E821BA}"/>
    <cellStyle name="Gut 27 3" xfId="34581" xr:uid="{4F9478BA-11DC-4A14-A6B0-C2DEDBB8471F}"/>
    <cellStyle name="Gut 28" xfId="15146" xr:uid="{CF2E701E-059F-4B5D-A98E-B19887E46C74}"/>
    <cellStyle name="Gut 28 2" xfId="15147" xr:uid="{B29B790D-301C-4051-AAAB-13C059BCA1FB}"/>
    <cellStyle name="Gut 28 2 2" xfId="34584" xr:uid="{38E1BC7C-A643-486B-B393-C406D83C2B53}"/>
    <cellStyle name="Gut 28 3" xfId="34583" xr:uid="{1056683A-9EC9-40A6-8739-C76E4DFD8A7B}"/>
    <cellStyle name="Gut 29" xfId="15148" xr:uid="{16FDD8C4-6D50-47D6-8E5A-1017F7C1E646}"/>
    <cellStyle name="Gut 29 2" xfId="15149" xr:uid="{A6E33A32-7D9F-4D91-BD24-602C9D6F50DA}"/>
    <cellStyle name="Gut 29 2 2" xfId="34586" xr:uid="{D7D371FF-AAD6-43D8-A093-F4E43CA9AD8A}"/>
    <cellStyle name="Gut 29 3" xfId="34585" xr:uid="{5AF7F2BD-1D48-4521-8298-07E725CB43B8}"/>
    <cellStyle name="Gut 3" xfId="15150" xr:uid="{F325AA07-CB5A-41EC-8AD4-682001AF0523}"/>
    <cellStyle name="Gut 3 10" xfId="39451" xr:uid="{E301F2F7-E36C-4C86-9758-F3E9D1E5E579}"/>
    <cellStyle name="Gut 3 2" xfId="15151" xr:uid="{7978348C-54ED-4B89-BC4D-53AFB047AFE1}"/>
    <cellStyle name="Gut 3 2 2" xfId="15152" xr:uid="{07283144-044B-4379-9C8D-B5D858DDA743}"/>
    <cellStyle name="Gut 3 2 2 2" xfId="15153" xr:uid="{D7A5902A-CA4B-49FC-8BB7-1841A48F4FC2}"/>
    <cellStyle name="Gut 3 2 2 2 2" xfId="34590" xr:uid="{117D865D-DC5D-47D5-8F23-E8BC505AD1FC}"/>
    <cellStyle name="Gut 3 2 2 3" xfId="34589" xr:uid="{59A2EC9E-B87D-4C59-9D8F-575BEB69340C}"/>
    <cellStyle name="Gut 3 2 3" xfId="15154" xr:uid="{88B8A7EC-0CCE-4F9A-A53C-34754C25A9AF}"/>
    <cellStyle name="Gut 3 2 3 2" xfId="34591" xr:uid="{5148BC47-937F-4889-841F-0CEC06D08AED}"/>
    <cellStyle name="Gut 3 2 4" xfId="15155" xr:uid="{D550B456-5CEF-42DF-BEE7-4A8E5D39BBEB}"/>
    <cellStyle name="Gut 3 2 4 2" xfId="34592" xr:uid="{860E4C23-2064-47B8-828F-7DDDD6D1ABB1}"/>
    <cellStyle name="Gut 3 2 5" xfId="34588" xr:uid="{A65D97C3-64DE-4AAE-BAA1-C4D73FB2A798}"/>
    <cellStyle name="Gut 3 2 6" xfId="40008" xr:uid="{B12A32AB-00CF-4EF1-B2B3-CB9069887AB2}"/>
    <cellStyle name="Gut 3 3" xfId="15156" xr:uid="{CDF27EA5-CF0F-4331-BB93-7A919067B4B2}"/>
    <cellStyle name="Gut 3 3 2" xfId="34593" xr:uid="{00E112A8-E173-4607-937B-91267538DD7B}"/>
    <cellStyle name="Gut 3 4" xfId="15157" xr:uid="{AF6B5435-D5DF-47AE-A8AA-CD16F378817F}"/>
    <cellStyle name="Gut 3 4 2" xfId="34594" xr:uid="{17F4E84F-BFA4-44DA-925E-F3CE2127FE7D}"/>
    <cellStyle name="Gut 3 5" xfId="15158" xr:uid="{768E9150-0A34-49DE-B1AA-F579B6B6F09C}"/>
    <cellStyle name="Gut 3 5 2" xfId="15159" xr:uid="{21C7C8F2-C1D7-460A-91CB-D6F3A73A63C7}"/>
    <cellStyle name="Gut 3 5 2 2" xfId="34596" xr:uid="{0CEA483E-9B4A-474F-AC97-7E410C8749F4}"/>
    <cellStyle name="Gut 3 5 3" xfId="34595" xr:uid="{6F6F0E37-6EAB-4464-AB7C-0BC4969D4A4A}"/>
    <cellStyle name="Gut 3 6" xfId="15160" xr:uid="{79842CE2-085A-49D2-85F6-A94B8EE352BB}"/>
    <cellStyle name="Gut 3 6 2" xfId="34597" xr:uid="{8372D2A9-2658-4B40-8CF9-E370C100BB26}"/>
    <cellStyle name="Gut 3 7" xfId="15161" xr:uid="{2B4FF56E-6DA0-4986-815F-875871820821}"/>
    <cellStyle name="Gut 3 7 2" xfId="34598" xr:uid="{90C0E29F-FF16-411F-A8FC-F42B05D22074}"/>
    <cellStyle name="Gut 3 8" xfId="15162" xr:uid="{841769D1-445D-49D2-90BA-736E7F48A7F4}"/>
    <cellStyle name="Gut 3 8 2" xfId="34599" xr:uid="{F6D92603-6309-4C03-89CF-EFB6A97FCAD1}"/>
    <cellStyle name="Gut 3 9" xfId="34587" xr:uid="{BB796155-84AB-49B7-B7FA-766B682EECE4}"/>
    <cellStyle name="Gut 30" xfId="15163" xr:uid="{0031B26F-626F-4955-95C2-7E6B5835AF5C}"/>
    <cellStyle name="Gut 30 2" xfId="15164" xr:uid="{FC10BA55-17F4-49DF-8743-F6A673AB13F8}"/>
    <cellStyle name="Gut 30 2 2" xfId="34601" xr:uid="{E20716E5-DAEE-4880-9ECB-7605E4DB8C7F}"/>
    <cellStyle name="Gut 30 3" xfId="34600" xr:uid="{0505961C-F2D9-475D-B71E-3A761C701B08}"/>
    <cellStyle name="Gut 31" xfId="15165" xr:uid="{0CB1223D-290D-41B5-B4FC-0BF05F1250B1}"/>
    <cellStyle name="Gut 31 2" xfId="15166" xr:uid="{05978094-FE54-4474-B782-B548D711D42F}"/>
    <cellStyle name="Gut 31 2 2" xfId="34603" xr:uid="{223060F0-08EC-4A3D-BC0C-CC4247728F3A}"/>
    <cellStyle name="Gut 31 3" xfId="34602" xr:uid="{035D5CAC-5506-443C-A2EF-48F56E0CC5EE}"/>
    <cellStyle name="Gut 32" xfId="15167" xr:uid="{F8A82949-1D3E-41D6-B28D-B1D14C46166A}"/>
    <cellStyle name="Gut 32 2" xfId="15168" xr:uid="{762FFDF3-9F45-4379-9215-436B98867182}"/>
    <cellStyle name="Gut 32 2 2" xfId="34605" xr:uid="{6297611B-C250-4E01-AA00-2541F7B94A3D}"/>
    <cellStyle name="Gut 32 3" xfId="34604" xr:uid="{C83B5E40-391A-484F-8591-55126820653D}"/>
    <cellStyle name="Gut 33" xfId="15169" xr:uid="{0D1ECF21-D975-41C2-9330-02E368F29F36}"/>
    <cellStyle name="Gut 33 2" xfId="15170" xr:uid="{BEE6659B-CD0F-4A19-960D-A4A1B56E1870}"/>
    <cellStyle name="Gut 33 2 2" xfId="34607" xr:uid="{BB517FFF-BD62-4855-9865-22574948C729}"/>
    <cellStyle name="Gut 33 3" xfId="34606" xr:uid="{08BF05D9-D614-48F7-BE1F-422D6E170747}"/>
    <cellStyle name="Gut 34" xfId="15171" xr:uid="{8735A8C8-6CDB-451A-8C43-E1A2AB80C5E0}"/>
    <cellStyle name="Gut 34 2" xfId="15172" xr:uid="{4E2DA4E4-ADB6-4646-8C7D-E93D1B913436}"/>
    <cellStyle name="Gut 34 2 2" xfId="34609" xr:uid="{E8595E8D-63B7-4611-880B-93EA95AA4E7D}"/>
    <cellStyle name="Gut 34 3" xfId="34608" xr:uid="{312007D7-C369-40AB-8EE9-E3FF5228B560}"/>
    <cellStyle name="Gut 35" xfId="15173" xr:uid="{22E00E57-EC77-4D4A-A31D-8C20BF802E13}"/>
    <cellStyle name="Gut 35 2" xfId="15174" xr:uid="{9664CDBA-C8C7-4C75-923B-553D6A5C7FC9}"/>
    <cellStyle name="Gut 35 2 2" xfId="34611" xr:uid="{7973E63E-C8E2-41FD-AC60-0E6F9C6037CE}"/>
    <cellStyle name="Gut 35 3" xfId="34610" xr:uid="{90623DC8-59C4-4B98-B8DD-D28235B7FE6B}"/>
    <cellStyle name="Gut 36" xfId="15175" xr:uid="{8A93AA23-1C96-4DCA-A30F-E691FF84834D}"/>
    <cellStyle name="Gut 36 2" xfId="15176" xr:uid="{A0A5D5BD-C68A-4A25-B074-4DBD9EBFC425}"/>
    <cellStyle name="Gut 36 2 2" xfId="34613" xr:uid="{BF8D99FF-9C00-483F-94D3-733B1614707C}"/>
    <cellStyle name="Gut 36 3" xfId="34612" xr:uid="{C7C1ABC1-6FAC-4357-A66B-0F327AA7D404}"/>
    <cellStyle name="Gut 37" xfId="34487" xr:uid="{865F39EF-4B86-4D41-909C-23F259043CBD}"/>
    <cellStyle name="Gut 38" xfId="40407" xr:uid="{86F6F72A-E6EE-4D77-9BF3-4327D15B509E}"/>
    <cellStyle name="Gut 39" xfId="15050" xr:uid="{801ADDFF-D6E0-4428-BB12-99C07C8700A1}"/>
    <cellStyle name="Gut 4" xfId="15177" xr:uid="{56494A94-7C3C-45FB-82EC-323414353A35}"/>
    <cellStyle name="Gut 4 2" xfId="15178" xr:uid="{16418E2C-A95B-42C8-849C-0A5C47B6B417}"/>
    <cellStyle name="Gut 4 2 2" xfId="15179" xr:uid="{87D12B5D-3489-4EDE-A72F-70E6C09BEA45}"/>
    <cellStyle name="Gut 4 2 2 2" xfId="34616" xr:uid="{861795ED-95F2-41F3-9EE6-75055EA79B32}"/>
    <cellStyle name="Gut 4 2 3" xfId="34615" xr:uid="{A98C9645-1031-4814-B56F-7F83E2638B46}"/>
    <cellStyle name="Gut 4 2 4" xfId="40009" xr:uid="{798E0DB7-6891-4627-9CB3-F059E650D88C}"/>
    <cellStyle name="Gut 4 3" xfId="15180" xr:uid="{BDB4D39B-6E4F-4F7F-875E-48903D875B5A}"/>
    <cellStyle name="Gut 4 3 2" xfId="34617" xr:uid="{E92E33DF-ADE4-4C36-B65C-5B9B1964385A}"/>
    <cellStyle name="Gut 4 4" xfId="15181" xr:uid="{96E4595E-05E7-488C-B503-8BCA563AC4BD}"/>
    <cellStyle name="Gut 4 4 2" xfId="34618" xr:uid="{AC5853EE-D007-4514-91E1-CF1EAC32A005}"/>
    <cellStyle name="Gut 4 5" xfId="15182" xr:uid="{F60437D0-9E02-402B-AF00-D0D6C29B21DC}"/>
    <cellStyle name="Gut 4 5 2" xfId="34619" xr:uid="{0CD004D7-B075-4011-9CDB-DE698B59DB86}"/>
    <cellStyle name="Gut 4 6" xfId="15183" xr:uid="{D3052D0D-B990-4086-B4EE-F978112CC48E}"/>
    <cellStyle name="Gut 4 6 2" xfId="34620" xr:uid="{682B9F93-0B52-4413-B2E2-60BE774411AB}"/>
    <cellStyle name="Gut 4 7" xfId="34614" xr:uid="{066F73BA-B834-45AC-98CA-B52BBA926503}"/>
    <cellStyle name="Gut 4 8" xfId="39452" xr:uid="{59846E2D-10EF-40E1-BF60-DFD7C626AA2E}"/>
    <cellStyle name="Gut 40" xfId="45" xr:uid="{33A7A2D7-D61D-468C-9AF6-60602DBABFCA}"/>
    <cellStyle name="Gut 5" xfId="15184" xr:uid="{36BD3C63-0967-46FB-B810-D1A96B133013}"/>
    <cellStyle name="Gut 5 2" xfId="15185" xr:uid="{F09CAB53-1922-4BD3-ACC2-F516AF76F670}"/>
    <cellStyle name="Gut 5 2 2" xfId="34622" xr:uid="{E72DB961-3973-4D59-A21E-3733444BC65D}"/>
    <cellStyle name="Gut 5 3" xfId="15186" xr:uid="{A4994EA9-08FD-4814-A49A-2C8EF102D4C6}"/>
    <cellStyle name="Gut 5 3 2" xfId="34623" xr:uid="{4D0A7BE2-4997-45C1-9E6E-32ACED8AC146}"/>
    <cellStyle name="Gut 5 4" xfId="15187" xr:uid="{D199C28A-96BC-435F-B42B-4C1DD87E4597}"/>
    <cellStyle name="Gut 5 4 2" xfId="34624" xr:uid="{52C7F618-47E9-4F4D-8CEA-F45356147327}"/>
    <cellStyle name="Gut 5 5" xfId="34621" xr:uid="{A0D5355A-C209-4E42-8880-25C0826EEB0B}"/>
    <cellStyle name="Gut 5 6" xfId="39448" xr:uid="{DB58DEF2-48BE-4264-8862-E032EEC64F6F}"/>
    <cellStyle name="Gut 6" xfId="15188" xr:uid="{8B46CC78-DF4B-4CF4-9BDE-8D35C4600028}"/>
    <cellStyle name="Gut 6 2" xfId="15189" xr:uid="{0995612B-0CE8-4D90-A00D-725F659EE890}"/>
    <cellStyle name="Gut 6 2 2" xfId="34626" xr:uid="{CA30F94E-9A28-4662-857E-8E116201A378}"/>
    <cellStyle name="Gut 6 3" xfId="15190" xr:uid="{980F8F8A-E2E1-428D-8490-8BB73C22BC8B}"/>
    <cellStyle name="Gut 6 3 2" xfId="34627" xr:uid="{8C2624A5-56DC-4B06-881E-BBE0FB62B413}"/>
    <cellStyle name="Gut 6 4" xfId="15191" xr:uid="{252BC53C-3411-4D8F-9B7D-6E27AE9CFF15}"/>
    <cellStyle name="Gut 6 4 2" xfId="34628" xr:uid="{C8849FA6-F520-4560-AA43-5A56DCDF3CAB}"/>
    <cellStyle name="Gut 6 5" xfId="34625" xr:uid="{4FF31CDA-FA36-4463-BF9D-39506BB82785}"/>
    <cellStyle name="Gut 7" xfId="15192" xr:uid="{C9B3BB0D-988B-422C-B555-F96DE5FE780A}"/>
    <cellStyle name="Gut 7 2" xfId="15193" xr:uid="{42245CCA-DB14-4EFE-B3EC-20B02C6A5326}"/>
    <cellStyle name="Gut 7 2 2" xfId="34630" xr:uid="{EE44B382-EEEF-4DA0-9805-CDCFDBC6D675}"/>
    <cellStyle name="Gut 7 3" xfId="34629" xr:uid="{217CCB9D-CE78-4AE2-AE0A-C565B70D5AC9}"/>
    <cellStyle name="Gut 8" xfId="15194" xr:uid="{6EEFD813-276E-48B1-91B4-417D14EFC4BF}"/>
    <cellStyle name="Gut 8 2" xfId="15195" xr:uid="{09EF9A07-F721-40A8-B3B7-DC5A308D6590}"/>
    <cellStyle name="Gut 8 2 2" xfId="34632" xr:uid="{5A61251A-5FA2-4EB0-8815-62D8F74DE4BF}"/>
    <cellStyle name="Gut 8 3" xfId="34631" xr:uid="{43DB7B58-CD42-48A1-B4A2-47BEE4D01EFC}"/>
    <cellStyle name="Gut 9" xfId="15196" xr:uid="{97F70E72-4CB7-4CC9-AF5E-782BCE7A8612}"/>
    <cellStyle name="Gut 9 2" xfId="15197" xr:uid="{13F99ACA-749F-4CCF-9D81-FBACAA932CAE}"/>
    <cellStyle name="Gut 9 2 2" xfId="34634" xr:uid="{7DAAD25D-9F1E-41E4-94CE-5775206B3421}"/>
    <cellStyle name="Gut 9 3" xfId="34633" xr:uid="{5874A57C-F46F-438A-AA57-1D020364A58E}"/>
    <cellStyle name="Komma 2" xfId="7" xr:uid="{00000000-0005-0000-0000-000000000000}"/>
    <cellStyle name="Komma 2 2" xfId="10" xr:uid="{00000000-0005-0000-0000-000001000000}"/>
    <cellStyle name="Komma 2 2 2" xfId="32" xr:uid="{FD55DB77-797F-4A3D-806F-216888B73770}"/>
    <cellStyle name="Komma 2 2 3" xfId="42203" xr:uid="{DAF46CBC-B767-40FC-BD93-E6EC8045320B}"/>
    <cellStyle name="Komma 2 2 4" xfId="42207" xr:uid="{0304F12F-7338-4E8D-90E9-4F5FE18675A4}"/>
    <cellStyle name="Komma 2 3" xfId="30" xr:uid="{0C5F5816-7FA8-4D81-8560-475D88019E05}"/>
    <cellStyle name="Komma 2 4" xfId="42201" xr:uid="{D5C4610E-D875-482A-8E4D-29E8890057CC}"/>
    <cellStyle name="Komma 2 5" xfId="42205" xr:uid="{EEC9B4E0-E6F8-4004-934A-CEED8437950F}"/>
    <cellStyle name="Komma 3" xfId="9" xr:uid="{00000000-0005-0000-0000-000002000000}"/>
    <cellStyle name="Komma 3 2" xfId="31" xr:uid="{7385E233-576D-4341-8E0F-88673FFF06F2}"/>
    <cellStyle name="Komma 3 3" xfId="42202" xr:uid="{FA258E4C-0D61-46ED-B00B-3820756EF574}"/>
    <cellStyle name="Komma 3 4" xfId="42206" xr:uid="{E8B7FEE4-4287-4998-9214-CA56918749C8}"/>
    <cellStyle name="Komma 4" xfId="29" xr:uid="{4B73C128-16DA-42FC-B582-968E831E2C79}"/>
    <cellStyle name="Komma 5" xfId="42200" xr:uid="{47E16D08-BA64-4A54-9D83-AD20090B9325}"/>
    <cellStyle name="Komma 6" xfId="42204" xr:uid="{D2FA1FC9-886D-4853-80F6-29A062B8D979}"/>
    <cellStyle name="Lien hypertexte" xfId="2" builtinId="8"/>
    <cellStyle name="Link 2" xfId="42180" xr:uid="{D2F0F422-1643-46A8-941D-6678729FC4AA}"/>
    <cellStyle name="Milliers" xfId="1" builtinId="3"/>
    <cellStyle name="Neutral 10" xfId="15199" xr:uid="{93F2294B-61C6-4E8A-86CC-C5769370EA12}"/>
    <cellStyle name="Neutral 10 2" xfId="15200" xr:uid="{9103E40D-5876-474B-B46E-3717B58A9D21}"/>
    <cellStyle name="Neutral 10 2 2" xfId="34637" xr:uid="{4FBCF7DF-25AB-4D1A-8DCB-A1B602B785E3}"/>
    <cellStyle name="Neutral 10 3" xfId="34636" xr:uid="{AD690D9A-99F3-4576-B2DD-12B17DC158FF}"/>
    <cellStyle name="Neutral 11" xfId="15201" xr:uid="{04BDBCBB-ADD7-48F2-BC82-85F01E302BA1}"/>
    <cellStyle name="Neutral 11 2" xfId="15202" xr:uid="{2380D34A-CA41-41AF-B662-9A8EA6F9AE73}"/>
    <cellStyle name="Neutral 11 2 2" xfId="34639" xr:uid="{DA582098-00F6-49C3-BF8B-A6DC5FF65702}"/>
    <cellStyle name="Neutral 11 3" xfId="34638" xr:uid="{5E770D59-BEE4-4029-A7C4-FFDC155383BE}"/>
    <cellStyle name="Neutral 12" xfId="15203" xr:uid="{E849702C-DE09-45FF-B5B1-EE54679440B1}"/>
    <cellStyle name="Neutral 12 2" xfId="15204" xr:uid="{3A086178-1A36-4EF5-9FED-E428DEAC584F}"/>
    <cellStyle name="Neutral 12 2 2" xfId="34641" xr:uid="{96CCE6CF-7630-425C-8311-9C3715C8B76F}"/>
    <cellStyle name="Neutral 12 3" xfId="34640" xr:uid="{7E3FD4D8-D802-410F-A327-78D71247038F}"/>
    <cellStyle name="Neutral 13" xfId="15205" xr:uid="{28148439-2003-4571-B4F1-4509D738F673}"/>
    <cellStyle name="Neutral 13 2" xfId="15206" xr:uid="{7C4B6A71-7BE8-4C75-9A4F-6987743AEEE1}"/>
    <cellStyle name="Neutral 13 2 2" xfId="34643" xr:uid="{9C0276F5-4EC9-47E1-A26A-F85A9A6E2E0E}"/>
    <cellStyle name="Neutral 13 3" xfId="34642" xr:uid="{2248F3CE-C0D1-45B6-B371-68EDC53BEFC3}"/>
    <cellStyle name="Neutral 14" xfId="15207" xr:uid="{5550709A-828E-4D57-AB7E-5644535C8C20}"/>
    <cellStyle name="Neutral 14 2" xfId="15208" xr:uid="{5199F90A-7620-415E-85C8-6F0779CEC60B}"/>
    <cellStyle name="Neutral 14 2 2" xfId="34645" xr:uid="{88B99987-A8AE-491E-8F98-20F8D08514A1}"/>
    <cellStyle name="Neutral 14 3" xfId="34644" xr:uid="{D7103844-D809-40D1-8327-9210E070A93E}"/>
    <cellStyle name="Neutral 15" xfId="15209" xr:uid="{B7BF44ED-C132-4350-8A92-1B34D75449D1}"/>
    <cellStyle name="Neutral 15 2" xfId="15210" xr:uid="{EB96A578-AEDC-425B-95CE-A0968257FDB9}"/>
    <cellStyle name="Neutral 15 2 2" xfId="34647" xr:uid="{78D8F6EC-F145-43FC-8DEC-5FA02AEAF075}"/>
    <cellStyle name="Neutral 15 3" xfId="34646" xr:uid="{91A315CD-83C3-4FA6-9582-F3C7C4E47286}"/>
    <cellStyle name="Neutral 16" xfId="15211" xr:uid="{CA0FCCE3-06F9-4372-9191-F76638220E61}"/>
    <cellStyle name="Neutral 16 2" xfId="15212" xr:uid="{15A180EA-5DB0-456B-B85B-77447C94A2DA}"/>
    <cellStyle name="Neutral 16 2 2" xfId="34649" xr:uid="{86E04AE0-F541-4420-922B-181AB1E9266D}"/>
    <cellStyle name="Neutral 16 3" xfId="34648" xr:uid="{C368460D-559A-4861-A722-A47E861AA35C}"/>
    <cellStyle name="Neutral 17" xfId="15213" xr:uid="{564AC8E4-B182-40B4-8120-3CE9806139AB}"/>
    <cellStyle name="Neutral 17 2" xfId="15214" xr:uid="{CD4B4A97-2079-4765-981C-CDE56963BED2}"/>
    <cellStyle name="Neutral 17 2 2" xfId="34651" xr:uid="{34136B2C-1EE9-4A36-BC6D-EB7D03111623}"/>
    <cellStyle name="Neutral 17 3" xfId="34650" xr:uid="{EE089E06-3576-4517-BF03-89B79465F6FA}"/>
    <cellStyle name="Neutral 18" xfId="15215" xr:uid="{D7A607A1-CDAF-4A58-B264-5AA81AFCAF57}"/>
    <cellStyle name="Neutral 18 2" xfId="15216" xr:uid="{21AE738F-6896-419A-8A56-37B18B29A01D}"/>
    <cellStyle name="Neutral 18 2 2" xfId="34653" xr:uid="{3FFE9D50-B320-4272-9D1F-E9C11FE7C19A}"/>
    <cellStyle name="Neutral 18 3" xfId="34652" xr:uid="{BDF2CF50-D9F9-4DA3-B772-EC6C442A9109}"/>
    <cellStyle name="Neutral 19" xfId="15217" xr:uid="{60301F16-CD97-404F-A92A-B59951C7BC12}"/>
    <cellStyle name="Neutral 19 2" xfId="15218" xr:uid="{72AF7D8F-E015-467C-A34D-ED43345B6D05}"/>
    <cellStyle name="Neutral 19 2 2" xfId="34655" xr:uid="{9C8B77FF-7EAD-407B-BF38-B6834AC2D8A5}"/>
    <cellStyle name="Neutral 19 3" xfId="34654" xr:uid="{61DC4506-60F2-4679-9295-E43902BB1099}"/>
    <cellStyle name="Neutral 2" xfId="15219" xr:uid="{55F0C7FA-8628-477A-845E-3A8E62938B33}"/>
    <cellStyle name="Neutral 2 10" xfId="15220" xr:uid="{1190A009-8D95-4159-A9AA-8EBB9EFCE4C6}"/>
    <cellStyle name="Neutral 2 10 2" xfId="34657" xr:uid="{953CB758-C31B-4D6D-998C-0D455FCF1A8E}"/>
    <cellStyle name="Neutral 2 11" xfId="15221" xr:uid="{5104EECC-C5BF-41DC-88E1-1FE131F6F3C1}"/>
    <cellStyle name="Neutral 2 11 2" xfId="34658" xr:uid="{7760D3AD-0473-4731-84CE-784435733E2E}"/>
    <cellStyle name="Neutral 2 12" xfId="15222" xr:uid="{13AE2ECC-6381-4D75-945E-07A7AAF099C6}"/>
    <cellStyle name="Neutral 2 12 2" xfId="34659" xr:uid="{A5380E81-F8DC-48FB-8551-18CD9E19E62C}"/>
    <cellStyle name="Neutral 2 13" xfId="15223" xr:uid="{1631A1EB-9F54-4054-A39E-DD8C05C1CB79}"/>
    <cellStyle name="Neutral 2 13 2" xfId="34660" xr:uid="{7463EA79-6C16-4EFE-96F9-6D36BF9297CD}"/>
    <cellStyle name="Neutral 2 14" xfId="15224" xr:uid="{B026F974-598B-4105-AE25-DC9082592708}"/>
    <cellStyle name="Neutral 2 14 2" xfId="34661" xr:uid="{D9DE1FEF-9A80-4F70-9EF5-2429E34BDF24}"/>
    <cellStyle name="Neutral 2 15" xfId="34656" xr:uid="{923AA992-82DA-42BD-BCF2-EC0A3F933B7F}"/>
    <cellStyle name="Neutral 2 16" xfId="39454" xr:uid="{A290BC08-D292-4B0B-8483-BA692E02366C}"/>
    <cellStyle name="Neutral 2 2" xfId="15225" xr:uid="{4978866E-02C7-4266-AA8B-FBE56407F28E}"/>
    <cellStyle name="Neutral 2 2 10" xfId="15226" xr:uid="{AFF26727-1F34-42E3-832F-63F069B5B48A}"/>
    <cellStyle name="Neutral 2 2 10 2" xfId="34663" xr:uid="{54AF47F3-E735-4939-88B1-9A05DD2E771D}"/>
    <cellStyle name="Neutral 2 2 11" xfId="15227" xr:uid="{CCC179DA-3286-41E3-BCBC-A7B2221E3120}"/>
    <cellStyle name="Neutral 2 2 11 2" xfId="34664" xr:uid="{9E32FE49-1D8A-4FB9-8DEC-CDB4F5569039}"/>
    <cellStyle name="Neutral 2 2 12" xfId="15228" xr:uid="{6104DB4B-9094-467F-8CF2-D07E254A9572}"/>
    <cellStyle name="Neutral 2 2 12 2" xfId="34665" xr:uid="{51C43823-254E-4C58-AEC4-07551B2F01F6}"/>
    <cellStyle name="Neutral 2 2 13" xfId="34662" xr:uid="{0DBF66A3-3345-4B90-93AA-4AA3713C256A}"/>
    <cellStyle name="Neutral 2 2 14" xfId="39455" xr:uid="{2D873945-9EEB-4876-A8D8-1D904A49325F}"/>
    <cellStyle name="Neutral 2 2 2" xfId="15229" xr:uid="{378A8D12-ED8C-49C7-B350-424665765BCD}"/>
    <cellStyle name="Neutral 2 2 2 10" xfId="15230" xr:uid="{360575A7-58DF-46B3-97D5-3D61D88B7D10}"/>
    <cellStyle name="Neutral 2 2 2 10 2" xfId="34667" xr:uid="{B9735427-5FC6-4467-BE24-39FE50C3DFFB}"/>
    <cellStyle name="Neutral 2 2 2 11" xfId="34666" xr:uid="{CB877C38-4B33-4771-A7BF-6410951FF7F5}"/>
    <cellStyle name="Neutral 2 2 2 2" xfId="15231" xr:uid="{92A4D920-E009-461B-961A-563F25AF7891}"/>
    <cellStyle name="Neutral 2 2 2 2 2" xfId="15232" xr:uid="{B7D92158-7DD0-47E1-86CA-214ED0ED7965}"/>
    <cellStyle name="Neutral 2 2 2 2 2 2" xfId="15233" xr:uid="{CF0F335A-2B71-46DF-80A3-13C2E5C118A5}"/>
    <cellStyle name="Neutral 2 2 2 2 2 2 2" xfId="15234" xr:uid="{E83D18AE-C5CE-4821-81ED-6B8C633BE672}"/>
    <cellStyle name="Neutral 2 2 2 2 2 2 2 2" xfId="34671" xr:uid="{3AAD1C6D-8BB7-49BC-A719-E56BC6619346}"/>
    <cellStyle name="Neutral 2 2 2 2 2 2 3" xfId="34670" xr:uid="{0D3C209F-D12E-49EA-8EBA-A37804C6E10F}"/>
    <cellStyle name="Neutral 2 2 2 2 2 3" xfId="15235" xr:uid="{828354A3-E8DE-40DE-BFEB-04745081C386}"/>
    <cellStyle name="Neutral 2 2 2 2 2 3 2" xfId="34672" xr:uid="{DBDCD74B-6949-438C-956A-74AD0507E73E}"/>
    <cellStyle name="Neutral 2 2 2 2 2 4" xfId="15236" xr:uid="{3B5360C0-683D-40C5-AAD7-F90EE6AE88A1}"/>
    <cellStyle name="Neutral 2 2 2 2 2 4 2" xfId="34673" xr:uid="{A73BD70B-EA63-450C-A777-80CC5D3BE16D}"/>
    <cellStyle name="Neutral 2 2 2 2 2 5" xfId="15237" xr:uid="{62BB0B94-D0A1-42CD-BEF4-79D232C39ED3}"/>
    <cellStyle name="Neutral 2 2 2 2 2 5 2" xfId="34674" xr:uid="{B932CE41-3CD8-4C5F-9433-C674CE472027}"/>
    <cellStyle name="Neutral 2 2 2 2 2 6" xfId="15238" xr:uid="{118FC832-A5B3-40A2-A9A5-B8F08D29E8F8}"/>
    <cellStyle name="Neutral 2 2 2 2 2 6 2" xfId="34675" xr:uid="{3DCAB62E-6C3D-47BC-937F-CFB0EDB7E851}"/>
    <cellStyle name="Neutral 2 2 2 2 2 7" xfId="15239" xr:uid="{1A042BAD-A872-4241-B67D-C906025810E3}"/>
    <cellStyle name="Neutral 2 2 2 2 2 7 2" xfId="34676" xr:uid="{7845BB77-27DB-4A83-B65C-E2459A817154}"/>
    <cellStyle name="Neutral 2 2 2 2 2 8" xfId="15240" xr:uid="{D9BC403A-5CD3-45E6-B9AE-494BF5FFF0F4}"/>
    <cellStyle name="Neutral 2 2 2 2 2 8 2" xfId="34677" xr:uid="{30C7FEAF-3D2A-49A2-A47D-4E77F38E5734}"/>
    <cellStyle name="Neutral 2 2 2 2 2 9" xfId="34669" xr:uid="{B30A7B45-1151-4687-A197-47ADFF999008}"/>
    <cellStyle name="Neutral 2 2 2 2 3" xfId="15241" xr:uid="{C10AB337-16CF-4D5A-B985-20519B6F31A0}"/>
    <cellStyle name="Neutral 2 2 2 2 3 2" xfId="15242" xr:uid="{CEF9FAFA-7D2D-4369-A3D2-6E58F545F5D4}"/>
    <cellStyle name="Neutral 2 2 2 2 3 2 2" xfId="34679" xr:uid="{31F04413-AC92-4F91-BB9B-1CB1DBA15881}"/>
    <cellStyle name="Neutral 2 2 2 2 3 3" xfId="34678" xr:uid="{D8A5108C-E026-4EF6-A408-4D2D770C35D8}"/>
    <cellStyle name="Neutral 2 2 2 2 4" xfId="15243" xr:uid="{91706F89-125F-4A52-9C7B-D689C16A7EFB}"/>
    <cellStyle name="Neutral 2 2 2 2 4 2" xfId="34680" xr:uid="{853C2DA0-F070-4E07-AD98-8C8CE06FF1F3}"/>
    <cellStyle name="Neutral 2 2 2 2 5" xfId="15244" xr:uid="{52E6909D-747A-4EDB-97F5-D774DF755F5C}"/>
    <cellStyle name="Neutral 2 2 2 2 5 2" xfId="34681" xr:uid="{51251EB8-705D-4C20-864B-82ED8E1E99E6}"/>
    <cellStyle name="Neutral 2 2 2 2 6" xfId="15245" xr:uid="{06A6D2C5-4521-4D6F-A246-9D42C352A6AB}"/>
    <cellStyle name="Neutral 2 2 2 2 6 2" xfId="34682" xr:uid="{00E71BCD-A726-4B59-9AE8-2ADD42AD2DE1}"/>
    <cellStyle name="Neutral 2 2 2 2 7" xfId="15246" xr:uid="{CD0E92EA-BA20-40E2-8F67-F5C9D54D1C73}"/>
    <cellStyle name="Neutral 2 2 2 2 7 2" xfId="34683" xr:uid="{6D55AC50-8907-4847-A7F8-9AA93E0EFE87}"/>
    <cellStyle name="Neutral 2 2 2 2 8" xfId="15247" xr:uid="{324029BB-C144-4B31-AC06-E8FF0FB57759}"/>
    <cellStyle name="Neutral 2 2 2 2 8 2" xfId="34684" xr:uid="{D3051D56-7A2E-4F8B-9D9A-6D34BF240663}"/>
    <cellStyle name="Neutral 2 2 2 2 9" xfId="34668" xr:uid="{3F1006D4-3EE8-4303-A4CD-05569E83D03F}"/>
    <cellStyle name="Neutral 2 2 2 3" xfId="15248" xr:uid="{7F67209F-CBE7-414F-A0E6-B2DE39C97EB5}"/>
    <cellStyle name="Neutral 2 2 2 3 2" xfId="34685" xr:uid="{106369BA-3F33-4F7C-9B87-EE43B6F5862C}"/>
    <cellStyle name="Neutral 2 2 2 4" xfId="15249" xr:uid="{CA11678D-1574-4C2C-91B4-2BD2966168BE}"/>
    <cellStyle name="Neutral 2 2 2 4 2" xfId="34686" xr:uid="{A712999F-8F50-468A-8479-19C4F9E34178}"/>
    <cellStyle name="Neutral 2 2 2 5" xfId="15250" xr:uid="{9C72DA0D-66C1-42A2-A5D7-BFE8A51728B9}"/>
    <cellStyle name="Neutral 2 2 2 5 2" xfId="15251" xr:uid="{CF0217A6-0CD3-4C8B-9DB2-530E7891BF36}"/>
    <cellStyle name="Neutral 2 2 2 5 2 2" xfId="34688" xr:uid="{AEA5CAE3-2D6E-43B5-83F1-B33F0352DFC3}"/>
    <cellStyle name="Neutral 2 2 2 5 3" xfId="34687" xr:uid="{B474D4AF-7E66-407A-B4EF-31B5DBA8CACC}"/>
    <cellStyle name="Neutral 2 2 2 6" xfId="15252" xr:uid="{0F130BF2-FB27-43EA-877E-BECA8E65FEB0}"/>
    <cellStyle name="Neutral 2 2 2 6 2" xfId="34689" xr:uid="{B1A12EDA-DFBA-4F5E-871F-DF5477EF3DDE}"/>
    <cellStyle name="Neutral 2 2 2 7" xfId="15253" xr:uid="{6D21151B-5E97-469A-90C2-448DDA7D005C}"/>
    <cellStyle name="Neutral 2 2 2 7 2" xfId="34690" xr:uid="{56F075A0-216B-4746-91D0-7BDD28DECF8E}"/>
    <cellStyle name="Neutral 2 2 2 8" xfId="15254" xr:uid="{BE9EEF21-EB59-49BF-99F6-658C9CA0935C}"/>
    <cellStyle name="Neutral 2 2 2 8 2" xfId="34691" xr:uid="{A0368664-0E6A-4C5F-B368-39194674222F}"/>
    <cellStyle name="Neutral 2 2 2 9" xfId="15255" xr:uid="{1290BE8D-7A5D-4263-8FBB-EB14A351EF5E}"/>
    <cellStyle name="Neutral 2 2 2 9 2" xfId="34692" xr:uid="{3613462C-5CB6-41B9-97A9-0953F618C5DF}"/>
    <cellStyle name="Neutral 2 2 3" xfId="15256" xr:uid="{4A4C2278-C26C-46CE-B8E0-29137742CDD9}"/>
    <cellStyle name="Neutral 2 2 3 2" xfId="34693" xr:uid="{FB430C6E-9D18-4B90-B837-590AED608B44}"/>
    <cellStyle name="Neutral 2 2 4" xfId="15257" xr:uid="{3CD43EEF-B0AB-4817-B80F-E98197551E64}"/>
    <cellStyle name="Neutral 2 2 4 2" xfId="34694" xr:uid="{F7685E57-E971-4E2F-93D1-48351916C5AE}"/>
    <cellStyle name="Neutral 2 2 5" xfId="15258" xr:uid="{F335BB8C-308F-433F-8F20-4BD40B6B3511}"/>
    <cellStyle name="Neutral 2 2 5 2" xfId="15259" xr:uid="{24A3752B-D528-49C2-B283-6D8E123010F3}"/>
    <cellStyle name="Neutral 2 2 5 2 2" xfId="34696" xr:uid="{83AFB7FB-906D-4810-9D19-E3085910745B}"/>
    <cellStyle name="Neutral 2 2 5 3" xfId="34695" xr:uid="{C225D1A8-949D-4595-AB7D-B7FD0F783201}"/>
    <cellStyle name="Neutral 2 2 6" xfId="15260" xr:uid="{778830D3-3099-4AD7-8D72-70B8B28C02E6}"/>
    <cellStyle name="Neutral 2 2 6 2" xfId="34697" xr:uid="{0E3331BA-7012-4B02-8D8B-9578BAC3211E}"/>
    <cellStyle name="Neutral 2 2 7" xfId="15261" xr:uid="{246A9DB6-275E-4098-AB5F-BA1DF0BB227E}"/>
    <cellStyle name="Neutral 2 2 7 2" xfId="15262" xr:uid="{E6F4EBBC-5DB4-4437-9098-075643B2385A}"/>
    <cellStyle name="Neutral 2 2 7 2 2" xfId="34699" xr:uid="{2984AC42-8D5D-4E13-93CB-AB76B2EEA982}"/>
    <cellStyle name="Neutral 2 2 7 3" xfId="34698" xr:uid="{2018AC5C-D37F-4A2A-8C00-951D8E0FB46E}"/>
    <cellStyle name="Neutral 2 2 8" xfId="15263" xr:uid="{CA8F12AF-BC18-4ACA-8E4D-189AA0AA59DD}"/>
    <cellStyle name="Neutral 2 2 8 2" xfId="34700" xr:uid="{56165BAF-9AB3-4BCF-B571-6DF6F073E579}"/>
    <cellStyle name="Neutral 2 2 9" xfId="15264" xr:uid="{C2266D5B-E8ED-49C1-99FD-A7A703DCD76B}"/>
    <cellStyle name="Neutral 2 2 9 2" xfId="34701" xr:uid="{CA8BEBD6-6AD2-4099-B63C-1070DC26AD94}"/>
    <cellStyle name="Neutral 2 3" xfId="15265" xr:uid="{13C0C111-DA42-4AE4-BAD5-1318FBBAF057}"/>
    <cellStyle name="Neutral 2 3 2" xfId="34702" xr:uid="{A5833A0E-6326-4E11-A542-BCD0F2EAEA71}"/>
    <cellStyle name="Neutral 2 4" xfId="15266" xr:uid="{BBA538B1-971C-4425-BF91-8A15C35B74AB}"/>
    <cellStyle name="Neutral 2 4 2" xfId="15267" xr:uid="{4BE3C6B8-7D8D-453F-A381-213ACFA2F223}"/>
    <cellStyle name="Neutral 2 4 2 2" xfId="15268" xr:uid="{A435C6D5-0E4A-407D-9D0B-3F16EF47DDFF}"/>
    <cellStyle name="Neutral 2 4 2 2 2" xfId="34705" xr:uid="{42FF06B1-2715-46D3-A0B7-E18BDB637D39}"/>
    <cellStyle name="Neutral 2 4 2 3" xfId="34704" xr:uid="{53306649-09C8-4B07-AD9A-2351DBB02BCC}"/>
    <cellStyle name="Neutral 2 4 3" xfId="15269" xr:uid="{FE33674A-7C39-4C6B-95BC-33F4768A9B60}"/>
    <cellStyle name="Neutral 2 4 3 2" xfId="34706" xr:uid="{22D4CFE0-C000-43EC-B810-0C2EA283F134}"/>
    <cellStyle name="Neutral 2 4 4" xfId="15270" xr:uid="{13F434C3-0CA6-4151-BDD7-0A19DC9FA474}"/>
    <cellStyle name="Neutral 2 4 4 2" xfId="34707" xr:uid="{742BA40E-8031-4E46-BB07-876D650217B5}"/>
    <cellStyle name="Neutral 2 4 5" xfId="34703" xr:uid="{00A0D815-E2DB-42E9-A584-9194749F17DE}"/>
    <cellStyle name="Neutral 2 5" xfId="15271" xr:uid="{6EC02225-0F90-4C71-A040-9B9728867FA1}"/>
    <cellStyle name="Neutral 2 5 2" xfId="34708" xr:uid="{E7B77749-73BF-4E31-B1BF-595A2ABB2390}"/>
    <cellStyle name="Neutral 2 6" xfId="15272" xr:uid="{D539D288-1F57-46AD-9093-4A00D293F3FA}"/>
    <cellStyle name="Neutral 2 6 2" xfId="15273" xr:uid="{CA9DB1C1-6EC9-4A68-9DCC-CB29CDEC7618}"/>
    <cellStyle name="Neutral 2 6 2 2" xfId="34710" xr:uid="{209A4620-4901-473B-93DD-96045CE8C947}"/>
    <cellStyle name="Neutral 2 6 3" xfId="34709" xr:uid="{EA069E75-D279-4098-9C44-A20D3AAA040B}"/>
    <cellStyle name="Neutral 2 7" xfId="15274" xr:uid="{AFA23427-6729-4471-BE1E-FCEBF27FB2C5}"/>
    <cellStyle name="Neutral 2 7 2" xfId="34711" xr:uid="{7B1C0599-353C-4BDC-A40D-C8F45861C88E}"/>
    <cellStyle name="Neutral 2 8" xfId="15275" xr:uid="{1CE6763D-3F0E-40FE-B9BA-4D353E0A544F}"/>
    <cellStyle name="Neutral 2 8 2" xfId="15276" xr:uid="{665A6A76-29E8-42D6-A8B0-AD192F31ED82}"/>
    <cellStyle name="Neutral 2 8 2 2" xfId="34713" xr:uid="{83819F65-69DC-4E95-8010-5F46A48D3F81}"/>
    <cellStyle name="Neutral 2 8 3" xfId="34712" xr:uid="{65ABBB7A-2369-480F-9D6A-C1415C9F6C55}"/>
    <cellStyle name="Neutral 2 9" xfId="15277" xr:uid="{65AD3512-9052-4D47-8125-E7193B9A1712}"/>
    <cellStyle name="Neutral 2 9 2" xfId="34714" xr:uid="{350110E2-2C77-43AC-9B2B-8FD6674198FF}"/>
    <cellStyle name="Neutral 20" xfId="15278" xr:uid="{BA34C30F-05CF-432B-9FD3-D1DA091ED020}"/>
    <cellStyle name="Neutral 20 2" xfId="15279" xr:uid="{71D6414E-AB7D-4875-924B-9F78865A0870}"/>
    <cellStyle name="Neutral 20 2 2" xfId="34716" xr:uid="{E84A4F49-3383-4795-A05F-436E9200F288}"/>
    <cellStyle name="Neutral 20 3" xfId="34715" xr:uid="{A63A5571-BA09-4028-83ED-678855DF046A}"/>
    <cellStyle name="Neutral 21" xfId="15280" xr:uid="{1F235632-834A-49BB-A5E1-D19A9E279408}"/>
    <cellStyle name="Neutral 21 2" xfId="15281" xr:uid="{7D56537D-E337-4A0F-A776-285181C908F1}"/>
    <cellStyle name="Neutral 21 2 2" xfId="34718" xr:uid="{22F8D308-FD23-421D-8410-794BED33E5EE}"/>
    <cellStyle name="Neutral 21 3" xfId="34717" xr:uid="{ADE8CD2E-D376-4CEC-907A-0A4137A9B0E4}"/>
    <cellStyle name="Neutral 22" xfId="15282" xr:uid="{0FE22503-244C-47FD-A7C0-3B8BE5BDBF52}"/>
    <cellStyle name="Neutral 22 2" xfId="15283" xr:uid="{D5588FD6-3468-485E-9019-4355D30FAE0A}"/>
    <cellStyle name="Neutral 22 2 2" xfId="34720" xr:uid="{06846405-6E2D-4BB1-AEF0-731247B1991B}"/>
    <cellStyle name="Neutral 22 3" xfId="34719" xr:uid="{F68F8F61-349F-45E0-8031-EA00502C61AF}"/>
    <cellStyle name="Neutral 23" xfId="15284" xr:uid="{8790879E-699D-4058-9F18-161A47DB0859}"/>
    <cellStyle name="Neutral 23 2" xfId="15285" xr:uid="{F0CE6D2E-7F06-492F-B674-E94F7A028919}"/>
    <cellStyle name="Neutral 23 2 2" xfId="34722" xr:uid="{EB290CE1-EE1D-4FA1-A3EC-694CFE8410CE}"/>
    <cellStyle name="Neutral 23 3" xfId="34721" xr:uid="{B978C25C-16B2-4150-B37D-192B47ADA28F}"/>
    <cellStyle name="Neutral 24" xfId="15286" xr:uid="{FDDA5439-1BFE-4691-99AC-1480A7E40A03}"/>
    <cellStyle name="Neutral 24 2" xfId="15287" xr:uid="{164AB2DD-D318-46CA-BB83-43E63E928358}"/>
    <cellStyle name="Neutral 24 2 2" xfId="34724" xr:uid="{55C9D3D1-8366-4023-9A42-5AAA85F6B468}"/>
    <cellStyle name="Neutral 24 3" xfId="34723" xr:uid="{22E08291-F087-41AD-A739-AB5BBEF932B6}"/>
    <cellStyle name="Neutral 25" xfId="15288" xr:uid="{075F20DA-E099-4C23-87AA-C70ECD1CF818}"/>
    <cellStyle name="Neutral 25 2" xfId="15289" xr:uid="{2207E22C-389B-4143-A214-2F64A1203F67}"/>
    <cellStyle name="Neutral 25 2 2" xfId="34726" xr:uid="{763C8891-11C1-4834-9C05-6EE8B831F8CD}"/>
    <cellStyle name="Neutral 25 3" xfId="34725" xr:uid="{DD1D4887-02C9-4FA8-9775-7AB66F9E57BB}"/>
    <cellStyle name="Neutral 26" xfId="15290" xr:uid="{6AC4C7E1-09FE-4CCC-AD9F-24078460637C}"/>
    <cellStyle name="Neutral 26 2" xfId="15291" xr:uid="{1DFB7F4A-6DDB-46A0-90A5-DAD246418B95}"/>
    <cellStyle name="Neutral 26 2 2" xfId="34728" xr:uid="{7F09BF18-1A4B-4E26-AEC8-BBC831490F5C}"/>
    <cellStyle name="Neutral 26 3" xfId="34727" xr:uid="{E2659673-6B56-4EE7-9670-FBB83F0633D1}"/>
    <cellStyle name="Neutral 27" xfId="15292" xr:uid="{D11F6AC0-E294-4B21-8F54-B52DA5B44632}"/>
    <cellStyle name="Neutral 27 2" xfId="15293" xr:uid="{28E43CB1-ABEF-4484-A8BC-8BBEFE369A06}"/>
    <cellStyle name="Neutral 27 2 2" xfId="34730" xr:uid="{64FCDD7F-51F3-4018-88FA-53DFF150BED3}"/>
    <cellStyle name="Neutral 27 3" xfId="34729" xr:uid="{2A1BFEE1-52D7-4586-B5D5-57653323607F}"/>
    <cellStyle name="Neutral 28" xfId="15294" xr:uid="{3C762FB7-5C72-4510-AB80-819F3F8546FA}"/>
    <cellStyle name="Neutral 28 2" xfId="15295" xr:uid="{89EDBC73-5413-4FCD-A89F-4551F36F77D5}"/>
    <cellStyle name="Neutral 28 2 2" xfId="34732" xr:uid="{F13F37FC-EAE0-4B81-8C83-1DE9AB4D7E65}"/>
    <cellStyle name="Neutral 28 3" xfId="34731" xr:uid="{CDE25993-A2A5-41A0-8B24-76DA450FE905}"/>
    <cellStyle name="Neutral 29" xfId="15296" xr:uid="{22E0FDEE-01D1-43E8-93E0-88FD6818A7CA}"/>
    <cellStyle name="Neutral 29 2" xfId="15297" xr:uid="{81176B53-BA3B-4BEF-A7BE-69CCBCF65037}"/>
    <cellStyle name="Neutral 29 2 2" xfId="34734" xr:uid="{2B8E0B7A-AACB-4F48-BD24-61E4CAEA28BB}"/>
    <cellStyle name="Neutral 29 3" xfId="34733" xr:uid="{5CD3CAE4-61B0-4F82-8C5F-B7D26432F1D4}"/>
    <cellStyle name="Neutral 3" xfId="15298" xr:uid="{525624FD-1957-4517-9FF1-D4F886F41E1B}"/>
    <cellStyle name="Neutral 3 10" xfId="39456" xr:uid="{1EBF60BD-2F05-49A5-9873-E48998DD26EB}"/>
    <cellStyle name="Neutral 3 2" xfId="15299" xr:uid="{14C914E2-FFCA-459A-8BB6-12D4141761E6}"/>
    <cellStyle name="Neutral 3 2 2" xfId="15300" xr:uid="{5F5B3F88-3003-427A-9965-AF38B2E75784}"/>
    <cellStyle name="Neutral 3 2 2 2" xfId="15301" xr:uid="{E3D757E3-A9A5-45BA-B3C0-70730B3DE17B}"/>
    <cellStyle name="Neutral 3 2 2 2 2" xfId="34738" xr:uid="{48DF35E9-8AC6-4823-B5D4-20740909FEA5}"/>
    <cellStyle name="Neutral 3 2 2 3" xfId="34737" xr:uid="{EC01DBE7-CAE0-4542-BC3C-9B312B72AC9B}"/>
    <cellStyle name="Neutral 3 2 3" xfId="15302" xr:uid="{A270359C-D8B6-4D88-BC9A-1191E07C969C}"/>
    <cellStyle name="Neutral 3 2 3 2" xfId="34739" xr:uid="{B20AE9A1-7473-4EF7-84D7-83613C0D005A}"/>
    <cellStyle name="Neutral 3 2 4" xfId="15303" xr:uid="{09AA95A5-0D4B-4579-9424-A55B1AE5E4B5}"/>
    <cellStyle name="Neutral 3 2 4 2" xfId="34740" xr:uid="{8B08B3AC-6B9E-4617-80AC-0337F1A0E6C4}"/>
    <cellStyle name="Neutral 3 2 5" xfId="34736" xr:uid="{FFAB6DAC-FD11-4C94-9FB2-D35D0015E6D7}"/>
    <cellStyle name="Neutral 3 2 6" xfId="40010" xr:uid="{9651DE4C-C06D-4135-9B27-361237798274}"/>
    <cellStyle name="Neutral 3 3" xfId="15304" xr:uid="{0FD6B43B-B691-4121-86E1-69B328C51367}"/>
    <cellStyle name="Neutral 3 3 2" xfId="34741" xr:uid="{10FE20BF-CE62-4D3E-9B61-DADB870D274B}"/>
    <cellStyle name="Neutral 3 4" xfId="15305" xr:uid="{743FF5B9-B881-4D1D-BD30-FEAC9AF316F0}"/>
    <cellStyle name="Neutral 3 4 2" xfId="34742" xr:uid="{78858E53-3336-4491-8B77-F4A6E59B838A}"/>
    <cellStyle name="Neutral 3 5" xfId="15306" xr:uid="{7502656C-D2B9-45B5-AAAB-7E9132D34451}"/>
    <cellStyle name="Neutral 3 5 2" xfId="15307" xr:uid="{13E476F5-F702-4DFE-BFC9-D55F80C3105E}"/>
    <cellStyle name="Neutral 3 5 2 2" xfId="34744" xr:uid="{4D1240F7-040E-4955-B62F-A43994370B36}"/>
    <cellStyle name="Neutral 3 5 3" xfId="34743" xr:uid="{858B77F9-ECE4-4177-80BB-13F4CD78623D}"/>
    <cellStyle name="Neutral 3 6" xfId="15308" xr:uid="{16B8DCF8-0F4F-41A6-8D08-F3FB42AF7B3A}"/>
    <cellStyle name="Neutral 3 6 2" xfId="34745" xr:uid="{0310ED55-6D0E-4BA7-9299-CBB456A1E704}"/>
    <cellStyle name="Neutral 3 7" xfId="15309" xr:uid="{FB4E8403-A489-4746-8073-5FC32E33FBA4}"/>
    <cellStyle name="Neutral 3 7 2" xfId="34746" xr:uid="{9637833D-6723-43EE-9D6F-CBA2117C1338}"/>
    <cellStyle name="Neutral 3 8" xfId="15310" xr:uid="{ED848E57-214A-4EF7-B97E-FF427468739C}"/>
    <cellStyle name="Neutral 3 8 2" xfId="34747" xr:uid="{37A281B4-B3B9-4534-8046-0A118222D269}"/>
    <cellStyle name="Neutral 3 9" xfId="34735" xr:uid="{041F4FB3-7590-475B-8B7F-B1CEF0291584}"/>
    <cellStyle name="Neutral 30" xfId="15311" xr:uid="{59EEC05A-1D3B-4ECE-BBFC-D0A7580F5D52}"/>
    <cellStyle name="Neutral 30 2" xfId="15312" xr:uid="{76F8DC87-CC2A-494E-9310-260C6E727575}"/>
    <cellStyle name="Neutral 30 2 2" xfId="34749" xr:uid="{50F0DADA-A21E-42FE-9928-C04CB5C30B9A}"/>
    <cellStyle name="Neutral 30 3" xfId="34748" xr:uid="{918E35B2-2CEF-44DC-90AF-07F3237DDD1A}"/>
    <cellStyle name="Neutral 31" xfId="15313" xr:uid="{09410512-DE0B-400F-997E-7037169FF49B}"/>
    <cellStyle name="Neutral 31 2" xfId="15314" xr:uid="{A9FE69D2-BC25-4F77-9A04-3BCACBB3197B}"/>
    <cellStyle name="Neutral 31 2 2" xfId="34751" xr:uid="{F6C4B09A-87A9-49A8-BCD8-A34A2423B289}"/>
    <cellStyle name="Neutral 31 3" xfId="34750" xr:uid="{C840DB33-4DF7-4232-B392-4773EC8532B3}"/>
    <cellStyle name="Neutral 32" xfId="15315" xr:uid="{C2BC6F8F-B6A7-4BD6-A930-1F4FF72D127A}"/>
    <cellStyle name="Neutral 32 2" xfId="15316" xr:uid="{93F2F1DA-5774-4E72-8623-EE3E0DCB29A5}"/>
    <cellStyle name="Neutral 32 2 2" xfId="34753" xr:uid="{E57B1B1B-C130-4E61-B37B-8364D124C746}"/>
    <cellStyle name="Neutral 32 3" xfId="34752" xr:uid="{3AF36C74-DFCF-4841-86B8-BA3ED9200DFD}"/>
    <cellStyle name="Neutral 33" xfId="15317" xr:uid="{BB8D339D-9E40-4D8B-97DC-97B5F08CE59A}"/>
    <cellStyle name="Neutral 33 2" xfId="15318" xr:uid="{E4537F29-541D-4451-BA40-9C1BAD8C2B6F}"/>
    <cellStyle name="Neutral 33 2 2" xfId="34755" xr:uid="{CBD1F5BA-E433-47AE-8F95-86EFEB0FBB87}"/>
    <cellStyle name="Neutral 33 3" xfId="34754" xr:uid="{053BCC01-9E7C-41F7-BE1A-A12AE01ECE73}"/>
    <cellStyle name="Neutral 34" xfId="15319" xr:uid="{C7926D17-81EB-4ED6-9022-0CDA8D4275F9}"/>
    <cellStyle name="Neutral 34 2" xfId="15320" xr:uid="{021527B0-280A-4627-8D2B-E66DE0DFDE5C}"/>
    <cellStyle name="Neutral 34 2 2" xfId="34757" xr:uid="{66B9905B-6BD1-488A-A4CF-6D22D8D23D44}"/>
    <cellStyle name="Neutral 34 3" xfId="34756" xr:uid="{6C58C12B-E626-473F-A59F-3A0540D2B059}"/>
    <cellStyle name="Neutral 35" xfId="15321" xr:uid="{95CFEF57-BB46-4362-B2AC-D63F4E85B4EF}"/>
    <cellStyle name="Neutral 35 2" xfId="15322" xr:uid="{B8659D40-822E-425F-8628-8A1C22FC4C11}"/>
    <cellStyle name="Neutral 35 2 2" xfId="34759" xr:uid="{917776C1-4A98-413A-82ED-9ABC8D942DB2}"/>
    <cellStyle name="Neutral 35 3" xfId="34758" xr:uid="{EF2A35C4-0170-4360-8E79-FB1EFC05C8C8}"/>
    <cellStyle name="Neutral 36" xfId="15323" xr:uid="{D7687D8B-F9F9-4415-AA3A-FC6BFA60C008}"/>
    <cellStyle name="Neutral 36 2" xfId="15324" xr:uid="{7ECE1F55-C0B6-471E-A9B7-428A6D305636}"/>
    <cellStyle name="Neutral 36 2 2" xfId="34761" xr:uid="{635C4C2C-89A9-4B22-8C8F-F7532EE5D888}"/>
    <cellStyle name="Neutral 36 3" xfId="34760" xr:uid="{531E2306-E92C-4600-80BF-CE0DCB3B8C30}"/>
    <cellStyle name="Neutral 37" xfId="34635" xr:uid="{1C70A009-9127-4D89-8428-C38B96357291}"/>
    <cellStyle name="Neutral 38" xfId="40409" xr:uid="{8AE60DC9-F91A-4565-8CB5-7118D83CEF9A}"/>
    <cellStyle name="Neutral 39" xfId="15198" xr:uid="{2A0220F6-0404-447A-9748-79D345AF7EA8}"/>
    <cellStyle name="Neutral 4" xfId="15325" xr:uid="{BD77F392-538C-4C19-84FF-3E00FCD56790}"/>
    <cellStyle name="Neutral 4 2" xfId="15326" xr:uid="{AC71282C-F089-4C5B-AFAF-A6557834960B}"/>
    <cellStyle name="Neutral 4 2 2" xfId="15327" xr:uid="{5BCD80C2-8F58-43F3-8933-B717BC7857D7}"/>
    <cellStyle name="Neutral 4 2 2 2" xfId="34764" xr:uid="{631B08D3-04B2-48C4-A0A8-F332F63A0A58}"/>
    <cellStyle name="Neutral 4 2 3" xfId="34763" xr:uid="{7F0F8E62-4329-40DD-8054-20B18CC5AD96}"/>
    <cellStyle name="Neutral 4 2 4" xfId="40011" xr:uid="{478CF73F-3350-4D18-9B03-096AA8D9ACF6}"/>
    <cellStyle name="Neutral 4 3" xfId="15328" xr:uid="{32B71028-FEDE-4D6E-A4DB-8EFB04124512}"/>
    <cellStyle name="Neutral 4 3 2" xfId="34765" xr:uid="{ADB1A8B3-782A-47CC-8337-E7C8FDF236B3}"/>
    <cellStyle name="Neutral 4 4" xfId="15329" xr:uid="{C65D9F8C-9428-4A2A-A7DF-06BC200266E6}"/>
    <cellStyle name="Neutral 4 4 2" xfId="34766" xr:uid="{B12C8E70-E4B2-488D-BC80-8C7AFF1FBE22}"/>
    <cellStyle name="Neutral 4 5" xfId="15330" xr:uid="{ADF87FA2-0F73-4AEC-AF14-4F68DDF5D00F}"/>
    <cellStyle name="Neutral 4 5 2" xfId="34767" xr:uid="{B766C114-4B26-4D44-A58F-913BBD151CF1}"/>
    <cellStyle name="Neutral 4 6" xfId="15331" xr:uid="{DB9DD7FA-F0E4-4D78-B3F1-010B27ED3C54}"/>
    <cellStyle name="Neutral 4 6 2" xfId="34768" xr:uid="{42743F20-CD45-4E8A-902D-00CBC22CCFB2}"/>
    <cellStyle name="Neutral 4 7" xfId="34762" xr:uid="{047E5AB3-72E7-48A0-8A26-D725DFEC9C95}"/>
    <cellStyle name="Neutral 4 8" xfId="39457" xr:uid="{A7A66A01-4CE2-49E3-B1D9-CE71B5309A41}"/>
    <cellStyle name="Neutral 40" xfId="47" xr:uid="{B6E7BFA8-D1BB-4AC0-95D0-103437C66749}"/>
    <cellStyle name="Neutral 5" xfId="15332" xr:uid="{B4B4F17B-6732-4737-A81E-0F9A348B6A0A}"/>
    <cellStyle name="Neutral 5 2" xfId="15333" xr:uid="{6E4547F0-6F2C-4066-BB88-076307DA2412}"/>
    <cellStyle name="Neutral 5 2 2" xfId="34770" xr:uid="{B2E89321-E8E6-46F3-8684-A1E935E40D4B}"/>
    <cellStyle name="Neutral 5 3" xfId="15334" xr:uid="{E8091EB1-BA72-42EB-BBA5-5B877DF9BC0C}"/>
    <cellStyle name="Neutral 5 3 2" xfId="34771" xr:uid="{178AC3FC-324C-4249-8D0E-164107100151}"/>
    <cellStyle name="Neutral 5 4" xfId="15335" xr:uid="{6C728B3B-5D42-418A-A9A0-43E928336512}"/>
    <cellStyle name="Neutral 5 4 2" xfId="34772" xr:uid="{90A50FAC-F230-42A8-8CB6-BBDF043DE276}"/>
    <cellStyle name="Neutral 5 5" xfId="34769" xr:uid="{1CE08868-F152-43FF-9F52-718A15C2F390}"/>
    <cellStyle name="Neutral 5 6" xfId="39458" xr:uid="{101404E6-B99A-4048-A66A-678D59839EA0}"/>
    <cellStyle name="Neutral 6" xfId="15336" xr:uid="{CECDB9F8-2547-4F36-A8C8-019A593DC516}"/>
    <cellStyle name="Neutral 6 2" xfId="15337" xr:uid="{384E0E0C-ABF7-4862-8591-A26962F855B6}"/>
    <cellStyle name="Neutral 6 2 2" xfId="34774" xr:uid="{336A4B0F-1E3A-4B98-9120-92284296ACC1}"/>
    <cellStyle name="Neutral 6 3" xfId="15338" xr:uid="{3F364AA6-BC18-42CC-843A-50E5B1C74BD3}"/>
    <cellStyle name="Neutral 6 3 2" xfId="34775" xr:uid="{0998129B-5938-470E-A3A0-B559938ADC90}"/>
    <cellStyle name="Neutral 6 4" xfId="15339" xr:uid="{694D677B-A71A-4513-8E38-5ACF30322F73}"/>
    <cellStyle name="Neutral 6 4 2" xfId="34776" xr:uid="{4281D4C6-28D1-4556-B4C1-614B6DB6BEA1}"/>
    <cellStyle name="Neutral 6 5" xfId="34773" xr:uid="{5EC124BF-21FF-45C9-A08B-8B6522264D4C}"/>
    <cellStyle name="Neutral 6 6" xfId="39453" xr:uid="{A3260FB9-B296-4D59-B06E-5B2F7C59B7CD}"/>
    <cellStyle name="Neutral 7" xfId="15340" xr:uid="{2247F861-1A34-4E3E-A915-CD6CBCFDA4DD}"/>
    <cellStyle name="Neutral 7 2" xfId="15341" xr:uid="{95BB6778-D46E-47F0-B13F-AD5A8691A834}"/>
    <cellStyle name="Neutral 7 2 2" xfId="34778" xr:uid="{98514F89-7C33-412B-8977-FA4B903208D2}"/>
    <cellStyle name="Neutral 7 3" xfId="34777" xr:uid="{02B94285-61C4-44A6-997C-611C2EF48010}"/>
    <cellStyle name="Neutral 8" xfId="15342" xr:uid="{EE29329C-6B5C-4C31-B55A-51C6D87E082B}"/>
    <cellStyle name="Neutral 8 2" xfId="15343" xr:uid="{AD6E99F7-479D-48DC-81EB-84D59C90C848}"/>
    <cellStyle name="Neutral 8 2 2" xfId="34780" xr:uid="{87A9BDF1-0C2B-4483-8CC2-82351D876A55}"/>
    <cellStyle name="Neutral 8 3" xfId="34779" xr:uid="{9219C45D-BFFF-40AB-A851-F1811D7ABD41}"/>
    <cellStyle name="Neutral 9" xfId="15344" xr:uid="{3DF9992E-3B26-4021-89AC-672C79449522}"/>
    <cellStyle name="Neutral 9 2" xfId="15345" xr:uid="{E742E597-3504-47C3-B112-2BD76F86DE95}"/>
    <cellStyle name="Neutral 9 2 2" xfId="34782" xr:uid="{E9529DA2-18CD-48D4-86C5-28F95745EE5D}"/>
    <cellStyle name="Neutral 9 3" xfId="34781" xr:uid="{E1FBC60A-AE0B-426D-9AC6-52B944C0A976}"/>
    <cellStyle name="Normal" xfId="0" builtinId="0"/>
    <cellStyle name="Notiz 10" xfId="64" xr:uid="{1A1B2095-3E2A-4363-A051-5DF3EE93D76A}"/>
    <cellStyle name="Notiz 10 10" xfId="15348" xr:uid="{5B0EBCA0-000F-4F88-9091-58866C9326DA}"/>
    <cellStyle name="Notiz 10 10 2" xfId="15349" xr:uid="{A4B5A48B-E392-4413-8C1D-6791FB1937E1}"/>
    <cellStyle name="Notiz 10 10 2 2" xfId="34786" xr:uid="{A4BC08B2-7BBD-42B9-86DD-B1A3D4344CF6}"/>
    <cellStyle name="Notiz 10 10 3" xfId="34785" xr:uid="{0270EFBA-5283-48DF-889E-3046C27EBC6E}"/>
    <cellStyle name="Notiz 10 11" xfId="15350" xr:uid="{4334F164-B22A-4F6B-B18C-50147FA940E4}"/>
    <cellStyle name="Notiz 10 11 2" xfId="15351" xr:uid="{41006ADA-B650-48E4-9132-A0FA46F264F4}"/>
    <cellStyle name="Notiz 10 11 2 2" xfId="34788" xr:uid="{03BB527E-0271-45B6-BDEA-42092DEB7A1F}"/>
    <cellStyle name="Notiz 10 11 3" xfId="34787" xr:uid="{5CF9BEBA-9D7B-451C-AFB2-3E987CD9B8AB}"/>
    <cellStyle name="Notiz 10 12" xfId="15352" xr:uid="{E2520F4C-14D3-4027-ACBB-DCFFF1F54413}"/>
    <cellStyle name="Notiz 10 12 2" xfId="15353" xr:uid="{761A793F-32C7-43C7-B9E2-D73811C9D08D}"/>
    <cellStyle name="Notiz 10 12 2 2" xfId="34790" xr:uid="{67613282-9634-4A71-9D9A-06F026E4C9D1}"/>
    <cellStyle name="Notiz 10 12 3" xfId="34789" xr:uid="{4B6C488A-448A-4149-85E5-76861D0A5A0C}"/>
    <cellStyle name="Notiz 10 13" xfId="15354" xr:uid="{9EEB57BC-E64C-43EC-93BB-B57FC18A1D39}"/>
    <cellStyle name="Notiz 10 13 2" xfId="15355" xr:uid="{EE5C966F-94B1-42F8-B23A-5F14E3A7971C}"/>
    <cellStyle name="Notiz 10 13 2 2" xfId="34792" xr:uid="{7F612433-B16F-428C-A944-6CBA2AFC044E}"/>
    <cellStyle name="Notiz 10 13 3" xfId="34791" xr:uid="{AA1389BF-2D99-423C-BD39-4EFA75833E43}"/>
    <cellStyle name="Notiz 10 14" xfId="15356" xr:uid="{CE51D640-6006-46B9-9B44-330908164CB0}"/>
    <cellStyle name="Notiz 10 14 2" xfId="15357" xr:uid="{43CA5251-24E1-459B-86B9-69A4D94667F0}"/>
    <cellStyle name="Notiz 10 14 2 2" xfId="34794" xr:uid="{6A445E6D-6A8B-4400-8F3E-02620614ECB8}"/>
    <cellStyle name="Notiz 10 14 3" xfId="34793" xr:uid="{CB93E8FA-D265-4CCD-A0F1-77A4B2A52CAC}"/>
    <cellStyle name="Notiz 10 15" xfId="15358" xr:uid="{C8E8FFE4-8954-4B25-A445-C3012A726073}"/>
    <cellStyle name="Notiz 10 15 2" xfId="15359" xr:uid="{A1716DBB-ACE5-4874-B76F-F5554E1DDBD6}"/>
    <cellStyle name="Notiz 10 15 2 2" xfId="34796" xr:uid="{F9F927C8-0B4B-434C-8CFD-E61276BBB772}"/>
    <cellStyle name="Notiz 10 15 3" xfId="34795" xr:uid="{59B603C0-0E7C-43BF-903E-BD247C534EF5}"/>
    <cellStyle name="Notiz 10 16" xfId="15360" xr:uid="{7E9A0D43-6370-463A-8226-153AC99B6B60}"/>
    <cellStyle name="Notiz 10 16 2" xfId="15361" xr:uid="{E0AF2FC7-3B87-403B-A742-83A9C94B035F}"/>
    <cellStyle name="Notiz 10 16 2 2" xfId="34798" xr:uid="{F0044715-0C23-442E-BA50-734DDB34AF2D}"/>
    <cellStyle name="Notiz 10 16 3" xfId="34797" xr:uid="{EEF3872F-235A-413C-9941-8C6145580A8F}"/>
    <cellStyle name="Notiz 10 17" xfId="15362" xr:uid="{8282C380-670E-4FB6-AF0D-DD9963FD2D44}"/>
    <cellStyle name="Notiz 10 17 2" xfId="15363" xr:uid="{1DF56287-8EE8-418B-96A1-1CA7B5E1720C}"/>
    <cellStyle name="Notiz 10 17 2 2" xfId="34800" xr:uid="{DA9D622B-7D38-497A-882B-424BEEFD71AA}"/>
    <cellStyle name="Notiz 10 17 3" xfId="34799" xr:uid="{D52DB2DA-242A-4549-A810-087251ADB88C}"/>
    <cellStyle name="Notiz 10 18" xfId="15364" xr:uid="{61DCD2A2-7EE7-4C2C-A04F-DDD13CC42CB8}"/>
    <cellStyle name="Notiz 10 18 2" xfId="15365" xr:uid="{053B0D60-5F4B-43FD-878D-8BE4621BF616}"/>
    <cellStyle name="Notiz 10 18 2 2" xfId="34802" xr:uid="{BD17A33A-A75E-43DF-9C05-A6EE36C61C64}"/>
    <cellStyle name="Notiz 10 18 3" xfId="34801" xr:uid="{C1867056-81A0-4F74-BD8F-00D2F2022125}"/>
    <cellStyle name="Notiz 10 19" xfId="15366" xr:uid="{59C40597-5A99-498D-BD98-AAAACB193A90}"/>
    <cellStyle name="Notiz 10 19 2" xfId="15367" xr:uid="{6412BF75-9CDF-4E8C-A6FD-F735F1B70538}"/>
    <cellStyle name="Notiz 10 19 2 2" xfId="34804" xr:uid="{4855D751-515F-4F36-9D3D-BFAD730ED617}"/>
    <cellStyle name="Notiz 10 19 3" xfId="34803" xr:uid="{5F774F80-ECF7-4FCF-ACEA-4DF13AFF89C6}"/>
    <cellStyle name="Notiz 10 2" xfId="15368" xr:uid="{E56F7F44-52D1-4FA2-80B5-659B04E49E31}"/>
    <cellStyle name="Notiz 10 2 2" xfId="15369" xr:uid="{656D3CFB-871D-4051-92E2-364D63CAB150}"/>
    <cellStyle name="Notiz 10 2 2 2" xfId="34806" xr:uid="{DB0B15D3-2593-453A-9427-A878EE77A0F6}"/>
    <cellStyle name="Notiz 10 2 2 2 2" xfId="40920" xr:uid="{56B087C0-2DB4-451E-84B9-E7F48B60EBB5}"/>
    <cellStyle name="Notiz 10 2 2 3" xfId="41779" xr:uid="{101C6B74-AA23-4A54-8730-BAD3D1D3CE07}"/>
    <cellStyle name="Notiz 10 2 2 4" xfId="40013" xr:uid="{4EE0775B-C775-4FA0-B940-9CD1BB46210D}"/>
    <cellStyle name="Notiz 10 2 3" xfId="34805" xr:uid="{0200F940-8FC4-46BD-B586-E01DDDC79618}"/>
    <cellStyle name="Notiz 10 2 3 2" xfId="40479" xr:uid="{103F0608-F740-4C33-8F3F-D26974E39CF3}"/>
    <cellStyle name="Notiz 10 2 4" xfId="41339" xr:uid="{94707DC3-035F-45ED-9270-80AC8E0FD444}"/>
    <cellStyle name="Notiz 10 2 5" xfId="39461" xr:uid="{34C75DC6-0382-4129-A660-F45F8241F112}"/>
    <cellStyle name="Notiz 10 20" xfId="15370" xr:uid="{5EB55279-D02D-43B4-953E-0BCEC2242828}"/>
    <cellStyle name="Notiz 10 20 2" xfId="15371" xr:uid="{3AE7DDEE-55F2-498D-946B-B6C377E6C130}"/>
    <cellStyle name="Notiz 10 20 2 2" xfId="34808" xr:uid="{BBC0099A-6577-419A-8D66-C7A4813D4E4A}"/>
    <cellStyle name="Notiz 10 20 3" xfId="34807" xr:uid="{A7B9821C-B79D-46F2-9F44-5A497DB49DA0}"/>
    <cellStyle name="Notiz 10 21" xfId="15372" xr:uid="{E9BDC5CB-F13A-4B8D-83CF-7B820AF30A63}"/>
    <cellStyle name="Notiz 10 21 2" xfId="15373" xr:uid="{217FE88E-4919-4255-BDDC-5BBC899F9E13}"/>
    <cellStyle name="Notiz 10 21 2 2" xfId="34810" xr:uid="{2475127E-AC08-4FFD-BEB7-62C2F5362514}"/>
    <cellStyle name="Notiz 10 21 3" xfId="34809" xr:uid="{E58797C3-91AB-4B07-850F-E24C28329EF8}"/>
    <cellStyle name="Notiz 10 22" xfId="15374" xr:uid="{C646DD63-3852-4748-8CE0-911E18E4D020}"/>
    <cellStyle name="Notiz 10 22 2" xfId="34811" xr:uid="{E8203567-1E66-44C1-8F13-7D6915B4CEF5}"/>
    <cellStyle name="Notiz 10 23" xfId="15375" xr:uid="{3E0D7828-D244-4A90-AD20-4CB3C3E46606}"/>
    <cellStyle name="Notiz 10 23 2" xfId="34812" xr:uid="{AD1EE752-CDF4-44E2-90DD-2ADCCCBCE511}"/>
    <cellStyle name="Notiz 10 24" xfId="34784" xr:uid="{11D2D16E-A8D2-48BC-B71C-3F0B00D42CD5}"/>
    <cellStyle name="Notiz 10 25" xfId="39460" xr:uid="{7CEB95C5-14BD-4ACB-BE4E-6F888D1D9C94}"/>
    <cellStyle name="Notiz 10 26" xfId="15347" xr:uid="{84F329A2-3BAD-4CD0-AC43-9CC4E0496F72}"/>
    <cellStyle name="Notiz 10 3" xfId="15376" xr:uid="{F62D1CEF-9184-47E1-B92F-64C6F85E28A4}"/>
    <cellStyle name="Notiz 10 3 2" xfId="15377" xr:uid="{CE4F2F48-7144-4F5F-832B-9E8B27CF461E}"/>
    <cellStyle name="Notiz 10 3 2 2" xfId="34814" xr:uid="{A59ECB44-8315-4EC9-A060-9210FBFB3FDB}"/>
    <cellStyle name="Notiz 10 3 2 3" xfId="40919" xr:uid="{1FEBC8E0-3313-4150-9083-404CBC6B4DB7}"/>
    <cellStyle name="Notiz 10 3 3" xfId="34813" xr:uid="{1F5D00A6-9435-47AF-AEFC-98BDFC7B6F4D}"/>
    <cellStyle name="Notiz 10 3 3 2" xfId="41778" xr:uid="{EE984A8E-F3CE-4B68-9004-577C3ADEC49A}"/>
    <cellStyle name="Notiz 10 3 4" xfId="40012" xr:uid="{5F1B65D9-23AC-447D-8F14-43495BCCB2BD}"/>
    <cellStyle name="Notiz 10 4" xfId="15378" xr:uid="{293D749F-1463-44DC-BBBC-D653499D2391}"/>
    <cellStyle name="Notiz 10 4 2" xfId="15379" xr:uid="{FA2F6DEB-48AB-45A6-9CFE-CAFDB5B438B8}"/>
    <cellStyle name="Notiz 10 4 2 2" xfId="34816" xr:uid="{3485ACAA-C72F-4828-B510-8C7238D21895}"/>
    <cellStyle name="Notiz 10 4 3" xfId="34815" xr:uid="{EB589DD0-012E-4A5F-9201-84C9260E90E2}"/>
    <cellStyle name="Notiz 10 4 4" xfId="40478" xr:uid="{46A1EEAC-21CB-4D46-B5ED-261BDED804FA}"/>
    <cellStyle name="Notiz 10 5" xfId="15380" xr:uid="{9D7FE4FB-A629-4165-8AF2-8993FAC26645}"/>
    <cellStyle name="Notiz 10 5 2" xfId="15381" xr:uid="{AE80920B-0D71-40A1-BD12-1A6D14427358}"/>
    <cellStyle name="Notiz 10 5 2 2" xfId="34818" xr:uid="{B3FA7AC6-90F2-4D5C-BFB2-F4FFE8E9D493}"/>
    <cellStyle name="Notiz 10 5 3" xfId="34817" xr:uid="{CAA6B3A8-E76F-4E22-8615-F7F6A5C68E68}"/>
    <cellStyle name="Notiz 10 5 4" xfId="41338" xr:uid="{56DB8307-684D-4234-99E3-ED9D829BE591}"/>
    <cellStyle name="Notiz 10 6" xfId="15382" xr:uid="{31FF3ABF-FDE9-4827-82C3-50FCF5A66049}"/>
    <cellStyle name="Notiz 10 6 2" xfId="15383" xr:uid="{E00A3DF2-088B-456D-A3CE-145BE0E8C129}"/>
    <cellStyle name="Notiz 10 6 2 2" xfId="34820" xr:uid="{5512A43E-72E7-465F-BA15-1300AFBDD8E2}"/>
    <cellStyle name="Notiz 10 6 3" xfId="34819" xr:uid="{70AAB4DE-7412-4D19-ACEE-C8781CCCF66D}"/>
    <cellStyle name="Notiz 10 7" xfId="15384" xr:uid="{7991BFB5-4F7F-41C9-925F-CCD4CC61D7F2}"/>
    <cellStyle name="Notiz 10 7 2" xfId="15385" xr:uid="{AB14AF7E-A4A2-4E4C-8D1D-61179B9FB3F3}"/>
    <cellStyle name="Notiz 10 7 2 2" xfId="34822" xr:uid="{A90FBB04-1526-422B-B895-B9878799ACD6}"/>
    <cellStyle name="Notiz 10 7 3" xfId="34821" xr:uid="{0A133608-A651-4BF3-A190-1F5074EDACF5}"/>
    <cellStyle name="Notiz 10 8" xfId="15386" xr:uid="{430F9209-F0E3-4095-A568-D53640BE0DAD}"/>
    <cellStyle name="Notiz 10 8 2" xfId="15387" xr:uid="{129E3182-2497-4A6E-BF25-29AF99040318}"/>
    <cellStyle name="Notiz 10 8 2 2" xfId="34824" xr:uid="{7B4B4C1C-19C7-45CD-8619-CC815A5CC52C}"/>
    <cellStyle name="Notiz 10 8 3" xfId="34823" xr:uid="{5F5A8333-144F-4763-A366-1200B94FD3E4}"/>
    <cellStyle name="Notiz 10 9" xfId="15388" xr:uid="{EF432DB9-CC9A-4F4D-8F43-6CF95540AE8C}"/>
    <cellStyle name="Notiz 10 9 2" xfId="15389" xr:uid="{1AA1A7E5-2732-4C3F-AAE9-F922B4A008BD}"/>
    <cellStyle name="Notiz 10 9 2 2" xfId="34826" xr:uid="{44588442-782C-41BD-A746-5DF2415399F0}"/>
    <cellStyle name="Notiz 10 9 3" xfId="34825" xr:uid="{A1884DFE-8E32-45B0-864A-0ECD3AFD5E43}"/>
    <cellStyle name="Notiz 100" xfId="39462" xr:uid="{DF2C8FEE-F19E-4E10-9DD1-AEABA7829D1D}"/>
    <cellStyle name="Notiz 100 2" xfId="40014" xr:uid="{9EACB70B-F32E-4D07-81FD-4824F9963DCD}"/>
    <cellStyle name="Notiz 100 2 2" xfId="40921" xr:uid="{C6896382-29E3-476D-B7B4-0CCA47CA9249}"/>
    <cellStyle name="Notiz 100 2 3" xfId="41780" xr:uid="{6C69F0D5-03F9-48FA-9D92-123E9812A4D3}"/>
    <cellStyle name="Notiz 100 3" xfId="40480" xr:uid="{1B6524CC-4675-4FB6-9D7B-DF48D33C624F}"/>
    <cellStyle name="Notiz 100 4" xfId="41340" xr:uid="{5003D210-4DB9-4231-857A-C9E0E12D60E0}"/>
    <cellStyle name="Notiz 101" xfId="39463" xr:uid="{9115127F-6A78-4E62-85C8-6D37B961749C}"/>
    <cellStyle name="Notiz 101 2" xfId="40015" xr:uid="{C3848732-B91F-47ED-A431-C2AF70B19DA0}"/>
    <cellStyle name="Notiz 101 2 2" xfId="40922" xr:uid="{CCCE543B-6866-4BC6-AB3C-1A98C1938E32}"/>
    <cellStyle name="Notiz 101 2 3" xfId="41781" xr:uid="{DA30C1A9-B59E-4DCC-AB6F-DB380E9D7566}"/>
    <cellStyle name="Notiz 101 3" xfId="40481" xr:uid="{F4B96733-E5CB-4E21-8121-81F4AE01375A}"/>
    <cellStyle name="Notiz 101 4" xfId="41341" xr:uid="{3635C2B3-A7E2-4C3F-A564-D297917F6B15}"/>
    <cellStyle name="Notiz 102" xfId="39464" xr:uid="{8E79EE45-CBEE-4A0D-82AE-0E981C2628EA}"/>
    <cellStyle name="Notiz 102 2" xfId="40016" xr:uid="{B3665C6F-ADEF-44EB-85B1-F0E71CBA18CC}"/>
    <cellStyle name="Notiz 102 2 2" xfId="40923" xr:uid="{40D8AEA4-57D9-44BF-80A1-3228ACCBCF8A}"/>
    <cellStyle name="Notiz 102 2 3" xfId="41782" xr:uid="{AB4C01F8-973E-451B-86E4-54798D87E893}"/>
    <cellStyle name="Notiz 102 3" xfId="40482" xr:uid="{D56E548A-E9E5-47A5-808E-633DA06EBDFB}"/>
    <cellStyle name="Notiz 102 4" xfId="41342" xr:uid="{56156584-E8F9-4A3D-976F-DFC1A9FAC745}"/>
    <cellStyle name="Notiz 103" xfId="39465" xr:uid="{00A5EB01-9E5B-4E39-8FB1-5F8F5E7ADDB4}"/>
    <cellStyle name="Notiz 103 2" xfId="40017" xr:uid="{19FD7F90-F208-4F2B-9948-FFCD69816E55}"/>
    <cellStyle name="Notiz 103 2 2" xfId="40924" xr:uid="{090F0CD7-5C40-4C2C-A8D0-0E13014FB79D}"/>
    <cellStyle name="Notiz 103 2 3" xfId="41783" xr:uid="{EFC76DCD-DC3A-406F-BFF0-7E575B9E34AD}"/>
    <cellStyle name="Notiz 103 3" xfId="40483" xr:uid="{6AF39C0B-383F-46D8-8E4A-FEB3A94DC801}"/>
    <cellStyle name="Notiz 103 4" xfId="41343" xr:uid="{95C2BD11-B3F0-4ED1-941E-A087D7179F21}"/>
    <cellStyle name="Notiz 104" xfId="39466" xr:uid="{477E86B0-75CE-449F-859C-313295C6D4C7}"/>
    <cellStyle name="Notiz 104 2" xfId="40018" xr:uid="{27ACB5C7-4CDD-497E-BA07-769C02F711EA}"/>
    <cellStyle name="Notiz 104 2 2" xfId="40925" xr:uid="{EBDB750B-11C7-4C8D-8553-5D042CBA4E5D}"/>
    <cellStyle name="Notiz 104 2 3" xfId="41784" xr:uid="{741BF82B-8764-47C3-868D-31AFD65CC988}"/>
    <cellStyle name="Notiz 104 3" xfId="40484" xr:uid="{F60A1219-8D97-4A9E-A150-5E54E8042312}"/>
    <cellStyle name="Notiz 104 4" xfId="41344" xr:uid="{104467A5-C697-4D67-A26B-B47461A4153F}"/>
    <cellStyle name="Notiz 105" xfId="39467" xr:uid="{AA3C7B18-5570-4FD7-9623-475FC835B976}"/>
    <cellStyle name="Notiz 105 2" xfId="40019" xr:uid="{32E8E95A-E224-4952-89FE-40340B081DAD}"/>
    <cellStyle name="Notiz 105 2 2" xfId="40926" xr:uid="{9BBD43A9-7FB4-4F85-8A2F-161E2C4DEB71}"/>
    <cellStyle name="Notiz 105 2 3" xfId="41785" xr:uid="{20B3033F-AAEC-40BA-9276-AC29D353AA30}"/>
    <cellStyle name="Notiz 105 3" xfId="40485" xr:uid="{81B845AD-CA91-4BA0-A83E-EBF4AFC38329}"/>
    <cellStyle name="Notiz 105 4" xfId="41345" xr:uid="{AA0B915A-A1A1-42CE-B3DE-AE7952F715A7}"/>
    <cellStyle name="Notiz 106" xfId="39468" xr:uid="{266AEA37-5F6B-41AF-9785-66D14115A2BA}"/>
    <cellStyle name="Notiz 106 2" xfId="40020" xr:uid="{4DBAEE9C-B377-4333-BF6D-09DA710A8075}"/>
    <cellStyle name="Notiz 106 2 2" xfId="40927" xr:uid="{E631681C-187C-4163-8FBF-F4B6D99B6C7E}"/>
    <cellStyle name="Notiz 106 2 3" xfId="41786" xr:uid="{CC98EC1F-B0E3-4FF4-8B4F-680F1D824F17}"/>
    <cellStyle name="Notiz 106 3" xfId="40486" xr:uid="{0300F0C7-544C-4196-96F7-D11D9E476231}"/>
    <cellStyle name="Notiz 106 4" xfId="41346" xr:uid="{401B7D53-A2ED-45EB-9CF7-C8BEBE8BA94A}"/>
    <cellStyle name="Notiz 107" xfId="39469" xr:uid="{5DEDC60B-A222-4888-B9E9-F4B748B60D4F}"/>
    <cellStyle name="Notiz 107 2" xfId="40021" xr:uid="{0408C9D9-AB3F-4A93-832F-15FB8DAF16B1}"/>
    <cellStyle name="Notiz 107 2 2" xfId="40928" xr:uid="{BC042C6E-036A-45CC-9521-BFD7FE86D253}"/>
    <cellStyle name="Notiz 107 2 3" xfId="41787" xr:uid="{87D8664F-CB38-49CE-AA3D-B6E5E50C0A04}"/>
    <cellStyle name="Notiz 107 3" xfId="40487" xr:uid="{87C787D2-4C97-4797-AB51-0F84D288D6AD}"/>
    <cellStyle name="Notiz 107 4" xfId="41347" xr:uid="{DB1AD2B3-52C1-4206-B446-01A089408A25}"/>
    <cellStyle name="Notiz 108" xfId="39470" xr:uid="{7DFC902D-931D-454E-8921-9E66A9D15970}"/>
    <cellStyle name="Notiz 108 2" xfId="40022" xr:uid="{0C127E95-B247-49E7-BF31-0CB934D21B6E}"/>
    <cellStyle name="Notiz 108 2 2" xfId="40929" xr:uid="{49848924-8371-45A6-86F1-E923D3DC8E79}"/>
    <cellStyle name="Notiz 108 2 3" xfId="41788" xr:uid="{AAB8F9F1-2581-4A77-8F30-1DE3E9C3127B}"/>
    <cellStyle name="Notiz 108 3" xfId="40488" xr:uid="{1C7D8354-79A2-4F81-81A4-CD3946B3E101}"/>
    <cellStyle name="Notiz 108 4" xfId="41348" xr:uid="{2193B542-D41D-42C4-9DB8-84266DF858A0}"/>
    <cellStyle name="Notiz 109" xfId="39471" xr:uid="{BB8B0AAF-036A-4400-92F7-78BD85147534}"/>
    <cellStyle name="Notiz 109 2" xfId="40023" xr:uid="{668CCF17-8798-4412-9782-129950916514}"/>
    <cellStyle name="Notiz 109 2 2" xfId="40930" xr:uid="{4DEE37FF-1E2E-4594-98D3-B627CF6F97C4}"/>
    <cellStyle name="Notiz 109 2 3" xfId="41789" xr:uid="{CC4CBE67-3E51-4183-ABD4-D45639CC453C}"/>
    <cellStyle name="Notiz 109 3" xfId="40489" xr:uid="{22881FB8-4955-497C-B479-577D78886E9C}"/>
    <cellStyle name="Notiz 109 4" xfId="41349" xr:uid="{C3425107-764A-446F-AE2E-2FB565266681}"/>
    <cellStyle name="Notiz 11" xfId="65" xr:uid="{97174C28-0BCE-4203-BC1C-99E05D33883D}"/>
    <cellStyle name="Notiz 11 10" xfId="15391" xr:uid="{7B5AE151-D73C-4679-A652-55D86224DA4A}"/>
    <cellStyle name="Notiz 11 10 2" xfId="15392" xr:uid="{87C9F230-DF88-459E-850E-D6FF0FA88CDC}"/>
    <cellStyle name="Notiz 11 10 2 2" xfId="34829" xr:uid="{0D561BA8-6869-4CDC-A5E8-DCE540159738}"/>
    <cellStyle name="Notiz 11 10 3" xfId="34828" xr:uid="{80BA12DD-DA34-405A-9A1E-9215253B4F85}"/>
    <cellStyle name="Notiz 11 11" xfId="15393" xr:uid="{B234FA75-2C7B-4B2B-A7DE-117CD2CDE02C}"/>
    <cellStyle name="Notiz 11 11 2" xfId="15394" xr:uid="{02FA6457-711E-44F2-9292-80103415C4C4}"/>
    <cellStyle name="Notiz 11 11 2 2" xfId="34831" xr:uid="{54084211-1A59-4D55-96F1-830DF8EE3053}"/>
    <cellStyle name="Notiz 11 11 3" xfId="34830" xr:uid="{B495061D-0744-40AA-AC91-C0A18C565C53}"/>
    <cellStyle name="Notiz 11 12" xfId="15395" xr:uid="{C9461021-7F26-47D7-B3CA-D20CD49FADA5}"/>
    <cellStyle name="Notiz 11 12 2" xfId="15396" xr:uid="{27A5255D-8424-48DD-8C35-0556E4ADB743}"/>
    <cellStyle name="Notiz 11 12 2 2" xfId="34833" xr:uid="{3E3ABD70-811E-4B7D-A634-3D1B4BEFF353}"/>
    <cellStyle name="Notiz 11 12 3" xfId="34832" xr:uid="{1EBA8FA6-D344-4E63-B862-B9B2D89256FE}"/>
    <cellStyle name="Notiz 11 13" xfId="15397" xr:uid="{D04B81AF-C8E8-43D8-A8A7-5E0815F7F690}"/>
    <cellStyle name="Notiz 11 13 2" xfId="15398" xr:uid="{A88262B3-5E44-4F39-910A-8BE05B88D405}"/>
    <cellStyle name="Notiz 11 13 2 2" xfId="34835" xr:uid="{93131097-C8A2-4971-AB61-8A8E0860F616}"/>
    <cellStyle name="Notiz 11 13 3" xfId="34834" xr:uid="{E413387B-391F-40C5-B4A0-8407B666584C}"/>
    <cellStyle name="Notiz 11 14" xfId="15399" xr:uid="{8F47E284-EC9E-402B-B5E5-C89163B0C0A4}"/>
    <cellStyle name="Notiz 11 14 2" xfId="15400" xr:uid="{F0348422-AE4D-4774-901A-9966E6DBE878}"/>
    <cellStyle name="Notiz 11 14 2 2" xfId="34837" xr:uid="{D1DF853A-814F-4F8A-ABC8-EBEFDBEDB939}"/>
    <cellStyle name="Notiz 11 14 3" xfId="34836" xr:uid="{93E730C3-C47E-4095-9AB0-5DA2BD1EB4F0}"/>
    <cellStyle name="Notiz 11 15" xfId="15401" xr:uid="{6183B4B7-1D6F-45E7-86C0-7E8935BB769D}"/>
    <cellStyle name="Notiz 11 15 2" xfId="15402" xr:uid="{68188C74-B2AD-40BC-9942-B9B5BBE0F7EA}"/>
    <cellStyle name="Notiz 11 15 2 2" xfId="34839" xr:uid="{D314C070-DA3D-442A-A4A8-7CCA8F371E01}"/>
    <cellStyle name="Notiz 11 15 3" xfId="34838" xr:uid="{C6F6C8BF-150A-49BB-A457-76FF1BD2DDA6}"/>
    <cellStyle name="Notiz 11 16" xfId="15403" xr:uid="{C7E07413-40A3-4888-844B-983345419502}"/>
    <cellStyle name="Notiz 11 16 2" xfId="15404" xr:uid="{66FBFF9A-7BB4-4218-B5C4-93C33662138A}"/>
    <cellStyle name="Notiz 11 16 2 2" xfId="34841" xr:uid="{C1BE488F-90E0-4C92-8766-29CCC29FAFFE}"/>
    <cellStyle name="Notiz 11 16 3" xfId="34840" xr:uid="{2C01E542-5D1F-41E5-A105-00644E4145A6}"/>
    <cellStyle name="Notiz 11 17" xfId="15405" xr:uid="{11946C13-3A88-4C2B-882F-D238F3D2ECDA}"/>
    <cellStyle name="Notiz 11 17 2" xfId="15406" xr:uid="{8CF3DEB4-E8CE-4DF1-962F-FC1BE89A74A8}"/>
    <cellStyle name="Notiz 11 17 2 2" xfId="34843" xr:uid="{CD58FB93-993F-4854-8531-369DBACB0EF1}"/>
    <cellStyle name="Notiz 11 17 3" xfId="34842" xr:uid="{E4532725-C824-413E-A477-753A8D284076}"/>
    <cellStyle name="Notiz 11 18" xfId="15407" xr:uid="{F8DEC421-9B33-4A2E-8D4E-391396303494}"/>
    <cellStyle name="Notiz 11 18 2" xfId="15408" xr:uid="{00F9E81C-BE83-4717-956A-380E0FB5EB13}"/>
    <cellStyle name="Notiz 11 18 2 2" xfId="34845" xr:uid="{9EFF13A9-506D-46B1-9041-24BC3F8C7BAC}"/>
    <cellStyle name="Notiz 11 18 3" xfId="34844" xr:uid="{FF19DE6B-9893-405E-894F-FEAFEF444DC2}"/>
    <cellStyle name="Notiz 11 19" xfId="15409" xr:uid="{4840ECE6-EA73-4975-BB82-226A200833E9}"/>
    <cellStyle name="Notiz 11 19 2" xfId="15410" xr:uid="{653530FB-E30C-4844-B758-B6D482E87103}"/>
    <cellStyle name="Notiz 11 19 2 2" xfId="34847" xr:uid="{4063FB98-B13E-4B19-8F1D-3C302FBC3FE4}"/>
    <cellStyle name="Notiz 11 19 3" xfId="34846" xr:uid="{D267CBC2-4E1A-4999-81AB-B8819A9F565C}"/>
    <cellStyle name="Notiz 11 2" xfId="15411" xr:uid="{7FE234F6-E617-4DEC-9BAB-3B384CF4CCAB}"/>
    <cellStyle name="Notiz 11 2 2" xfId="15412" xr:uid="{E8B04554-AF9F-4BFF-A265-195FABDD3A48}"/>
    <cellStyle name="Notiz 11 2 2 2" xfId="34849" xr:uid="{FC90FE53-2EE5-465D-A7FA-4678DD68861B}"/>
    <cellStyle name="Notiz 11 2 2 2 2" xfId="40932" xr:uid="{7FAD5ED8-99C0-4535-84C4-A8C702A1B60F}"/>
    <cellStyle name="Notiz 11 2 2 3" xfId="41791" xr:uid="{EF4DCA5E-F1A1-4984-8558-C9CB58838FBE}"/>
    <cellStyle name="Notiz 11 2 2 4" xfId="40025" xr:uid="{B44DF8F8-4F75-4B0F-9542-528F191661DD}"/>
    <cellStyle name="Notiz 11 2 3" xfId="34848" xr:uid="{320941D2-0485-4F07-818F-EF47A10F1CA3}"/>
    <cellStyle name="Notiz 11 2 3 2" xfId="40491" xr:uid="{E0A6EE5E-914F-4F2F-9263-8F51E540EACE}"/>
    <cellStyle name="Notiz 11 2 4" xfId="41351" xr:uid="{75A98F32-8F95-4ABF-B009-3AEFBD5511BB}"/>
    <cellStyle name="Notiz 11 2 5" xfId="39473" xr:uid="{9515F5D1-37D4-4C2F-9B25-B4DCAAFAE384}"/>
    <cellStyle name="Notiz 11 20" xfId="15413" xr:uid="{F5ADC820-DDE2-4161-B635-55B35F12B732}"/>
    <cellStyle name="Notiz 11 20 2" xfId="15414" xr:uid="{7A209D29-3C7D-4844-A9B7-AD3078F7E6BA}"/>
    <cellStyle name="Notiz 11 20 2 2" xfId="34851" xr:uid="{FCE588A9-6C8A-4AA2-8D0D-DED0910C7BBF}"/>
    <cellStyle name="Notiz 11 20 3" xfId="34850" xr:uid="{88396955-8525-4FAC-B453-834BCA8D6E86}"/>
    <cellStyle name="Notiz 11 21" xfId="15415" xr:uid="{8B9072DC-FA22-42E5-97F2-22FB7259B6AB}"/>
    <cellStyle name="Notiz 11 21 2" xfId="15416" xr:uid="{77C6417C-78B1-46BD-9D46-8949828690C5}"/>
    <cellStyle name="Notiz 11 21 2 2" xfId="34853" xr:uid="{FD72A81F-55F4-4DD3-9BB9-C905869F0487}"/>
    <cellStyle name="Notiz 11 21 3" xfId="34852" xr:uid="{E5E5498B-23AB-4644-BE80-8FAE069F372D}"/>
    <cellStyle name="Notiz 11 22" xfId="15417" xr:uid="{278F88AE-F5FD-4189-927E-351EACFC0803}"/>
    <cellStyle name="Notiz 11 22 2" xfId="34854" xr:uid="{85EB0A9F-876A-48B5-A927-035B3CC0F2B8}"/>
    <cellStyle name="Notiz 11 23" xfId="15418" xr:uid="{432A1BDA-1294-488A-A772-7240283650A0}"/>
    <cellStyle name="Notiz 11 23 2" xfId="34855" xr:uid="{DBAAEF81-F249-4B01-8F06-B120B2DE4C26}"/>
    <cellStyle name="Notiz 11 24" xfId="34827" xr:uid="{AE254078-1FAA-4B79-BA0A-8F4FC53F0AF2}"/>
    <cellStyle name="Notiz 11 25" xfId="39472" xr:uid="{AF7CB11E-06CF-4DD9-ADA9-8847EA3FF9BC}"/>
    <cellStyle name="Notiz 11 26" xfId="15390" xr:uid="{7C3ECF16-87A6-4E02-BDAE-0E94E3E26E6D}"/>
    <cellStyle name="Notiz 11 3" xfId="15419" xr:uid="{EF273C3C-971E-4ED6-BBE3-822727F75094}"/>
    <cellStyle name="Notiz 11 3 2" xfId="15420" xr:uid="{3E0084B2-D6B4-428E-9A87-724009E788F9}"/>
    <cellStyle name="Notiz 11 3 2 2" xfId="34857" xr:uid="{36DB497F-1DEB-4A7D-977A-2BF63E4FE4B0}"/>
    <cellStyle name="Notiz 11 3 2 3" xfId="40931" xr:uid="{6215E8B1-C92D-4DF0-928F-547034017C45}"/>
    <cellStyle name="Notiz 11 3 3" xfId="34856" xr:uid="{C1819FE2-C21E-46BE-A0C9-1C2A2EE8B86E}"/>
    <cellStyle name="Notiz 11 3 3 2" xfId="41790" xr:uid="{E4AEA09D-C163-42D0-8AFD-5EF87EE851F1}"/>
    <cellStyle name="Notiz 11 3 4" xfId="40024" xr:uid="{19CEA84F-DA0C-4519-A49D-32FB33F4D119}"/>
    <cellStyle name="Notiz 11 4" xfId="15421" xr:uid="{190865B0-37B9-435B-B0A5-E08533E7632F}"/>
    <cellStyle name="Notiz 11 4 2" xfId="15422" xr:uid="{D345A1DB-C232-4060-9FBE-FAAF78B21F61}"/>
    <cellStyle name="Notiz 11 4 2 2" xfId="34859" xr:uid="{0CA32423-750D-478F-9E06-EE72F1FEBA12}"/>
    <cellStyle name="Notiz 11 4 3" xfId="34858" xr:uid="{8539D390-87DA-46DA-B205-7BC736F928EF}"/>
    <cellStyle name="Notiz 11 4 4" xfId="40490" xr:uid="{8DA3E291-6F5F-4D31-80E8-056C4F23C6AE}"/>
    <cellStyle name="Notiz 11 5" xfId="15423" xr:uid="{406B350B-5FD3-40B3-820E-D85EC485B70B}"/>
    <cellStyle name="Notiz 11 5 2" xfId="15424" xr:uid="{77F680C5-97DB-406C-9846-5D0055D91D70}"/>
    <cellStyle name="Notiz 11 5 2 2" xfId="34861" xr:uid="{E4EA4D96-7FD4-4225-BB39-73BF92AF02A4}"/>
    <cellStyle name="Notiz 11 5 3" xfId="34860" xr:uid="{9A28A1A7-7C67-42E0-815A-D55642CB25B4}"/>
    <cellStyle name="Notiz 11 5 4" xfId="41350" xr:uid="{0D3258CE-2BD1-4E49-B54D-917742010EB8}"/>
    <cellStyle name="Notiz 11 6" xfId="15425" xr:uid="{5BE79D2A-9230-4265-B523-54B2B7E958E3}"/>
    <cellStyle name="Notiz 11 6 2" xfId="15426" xr:uid="{A84FD9FF-EA5D-4931-B5B3-FE0DE2FAF731}"/>
    <cellStyle name="Notiz 11 6 2 2" xfId="34863" xr:uid="{B676F0AE-A7DB-4433-A4D3-DBBDC26BBCF7}"/>
    <cellStyle name="Notiz 11 6 3" xfId="34862" xr:uid="{7B73D993-545E-4A00-9E51-7B6D4E8ADB60}"/>
    <cellStyle name="Notiz 11 7" xfId="15427" xr:uid="{658C7820-C3AA-469D-A3CD-911092D6CB2C}"/>
    <cellStyle name="Notiz 11 7 2" xfId="15428" xr:uid="{279E8EE2-37FF-4364-B734-0FF03ECF10FF}"/>
    <cellStyle name="Notiz 11 7 2 2" xfId="34865" xr:uid="{2488D050-5611-4534-993D-5D5511BFBFB1}"/>
    <cellStyle name="Notiz 11 7 3" xfId="34864" xr:uid="{6F851BD4-635A-4E43-9CC0-AFF1A0355921}"/>
    <cellStyle name="Notiz 11 8" xfId="15429" xr:uid="{8BCBF0F9-3694-481F-B40B-E63AD7C820FE}"/>
    <cellStyle name="Notiz 11 8 2" xfId="15430" xr:uid="{D8B15FEF-8AFA-4D13-8CE6-12C3C2E13EA7}"/>
    <cellStyle name="Notiz 11 8 2 2" xfId="34867" xr:uid="{2732DB03-F6CA-4101-933F-EEC2D1844248}"/>
    <cellStyle name="Notiz 11 8 3" xfId="34866" xr:uid="{F129C42E-B0C8-46BE-95E5-630E9554935C}"/>
    <cellStyle name="Notiz 11 9" xfId="15431" xr:uid="{3F64F248-DB75-43E4-9502-3EB65532972D}"/>
    <cellStyle name="Notiz 11 9 2" xfId="15432" xr:uid="{1B05C2CA-DEB9-46B8-93FF-15DEFEF3C08D}"/>
    <cellStyle name="Notiz 11 9 2 2" xfId="34869" xr:uid="{489ED53D-6D39-4400-938A-8095E350117F}"/>
    <cellStyle name="Notiz 11 9 3" xfId="34868" xr:uid="{798C5EA7-57FA-4BAD-9DA1-BFE131D40F43}"/>
    <cellStyle name="Notiz 110" xfId="39474" xr:uid="{2EE1C23D-3B24-475C-A388-AF6E06563A9C}"/>
    <cellStyle name="Notiz 110 2" xfId="40026" xr:uid="{CE44107B-1C0F-4700-B5B5-810C2BA9335C}"/>
    <cellStyle name="Notiz 110 2 2" xfId="40933" xr:uid="{9CD117BB-B381-4BBF-8A88-7A7D3F8CD431}"/>
    <cellStyle name="Notiz 110 2 3" xfId="41792" xr:uid="{F52A509B-9EA8-49E5-8032-3B18E8DEB000}"/>
    <cellStyle name="Notiz 110 3" xfId="40492" xr:uid="{037D0FCA-2AF7-409B-98C8-C4B360F5215A}"/>
    <cellStyle name="Notiz 110 4" xfId="41352" xr:uid="{F61B5210-7B81-4427-B4B9-849C3D54D75E}"/>
    <cellStyle name="Notiz 111" xfId="39475" xr:uid="{C293E8C0-327F-4E73-AFA3-62532A99EB48}"/>
    <cellStyle name="Notiz 111 2" xfId="40027" xr:uid="{111F6F73-7074-4751-9F41-BE5D3832412D}"/>
    <cellStyle name="Notiz 111 2 2" xfId="40934" xr:uid="{E1DEAF61-1DEA-4B9C-BB55-B6C4B0D9F72D}"/>
    <cellStyle name="Notiz 111 2 3" xfId="41793" xr:uid="{684484CA-9B72-490A-8423-34D87057E11F}"/>
    <cellStyle name="Notiz 111 3" xfId="40493" xr:uid="{75604BC0-53D0-4449-AEB8-607FB109B715}"/>
    <cellStyle name="Notiz 111 4" xfId="41353" xr:uid="{DFB1CB22-D327-4FAC-BD3D-3DA7263F9C0F}"/>
    <cellStyle name="Notiz 112" xfId="39476" xr:uid="{9DAFFD1A-E340-46AA-AD25-49927C21B1BA}"/>
    <cellStyle name="Notiz 112 2" xfId="40028" xr:uid="{F42C513B-8590-4D03-A293-13001F8D4E8F}"/>
    <cellStyle name="Notiz 112 2 2" xfId="40935" xr:uid="{E0975B4A-FFB8-4606-8F2C-E42DD85386AC}"/>
    <cellStyle name="Notiz 112 2 3" xfId="41794" xr:uid="{E7B33428-5359-4535-8F85-B95C441EEC81}"/>
    <cellStyle name="Notiz 112 3" xfId="40494" xr:uid="{8C32D984-7BD2-47A8-A3D8-4B973CAD77C2}"/>
    <cellStyle name="Notiz 112 4" xfId="41354" xr:uid="{CDED8BF7-F07A-40DB-A5A1-81DD551DF818}"/>
    <cellStyle name="Notiz 113" xfId="39477" xr:uid="{011B590E-7C1B-424E-AEE4-166B25CC33AF}"/>
    <cellStyle name="Notiz 113 2" xfId="40029" xr:uid="{8DC1BFCD-E5AB-4533-9CFA-294C1871E9CB}"/>
    <cellStyle name="Notiz 113 2 2" xfId="40936" xr:uid="{B622BBC0-0C43-4579-992B-40B482CE89D2}"/>
    <cellStyle name="Notiz 113 2 3" xfId="41795" xr:uid="{77670E76-5392-4E53-8BEE-C66CAA60FC7A}"/>
    <cellStyle name="Notiz 113 3" xfId="40495" xr:uid="{AFAFA261-B994-476C-B0AA-9001C4F5697E}"/>
    <cellStyle name="Notiz 113 4" xfId="41355" xr:uid="{20F98419-613E-4577-82EB-E87FBAB93526}"/>
    <cellStyle name="Notiz 114" xfId="39478" xr:uid="{F01ED440-AFE3-4156-AB8A-A6229C6D28FD}"/>
    <cellStyle name="Notiz 114 2" xfId="40030" xr:uid="{5AC59421-EF6B-49DD-A80D-71C5AA2C2FEE}"/>
    <cellStyle name="Notiz 114 2 2" xfId="40937" xr:uid="{7718F04C-F967-41C8-90E1-F1917153223F}"/>
    <cellStyle name="Notiz 114 2 3" xfId="41796" xr:uid="{4CD7702A-9BFB-499E-9212-9BEE8D7D8F3C}"/>
    <cellStyle name="Notiz 114 3" xfId="40496" xr:uid="{A9CF66D6-11B8-4320-9CEA-89FBAD78514F}"/>
    <cellStyle name="Notiz 114 4" xfId="41356" xr:uid="{E9A66FBA-D6C5-41CB-B9EA-01BFC1C1C9D2}"/>
    <cellStyle name="Notiz 115" xfId="39479" xr:uid="{F015842D-F0A0-4354-9784-57C29FD22E05}"/>
    <cellStyle name="Notiz 115 2" xfId="40031" xr:uid="{1B8A6E2D-4EA5-448A-AC6B-98233565DDAC}"/>
    <cellStyle name="Notiz 115 2 2" xfId="40938" xr:uid="{1BC9BF37-4450-4264-9CFC-9DE09786489C}"/>
    <cellStyle name="Notiz 115 2 3" xfId="41797" xr:uid="{EAF5CD1D-58EF-4114-B1A8-70731FF99EC2}"/>
    <cellStyle name="Notiz 115 3" xfId="40497" xr:uid="{438B2C2A-0912-4E1B-B92A-A618BA7403A4}"/>
    <cellStyle name="Notiz 115 4" xfId="41357" xr:uid="{27A13419-3BE6-43D5-A0BC-32222D05F1CE}"/>
    <cellStyle name="Notiz 116" xfId="39480" xr:uid="{FAAD3448-3300-4AE4-973B-501935C67C6F}"/>
    <cellStyle name="Notiz 116 2" xfId="40032" xr:uid="{358937A7-8D5E-4CA4-97CE-4D10680B3D3B}"/>
    <cellStyle name="Notiz 116 2 2" xfId="40939" xr:uid="{AFA3E342-950B-4E74-88D1-E3AF636007A9}"/>
    <cellStyle name="Notiz 116 2 3" xfId="41798" xr:uid="{2FAE1E74-1692-4A75-A8A9-9FF74FF19E24}"/>
    <cellStyle name="Notiz 116 3" xfId="40498" xr:uid="{B4762056-F05D-46CB-B5D2-3D0EAD1FF053}"/>
    <cellStyle name="Notiz 116 4" xfId="41358" xr:uid="{7F213245-E119-4152-881B-0E390C0B2313}"/>
    <cellStyle name="Notiz 117" xfId="39481" xr:uid="{3FAE2489-AB9E-45DB-9646-C7598B9720D2}"/>
    <cellStyle name="Notiz 117 2" xfId="40033" xr:uid="{D160EAE5-2182-4FE8-B01C-6B98366E6742}"/>
    <cellStyle name="Notiz 117 2 2" xfId="40940" xr:uid="{E2CE6B51-2EA2-4FCA-A743-8BBB2011FE6E}"/>
    <cellStyle name="Notiz 117 2 3" xfId="41799" xr:uid="{06ACB0CC-17ED-415A-A4C2-D7C54FF2A824}"/>
    <cellStyle name="Notiz 117 3" xfId="40499" xr:uid="{C9504CB1-FDF3-4A35-A1C4-533E0651F976}"/>
    <cellStyle name="Notiz 117 4" xfId="41359" xr:uid="{E0791CE7-E59D-4CAE-ACB5-3FD31295A273}"/>
    <cellStyle name="Notiz 118" xfId="39482" xr:uid="{ECEB1661-0CD6-4AB1-862E-97CCE92D504C}"/>
    <cellStyle name="Notiz 118 2" xfId="40034" xr:uid="{328802DB-CE99-4F6B-B61B-54CC3BB6B2FF}"/>
    <cellStyle name="Notiz 118 2 2" xfId="40941" xr:uid="{59DC33E5-DA53-41DE-8978-9F1A28D6AB58}"/>
    <cellStyle name="Notiz 118 2 3" xfId="41800" xr:uid="{08E65D43-83A8-470E-84E7-D918A20FF4A2}"/>
    <cellStyle name="Notiz 118 3" xfId="40500" xr:uid="{DCA82BAE-9E87-4FF3-9372-035719E1F2A2}"/>
    <cellStyle name="Notiz 118 4" xfId="41360" xr:uid="{E0E8E041-2678-45A1-B99B-A098A01C2DBC}"/>
    <cellStyle name="Notiz 119" xfId="39483" xr:uid="{AD003931-FE97-4FF7-A861-5AFE2DF1886C}"/>
    <cellStyle name="Notiz 119 2" xfId="40035" xr:uid="{406A1184-4E33-4316-8EA4-20DC67448697}"/>
    <cellStyle name="Notiz 119 2 2" xfId="40942" xr:uid="{FFFF90F3-88F8-4444-86EC-D28EB8237937}"/>
    <cellStyle name="Notiz 119 2 3" xfId="41801" xr:uid="{66096533-F271-4F9B-B7C4-FDDE89D4E088}"/>
    <cellStyle name="Notiz 119 3" xfId="40501" xr:uid="{01FA8172-D25C-4368-8710-85C79A47D8BB}"/>
    <cellStyle name="Notiz 119 4" xfId="41361" xr:uid="{7C8A3ADC-06F3-4CD9-B6B8-3A8F41BFB0A3}"/>
    <cellStyle name="Notiz 12" xfId="66" xr:uid="{70C32C2A-22F7-42CA-9CA6-2019E5387817}"/>
    <cellStyle name="Notiz 12 10" xfId="15434" xr:uid="{5F48AE6E-9167-447B-B7F3-8AD832E41F2E}"/>
    <cellStyle name="Notiz 12 10 2" xfId="15435" xr:uid="{F7AAFF3D-846E-4A15-B780-04E992349197}"/>
    <cellStyle name="Notiz 12 10 2 2" xfId="34872" xr:uid="{46E51D99-F056-4062-8019-21E6F1F90BDA}"/>
    <cellStyle name="Notiz 12 10 3" xfId="34871" xr:uid="{9900F7B7-70B5-4AEF-A7EA-C13C40F4D070}"/>
    <cellStyle name="Notiz 12 11" xfId="15436" xr:uid="{6BB6D7A5-1AEF-4457-815D-73207BF75541}"/>
    <cellStyle name="Notiz 12 11 2" xfId="15437" xr:uid="{979EC0DE-3186-4AB8-A355-8C8776F9ABA3}"/>
    <cellStyle name="Notiz 12 11 2 2" xfId="34874" xr:uid="{75D54474-43EA-4A67-A5AA-DE1A0B7A8AF7}"/>
    <cellStyle name="Notiz 12 11 3" xfId="34873" xr:uid="{8EB0C68A-0EFB-47EF-BD00-B1C3FEFF0266}"/>
    <cellStyle name="Notiz 12 12" xfId="15438" xr:uid="{5C1114DF-0AFE-4C69-9900-7297A71EF7AE}"/>
    <cellStyle name="Notiz 12 12 2" xfId="15439" xr:uid="{03E44789-91CD-4F5D-8C32-4E578923DC29}"/>
    <cellStyle name="Notiz 12 12 2 2" xfId="34876" xr:uid="{7F6CD374-C5A2-432D-9211-7E4A99DC131B}"/>
    <cellStyle name="Notiz 12 12 3" xfId="34875" xr:uid="{66BE0BA6-7502-4D99-9583-0AAC957DBD7D}"/>
    <cellStyle name="Notiz 12 13" xfId="15440" xr:uid="{769EA4D7-E0F5-42E2-890D-2E79F7C1AF62}"/>
    <cellStyle name="Notiz 12 13 2" xfId="15441" xr:uid="{EEC909DA-4B5D-4385-8046-90289E1C5C62}"/>
    <cellStyle name="Notiz 12 13 2 2" xfId="34878" xr:uid="{733A7637-30D3-4B6E-8A22-20306C361EF3}"/>
    <cellStyle name="Notiz 12 13 3" xfId="34877" xr:uid="{01834D3A-2989-4AF5-AB24-0B6B465B1762}"/>
    <cellStyle name="Notiz 12 14" xfId="15442" xr:uid="{09513C67-6D42-4C81-B1FB-EEAF8BAD087D}"/>
    <cellStyle name="Notiz 12 14 2" xfId="15443" xr:uid="{C12E0597-35B6-4DEA-A479-3E15126FACB2}"/>
    <cellStyle name="Notiz 12 14 2 2" xfId="34880" xr:uid="{38DF8E65-8107-45E9-ACAA-2CF3D27BB85B}"/>
    <cellStyle name="Notiz 12 14 3" xfId="34879" xr:uid="{A199F552-0FCC-41B0-8086-2448668DC008}"/>
    <cellStyle name="Notiz 12 15" xfId="15444" xr:uid="{956D1A5E-300D-4541-B2CD-74F838603B6B}"/>
    <cellStyle name="Notiz 12 15 2" xfId="15445" xr:uid="{559E8DCB-A1C0-419C-8A0C-4B14B48286FC}"/>
    <cellStyle name="Notiz 12 15 2 2" xfId="34882" xr:uid="{BCB5CDBC-5A9A-46DB-87C1-D204C38A1116}"/>
    <cellStyle name="Notiz 12 15 3" xfId="34881" xr:uid="{C4B57C14-01DB-47C3-9582-895B0DA201D9}"/>
    <cellStyle name="Notiz 12 16" xfId="15446" xr:uid="{5DA0E294-AED7-4940-AEFF-EFC92A742664}"/>
    <cellStyle name="Notiz 12 16 2" xfId="15447" xr:uid="{643ABC91-57EF-44A2-92A4-C846E0CCC6DA}"/>
    <cellStyle name="Notiz 12 16 2 2" xfId="34884" xr:uid="{086B9883-1C09-4B14-983E-A8B8BD641390}"/>
    <cellStyle name="Notiz 12 16 3" xfId="34883" xr:uid="{52EFF8AC-0E93-44B8-A62F-5704A376C3AD}"/>
    <cellStyle name="Notiz 12 17" xfId="15448" xr:uid="{555B872B-0D46-4DB6-A151-C4A101F8C537}"/>
    <cellStyle name="Notiz 12 17 2" xfId="15449" xr:uid="{96F238F6-B32C-42B6-A9B6-BE6B1B3D4324}"/>
    <cellStyle name="Notiz 12 17 2 2" xfId="34886" xr:uid="{D95DA2A7-83BF-4E32-8459-BB36D82600F6}"/>
    <cellStyle name="Notiz 12 17 3" xfId="34885" xr:uid="{18AF75A1-AC0A-4E8B-8DD1-586DAE36DA46}"/>
    <cellStyle name="Notiz 12 18" xfId="15450" xr:uid="{67DCDAD8-DCC8-4854-8D20-57BD6AE75E08}"/>
    <cellStyle name="Notiz 12 18 2" xfId="15451" xr:uid="{BA79FF17-44F2-4619-A44F-43D60B5FF37D}"/>
    <cellStyle name="Notiz 12 18 2 2" xfId="34888" xr:uid="{F5EDB851-05C6-41F5-B029-BA6643CEA206}"/>
    <cellStyle name="Notiz 12 18 3" xfId="34887" xr:uid="{F5DBC32B-D8CD-4239-A7F4-3EA001530051}"/>
    <cellStyle name="Notiz 12 19" xfId="15452" xr:uid="{A3941DA0-2ECA-46FE-882F-DCCB89FC0071}"/>
    <cellStyle name="Notiz 12 19 2" xfId="15453" xr:uid="{D0D82BA8-9CDB-4770-8CBE-06CBCC9EA9A1}"/>
    <cellStyle name="Notiz 12 19 2 2" xfId="34890" xr:uid="{2E99230B-E706-4B40-B172-73D102FCF873}"/>
    <cellStyle name="Notiz 12 19 3" xfId="34889" xr:uid="{053ACC61-96D7-4472-B622-1D5C820C5C5C}"/>
    <cellStyle name="Notiz 12 2" xfId="15454" xr:uid="{89323DC0-05AA-49A2-83B4-99086568C612}"/>
    <cellStyle name="Notiz 12 2 2" xfId="15455" xr:uid="{736DDA88-5F43-4E05-AA3B-AD138BD13676}"/>
    <cellStyle name="Notiz 12 2 2 2" xfId="34892" xr:uid="{05F9C3D3-5FB3-4AAA-A87A-509821BBAE8C}"/>
    <cellStyle name="Notiz 12 2 2 2 2" xfId="40944" xr:uid="{A9D2ED19-65EA-4089-86CD-D65732B78761}"/>
    <cellStyle name="Notiz 12 2 2 3" xfId="41803" xr:uid="{BFAB60B6-1D54-4E99-82AA-0A4A507EBFB8}"/>
    <cellStyle name="Notiz 12 2 2 4" xfId="40037" xr:uid="{E871F43D-D24A-45C1-BA41-E7FE5AFF93AE}"/>
    <cellStyle name="Notiz 12 2 3" xfId="34891" xr:uid="{2F64DAF0-55A2-424A-B5CB-18A3F5D12433}"/>
    <cellStyle name="Notiz 12 2 3 2" xfId="40503" xr:uid="{4726B442-FE37-4804-BD2D-844C741161EE}"/>
    <cellStyle name="Notiz 12 2 4" xfId="41363" xr:uid="{AB7C2229-E5A0-463E-8260-0ECA0283FC37}"/>
    <cellStyle name="Notiz 12 2 5" xfId="39485" xr:uid="{A23A63B7-C9B3-4BCF-AC14-870372FF4DD7}"/>
    <cellStyle name="Notiz 12 20" xfId="15456" xr:uid="{93E17FD0-FD93-4567-A29D-3C0CF3BB7768}"/>
    <cellStyle name="Notiz 12 20 2" xfId="15457" xr:uid="{87AE9B33-B614-4EDD-B895-871ADB4393AA}"/>
    <cellStyle name="Notiz 12 20 2 2" xfId="34894" xr:uid="{F82DAF43-1389-4153-BCF5-83151FC220E8}"/>
    <cellStyle name="Notiz 12 20 3" xfId="34893" xr:uid="{9FB6BF7B-1FB9-4EAA-9CA6-C6D12C3F2735}"/>
    <cellStyle name="Notiz 12 21" xfId="15458" xr:uid="{FA1C9BCE-E768-4270-A81C-204034D183C4}"/>
    <cellStyle name="Notiz 12 21 2" xfId="15459" xr:uid="{61F40647-0012-4B1B-B37B-2BCE09B9E620}"/>
    <cellStyle name="Notiz 12 21 2 2" xfId="34896" xr:uid="{278FB797-7628-4D7E-841C-97A752DAE62A}"/>
    <cellStyle name="Notiz 12 21 3" xfId="34895" xr:uid="{FE8322E9-DC8F-4889-BB6C-94D7A43C208F}"/>
    <cellStyle name="Notiz 12 22" xfId="15460" xr:uid="{2BFAB72B-9211-47FA-BCA4-EF9D2A8987C8}"/>
    <cellStyle name="Notiz 12 22 2" xfId="34897" xr:uid="{C0B50511-940D-4FC5-AF25-01BACBA61449}"/>
    <cellStyle name="Notiz 12 23" xfId="15461" xr:uid="{0FA61C42-C804-4959-88B6-BE01D8CA9E7B}"/>
    <cellStyle name="Notiz 12 23 2" xfId="34898" xr:uid="{EFFD1BE5-C224-48BB-95E3-8F796099F82F}"/>
    <cellStyle name="Notiz 12 24" xfId="34870" xr:uid="{96975244-4AD6-42C9-952B-F59F0E8B9689}"/>
    <cellStyle name="Notiz 12 25" xfId="39484" xr:uid="{D738654A-1C44-42C9-8E74-0E05D0FF6420}"/>
    <cellStyle name="Notiz 12 26" xfId="15433" xr:uid="{6B450722-D098-4AB9-953D-EAB6D1881F04}"/>
    <cellStyle name="Notiz 12 3" xfId="15462" xr:uid="{810A0268-4F7A-4FEF-8E07-D667F0A9A0F5}"/>
    <cellStyle name="Notiz 12 3 2" xfId="15463" xr:uid="{430754A0-303B-4339-84B2-2B753DC2BBB4}"/>
    <cellStyle name="Notiz 12 3 2 2" xfId="34900" xr:uid="{A8E3160F-4803-454E-8912-DC7F4771BDA5}"/>
    <cellStyle name="Notiz 12 3 2 3" xfId="40943" xr:uid="{9A7DBC6F-83E9-4793-ADFC-C02251A4AE01}"/>
    <cellStyle name="Notiz 12 3 3" xfId="34899" xr:uid="{CA020E77-4E5E-43FD-9E8A-D642A2E22677}"/>
    <cellStyle name="Notiz 12 3 3 2" xfId="41802" xr:uid="{5BFDAC92-76F4-448C-998B-6EC8E982D130}"/>
    <cellStyle name="Notiz 12 3 4" xfId="40036" xr:uid="{C09E47BE-3D2C-4F35-B117-56C712C4D683}"/>
    <cellStyle name="Notiz 12 4" xfId="15464" xr:uid="{3AA3B011-4647-4EF4-ADB9-33056C9A1426}"/>
    <cellStyle name="Notiz 12 4 2" xfId="15465" xr:uid="{494F3C9A-1F7B-4B89-A22B-9109BD32854B}"/>
    <cellStyle name="Notiz 12 4 2 2" xfId="34902" xr:uid="{6FF5FDFA-0BEB-475E-A395-EEE8ACA5CBDF}"/>
    <cellStyle name="Notiz 12 4 3" xfId="34901" xr:uid="{51190649-4FBA-4EB7-9344-9312EDACF5DA}"/>
    <cellStyle name="Notiz 12 4 4" xfId="40502" xr:uid="{59FEE3FF-4B46-4AC7-AD72-A557437353DF}"/>
    <cellStyle name="Notiz 12 5" xfId="15466" xr:uid="{003F5831-F489-40C6-ADD9-994D140BE17C}"/>
    <cellStyle name="Notiz 12 5 2" xfId="15467" xr:uid="{4D133915-7449-4398-893E-380EAEE16E23}"/>
    <cellStyle name="Notiz 12 5 2 2" xfId="34904" xr:uid="{40AC3E03-7F0D-4976-B694-67FAF9B18545}"/>
    <cellStyle name="Notiz 12 5 3" xfId="34903" xr:uid="{9D37F4A7-7442-4BB7-B8E4-CE292E4A5177}"/>
    <cellStyle name="Notiz 12 5 4" xfId="41362" xr:uid="{02D49762-7A23-42F4-B341-4C5993E6F72C}"/>
    <cellStyle name="Notiz 12 6" xfId="15468" xr:uid="{580518D4-389B-47D3-8CC8-8AD7372E3CBF}"/>
    <cellStyle name="Notiz 12 6 2" xfId="15469" xr:uid="{1591A8D0-F08F-43A3-B1C9-11AA7511239A}"/>
    <cellStyle name="Notiz 12 6 2 2" xfId="34906" xr:uid="{37134125-141A-443B-8FD4-B33395C067F5}"/>
    <cellStyle name="Notiz 12 6 3" xfId="34905" xr:uid="{3E54EE39-7A50-462C-9ADF-F0375F08E575}"/>
    <cellStyle name="Notiz 12 7" xfId="15470" xr:uid="{236F9319-048E-42AB-AFF8-2B0114B88123}"/>
    <cellStyle name="Notiz 12 7 2" xfId="15471" xr:uid="{145AC1F6-7C4E-42D5-96DA-389B6CA3EF1C}"/>
    <cellStyle name="Notiz 12 7 2 2" xfId="34908" xr:uid="{723BEC21-73FF-47F9-90A6-EAFAF4FF7C90}"/>
    <cellStyle name="Notiz 12 7 3" xfId="34907" xr:uid="{2CFC24F5-3A4D-4E9B-AF0C-CA186B519EC9}"/>
    <cellStyle name="Notiz 12 8" xfId="15472" xr:uid="{7E0B9F41-2DBC-48C7-BC43-4082ED3776E8}"/>
    <cellStyle name="Notiz 12 8 2" xfId="15473" xr:uid="{80E2DF39-2451-4923-BBC7-20FB1F8AC870}"/>
    <cellStyle name="Notiz 12 8 2 2" xfId="34910" xr:uid="{ADEC6D8E-8BB2-4C8C-9017-23AE7C46A2AC}"/>
    <cellStyle name="Notiz 12 8 3" xfId="34909" xr:uid="{F3AA946C-C272-4923-B1AB-DDFEE9F842BE}"/>
    <cellStyle name="Notiz 12 9" xfId="15474" xr:uid="{4B651455-FCED-4D12-B955-243473F2F400}"/>
    <cellStyle name="Notiz 12 9 2" xfId="15475" xr:uid="{B1B1544C-C47E-48E5-B55B-F82FFDD73775}"/>
    <cellStyle name="Notiz 12 9 2 2" xfId="34912" xr:uid="{187FCA80-0456-4C4D-9918-112A6B4C72EF}"/>
    <cellStyle name="Notiz 12 9 3" xfId="34911" xr:uid="{7448FFC5-0047-4AC1-A965-8552BD727125}"/>
    <cellStyle name="Notiz 120" xfId="39486" xr:uid="{0907038A-9911-45BF-9A06-9341F95001AF}"/>
    <cellStyle name="Notiz 120 2" xfId="40038" xr:uid="{E54A134B-A6E5-4565-88AD-6E97CE21B2F6}"/>
    <cellStyle name="Notiz 120 2 2" xfId="40945" xr:uid="{50B14B06-57AD-49C6-A621-8746FA79C863}"/>
    <cellStyle name="Notiz 120 2 3" xfId="41804" xr:uid="{8F35AAFB-33F0-491C-872D-A7340AE0C4EB}"/>
    <cellStyle name="Notiz 120 3" xfId="40504" xr:uid="{8B624BB4-E234-45A8-8EF7-0137438A035E}"/>
    <cellStyle name="Notiz 120 4" xfId="41364" xr:uid="{63072F82-65CB-4D56-BCC6-4CE07CDA4A01}"/>
    <cellStyle name="Notiz 121" xfId="39487" xr:uid="{05301CF0-6C35-4E94-B1A1-A74B3BA1594B}"/>
    <cellStyle name="Notiz 121 2" xfId="40039" xr:uid="{2C2D2518-F6E6-4656-B5CD-6A583AD99483}"/>
    <cellStyle name="Notiz 121 2 2" xfId="40946" xr:uid="{5D9FB784-3225-40F8-944F-AE30099F4D0E}"/>
    <cellStyle name="Notiz 121 2 3" xfId="41805" xr:uid="{95230031-46D3-4104-B2A8-2620BBF905EA}"/>
    <cellStyle name="Notiz 121 3" xfId="40505" xr:uid="{9CB74AA4-94A3-4DBB-A8C2-F95511B10E74}"/>
    <cellStyle name="Notiz 121 4" xfId="41365" xr:uid="{D66DC48A-DA95-48DA-9571-86C6C1CEE9A6}"/>
    <cellStyle name="Notiz 122" xfId="39488" xr:uid="{7DAD3384-2AD9-433F-BFBE-8C7D68A002B6}"/>
    <cellStyle name="Notiz 122 2" xfId="40040" xr:uid="{38ECB101-8844-46F3-ADE2-A56E9CC88679}"/>
    <cellStyle name="Notiz 122 2 2" xfId="40947" xr:uid="{1CC09542-E679-4653-B78C-B044A3535F67}"/>
    <cellStyle name="Notiz 122 2 3" xfId="41806" xr:uid="{9569A489-C724-484A-8417-0BE63A9F78C2}"/>
    <cellStyle name="Notiz 122 3" xfId="40506" xr:uid="{FA58585D-A22D-4269-860C-2B4F4459B639}"/>
    <cellStyle name="Notiz 122 4" xfId="41366" xr:uid="{8880A55C-3BFF-4680-A3CD-AD085488AE50}"/>
    <cellStyle name="Notiz 123" xfId="39489" xr:uid="{95442421-EF72-49EF-965D-476057733EAC}"/>
    <cellStyle name="Notiz 123 2" xfId="40041" xr:uid="{9EFEDAD4-5BF8-44C2-900B-FC23C306CFE2}"/>
    <cellStyle name="Notiz 123 2 2" xfId="40948" xr:uid="{8FA88503-00B5-4905-8570-8658EEA48874}"/>
    <cellStyle name="Notiz 123 2 3" xfId="41807" xr:uid="{1EABDBFC-925A-46B5-8486-8A27C97AD208}"/>
    <cellStyle name="Notiz 123 3" xfId="40507" xr:uid="{645C1A34-708E-481A-996D-6003E8163513}"/>
    <cellStyle name="Notiz 123 4" xfId="41367" xr:uid="{16E445AF-2AC3-4E2D-937B-A53ADDDACD14}"/>
    <cellStyle name="Notiz 124" xfId="39490" xr:uid="{70CA23F3-0586-4D4D-9C1E-42E3F2B3B78B}"/>
    <cellStyle name="Notiz 124 2" xfId="40042" xr:uid="{01E341F5-D239-4617-815A-DFC433466B54}"/>
    <cellStyle name="Notiz 124 2 2" xfId="40949" xr:uid="{816A245F-8732-487F-A1EB-A328BAD2B260}"/>
    <cellStyle name="Notiz 124 2 3" xfId="41808" xr:uid="{8EF57F47-4698-4E94-A458-F7A7DD19DD42}"/>
    <cellStyle name="Notiz 124 3" xfId="40508" xr:uid="{2CB7D7B3-1F45-4EDC-B5C8-464AB3FC16A3}"/>
    <cellStyle name="Notiz 124 4" xfId="41368" xr:uid="{2A325AC2-5EF9-42A7-B4D8-9701B29379C1}"/>
    <cellStyle name="Notiz 125" xfId="39491" xr:uid="{404FD299-521F-4390-8F21-12D6B8133820}"/>
    <cellStyle name="Notiz 125 2" xfId="40043" xr:uid="{ADD6764E-0AD7-4C76-BAEC-BA63A4B92D8E}"/>
    <cellStyle name="Notiz 125 2 2" xfId="40950" xr:uid="{19608BCC-C037-48F6-B315-89796A9EA7F8}"/>
    <cellStyle name="Notiz 125 2 3" xfId="41809" xr:uid="{EC203B5E-6F78-4CD3-817A-BE2F663DED7C}"/>
    <cellStyle name="Notiz 125 3" xfId="40509" xr:uid="{E8D28E27-2E07-4C8D-A550-7CFF70132D46}"/>
    <cellStyle name="Notiz 125 4" xfId="41369" xr:uid="{8E0F33D6-0922-47B4-A3AA-BB67A29FA3DE}"/>
    <cellStyle name="Notiz 126" xfId="39492" xr:uid="{66686FB5-4179-4159-B59F-B4513DC763C0}"/>
    <cellStyle name="Notiz 126 2" xfId="40044" xr:uid="{D88B795E-1CFA-4678-9BCE-12D9B03F8027}"/>
    <cellStyle name="Notiz 126 2 2" xfId="40951" xr:uid="{A9D702DA-2837-4BD3-9BA4-839AA4D90AC1}"/>
    <cellStyle name="Notiz 126 2 3" xfId="41810" xr:uid="{DE3BF968-09D8-4355-B830-18DD6F4C5A61}"/>
    <cellStyle name="Notiz 126 3" xfId="40510" xr:uid="{CCFD97C8-CFB1-451E-B26C-A57F5E0CBB4F}"/>
    <cellStyle name="Notiz 126 4" xfId="41370" xr:uid="{4CC6084F-2EF4-46A8-BDC5-C92775F464BE}"/>
    <cellStyle name="Notiz 127" xfId="39493" xr:uid="{221FE9B2-92DC-4446-B443-5450CCA0BF29}"/>
    <cellStyle name="Notiz 127 2" xfId="40045" xr:uid="{3DFB0B2F-8C36-4542-BC8E-675CD9F8FE3A}"/>
    <cellStyle name="Notiz 127 2 2" xfId="40952" xr:uid="{181E2112-B836-4155-9AEC-815C6E220BA9}"/>
    <cellStyle name="Notiz 127 2 3" xfId="41811" xr:uid="{84E3F96F-1B78-4887-A2AB-371554799481}"/>
    <cellStyle name="Notiz 127 3" xfId="40511" xr:uid="{EF3C309E-9A0C-4BCB-9137-D7C81F49D2D4}"/>
    <cellStyle name="Notiz 127 4" xfId="41371" xr:uid="{3E6FB64F-3B4E-46E6-ADBB-FE039B72C552}"/>
    <cellStyle name="Notiz 128" xfId="39494" xr:uid="{AE6ED83C-F05F-4A19-BF10-578922E19F0B}"/>
    <cellStyle name="Notiz 128 2" xfId="40046" xr:uid="{D4F49F1C-9C7D-4CAA-A7D4-6C1F7B4E724A}"/>
    <cellStyle name="Notiz 128 2 2" xfId="40953" xr:uid="{ACAE59EF-3C83-4E82-B736-73D6F534E2AD}"/>
    <cellStyle name="Notiz 128 2 3" xfId="41812" xr:uid="{82A1B53E-C751-49AF-AB0E-AED648E6FEE9}"/>
    <cellStyle name="Notiz 128 3" xfId="40512" xr:uid="{E95E342F-A754-42CF-9321-B54CC72B1B29}"/>
    <cellStyle name="Notiz 128 4" xfId="41372" xr:uid="{44204400-E796-4F3F-8681-C335ABE42867}"/>
    <cellStyle name="Notiz 129" xfId="39495" xr:uid="{3E7F1845-A37E-4FB4-B0D5-8CD635460D87}"/>
    <cellStyle name="Notiz 129 2" xfId="40047" xr:uid="{F981C4B5-174D-44FA-89BA-D3A78FB7F1F4}"/>
    <cellStyle name="Notiz 129 2 2" xfId="40954" xr:uid="{7C9EC399-4966-4D52-8E62-AA6A71ED52CD}"/>
    <cellStyle name="Notiz 129 2 3" xfId="41813" xr:uid="{D3BD26A1-4A55-447E-8961-9DE133D33D1B}"/>
    <cellStyle name="Notiz 129 3" xfId="40513" xr:uid="{7DD1762E-FB77-4AA8-9E1C-794B75001862}"/>
    <cellStyle name="Notiz 129 4" xfId="41373" xr:uid="{5779AD43-6D5F-40DB-BD61-8C04CEF84DD6}"/>
    <cellStyle name="Notiz 13" xfId="67" xr:uid="{8DB4B884-206E-4770-87DD-BB4BF222DD0D}"/>
    <cellStyle name="Notiz 13 10" xfId="15477" xr:uid="{69B95AD2-8FE6-4E32-B5EC-4F876317A95A}"/>
    <cellStyle name="Notiz 13 10 2" xfId="15478" xr:uid="{88DAF9FC-904B-4303-8E4D-6DE7D5118DE1}"/>
    <cellStyle name="Notiz 13 10 2 2" xfId="34915" xr:uid="{BDFEE034-06FB-411B-BE26-1DAE6ACB7912}"/>
    <cellStyle name="Notiz 13 10 3" xfId="34914" xr:uid="{D7CB75DD-0A7F-41D8-A4E5-8BC163EF68CC}"/>
    <cellStyle name="Notiz 13 11" xfId="15479" xr:uid="{A6770CC9-F827-4CD7-BE94-91A5CD5E5A5E}"/>
    <cellStyle name="Notiz 13 11 2" xfId="15480" xr:uid="{6E8E4972-616A-4770-A830-3C779F2D06AF}"/>
    <cellStyle name="Notiz 13 11 2 2" xfId="34917" xr:uid="{886D6589-7C8B-4DE6-BC84-1A269F4EFE92}"/>
    <cellStyle name="Notiz 13 11 3" xfId="34916" xr:uid="{F45686AE-307B-4F89-B380-789707BDE2CC}"/>
    <cellStyle name="Notiz 13 12" xfId="15481" xr:uid="{9887BD31-1342-4DEE-8642-DEC748BB94A8}"/>
    <cellStyle name="Notiz 13 12 2" xfId="15482" xr:uid="{D1FB7C2B-1542-4793-9D77-9C7A87C9AF56}"/>
    <cellStyle name="Notiz 13 12 2 2" xfId="34919" xr:uid="{049C1994-3C51-4F0C-BB18-3C382A5C6A97}"/>
    <cellStyle name="Notiz 13 12 3" xfId="34918" xr:uid="{97584579-8AF9-4A3B-A10D-E953A4B3F4E1}"/>
    <cellStyle name="Notiz 13 13" xfId="15483" xr:uid="{A9599BE9-9A91-4B92-A559-2834A27E7587}"/>
    <cellStyle name="Notiz 13 13 2" xfId="15484" xr:uid="{50306F85-7A1F-4D6F-BA8C-6C42E42BD698}"/>
    <cellStyle name="Notiz 13 13 2 2" xfId="34921" xr:uid="{96DA88EA-6E79-45A2-99A7-0A79F5781D57}"/>
    <cellStyle name="Notiz 13 13 3" xfId="34920" xr:uid="{3A35D61B-5E1C-4D17-976D-A090974D0E65}"/>
    <cellStyle name="Notiz 13 14" xfId="15485" xr:uid="{F71A8DFC-5C7A-4A2D-B27B-A91D994FBA86}"/>
    <cellStyle name="Notiz 13 14 2" xfId="15486" xr:uid="{52813363-8AD6-498A-A584-A2F8E970A698}"/>
    <cellStyle name="Notiz 13 14 2 2" xfId="34923" xr:uid="{5BB61D61-B574-4BAA-B84D-8714A7B8E401}"/>
    <cellStyle name="Notiz 13 14 3" xfId="34922" xr:uid="{CC515744-BE99-4F56-9F17-6D29DAC276CF}"/>
    <cellStyle name="Notiz 13 15" xfId="15487" xr:uid="{5A7A4760-19BB-4988-88A7-4C28F2463B1A}"/>
    <cellStyle name="Notiz 13 15 2" xfId="15488" xr:uid="{34081866-D3DB-4598-A94B-F22D943C38AE}"/>
    <cellStyle name="Notiz 13 15 2 2" xfId="34925" xr:uid="{C7798247-E128-4AA3-9972-FB74E6E36522}"/>
    <cellStyle name="Notiz 13 15 3" xfId="34924" xr:uid="{637A31AD-EBAA-47B4-A3AA-FCB5133755BD}"/>
    <cellStyle name="Notiz 13 16" xfId="15489" xr:uid="{FFD33D09-CBBB-4B7B-BF04-8230AD1066F6}"/>
    <cellStyle name="Notiz 13 16 2" xfId="15490" xr:uid="{94CD5DB0-5E12-49CC-9504-7D0A6D249911}"/>
    <cellStyle name="Notiz 13 16 2 2" xfId="34927" xr:uid="{C581EF17-A3A0-4EEF-8301-5F9974834304}"/>
    <cellStyle name="Notiz 13 16 3" xfId="34926" xr:uid="{E11D794C-8C2D-40D0-9CA1-AEE10A570FE6}"/>
    <cellStyle name="Notiz 13 17" xfId="15491" xr:uid="{62274ECC-CFAB-4165-95F7-20DD9398E674}"/>
    <cellStyle name="Notiz 13 17 2" xfId="15492" xr:uid="{B9F13FF5-F3B7-437C-BE3F-49D353E9C6D7}"/>
    <cellStyle name="Notiz 13 17 2 2" xfId="34929" xr:uid="{E6DE2917-0F4A-4CC3-A8ED-E647CF2059A3}"/>
    <cellStyle name="Notiz 13 17 3" xfId="34928" xr:uid="{9B168178-20F0-4749-823B-73446E8DAF0F}"/>
    <cellStyle name="Notiz 13 18" xfId="15493" xr:uid="{48E25E6E-8B85-43B4-9476-56DD9B8E2819}"/>
    <cellStyle name="Notiz 13 18 2" xfId="15494" xr:uid="{940A7318-1BC2-44DE-B6F0-39516D15E1D4}"/>
    <cellStyle name="Notiz 13 18 2 2" xfId="34931" xr:uid="{65219A8A-BF55-4419-8207-F035AD714C5A}"/>
    <cellStyle name="Notiz 13 18 3" xfId="34930" xr:uid="{BD2DD5A8-7EAD-4F36-8819-A70F4BEE43F2}"/>
    <cellStyle name="Notiz 13 19" xfId="15495" xr:uid="{A33850D0-A198-45F2-893F-7F8BF2C60AF6}"/>
    <cellStyle name="Notiz 13 19 2" xfId="15496" xr:uid="{801B5089-4A7C-48C5-9ED1-91EAB9B98A67}"/>
    <cellStyle name="Notiz 13 19 2 2" xfId="34933" xr:uid="{4A193DF0-31D0-4792-9936-E931F798F8A6}"/>
    <cellStyle name="Notiz 13 19 3" xfId="34932" xr:uid="{F7DC0D5F-DEF8-40EB-9505-7D40413DA5E6}"/>
    <cellStyle name="Notiz 13 2" xfId="15497" xr:uid="{07BDF45B-B9E6-4EB5-98D8-256C0329B33C}"/>
    <cellStyle name="Notiz 13 2 2" xfId="15498" xr:uid="{5E012E0F-C324-4616-AD3F-F1A700A54CF2}"/>
    <cellStyle name="Notiz 13 2 2 2" xfId="34935" xr:uid="{F3274E8A-C535-4685-9F49-E00E5913F7EE}"/>
    <cellStyle name="Notiz 13 2 2 2 2" xfId="40956" xr:uid="{044AAAEC-D2BF-46D2-B978-D8F9E8906E4E}"/>
    <cellStyle name="Notiz 13 2 2 3" xfId="41815" xr:uid="{81BA6C9B-2823-478B-A98D-D5C5FE2A5118}"/>
    <cellStyle name="Notiz 13 2 2 4" xfId="40049" xr:uid="{85E68468-D3AF-4243-AE22-A46E0654F315}"/>
    <cellStyle name="Notiz 13 2 3" xfId="34934" xr:uid="{22336CA8-F038-48EF-B38E-07BB42A95509}"/>
    <cellStyle name="Notiz 13 2 3 2" xfId="40515" xr:uid="{02491E47-29E8-4830-935D-480058F557E1}"/>
    <cellStyle name="Notiz 13 2 4" xfId="41375" xr:uid="{B7496E2B-F18E-49E0-AA5C-C2C840163F53}"/>
    <cellStyle name="Notiz 13 2 5" xfId="39497" xr:uid="{1FFC52CB-4DE5-4D6D-A2A0-6751A87C0667}"/>
    <cellStyle name="Notiz 13 20" xfId="15499" xr:uid="{A5F1D8EF-A376-40CD-9022-DFA7C6357F8F}"/>
    <cellStyle name="Notiz 13 20 2" xfId="15500" xr:uid="{72CF58F5-88E9-4CFE-8C38-B8395448243B}"/>
    <cellStyle name="Notiz 13 20 2 2" xfId="34937" xr:uid="{62FFA1FD-D907-4586-ABC0-29E658C3E68D}"/>
    <cellStyle name="Notiz 13 20 3" xfId="34936" xr:uid="{876D761E-C9A2-4D8E-928B-07A24E2AD05C}"/>
    <cellStyle name="Notiz 13 21" xfId="15501" xr:uid="{0DC47B93-4A19-4416-85CA-161FB3680A80}"/>
    <cellStyle name="Notiz 13 21 2" xfId="15502" xr:uid="{7F2B09C8-C130-41E9-893F-BA714D6CDDF3}"/>
    <cellStyle name="Notiz 13 21 2 2" xfId="34939" xr:uid="{C5964488-38EA-48E1-AAEF-88BBCF0F267F}"/>
    <cellStyle name="Notiz 13 21 3" xfId="34938" xr:uid="{1E26346E-7560-4769-AE20-B9C470A7274F}"/>
    <cellStyle name="Notiz 13 22" xfId="15503" xr:uid="{3D6FC101-9CB1-4C11-B74F-0D54FCDF5FF3}"/>
    <cellStyle name="Notiz 13 22 2" xfId="34940" xr:uid="{9A310C9D-9AA0-4DC2-829D-289FB25BB250}"/>
    <cellStyle name="Notiz 13 23" xfId="15504" xr:uid="{A6D27CDD-0CC2-4C26-B959-4F7283121B94}"/>
    <cellStyle name="Notiz 13 23 2" xfId="34941" xr:uid="{F1BE4D1B-D385-4793-B916-18C9B22A0F8A}"/>
    <cellStyle name="Notiz 13 24" xfId="34913" xr:uid="{31F2F80A-36B4-4D46-89B8-43743D240FFC}"/>
    <cellStyle name="Notiz 13 25" xfId="39496" xr:uid="{76DCB487-0640-4C49-B2A9-A61A7F69CE31}"/>
    <cellStyle name="Notiz 13 26" xfId="15476" xr:uid="{5FDE0AC0-862D-4D87-9422-91EBA6D1539E}"/>
    <cellStyle name="Notiz 13 3" xfId="15505" xr:uid="{5849F76A-7B69-4BCE-8587-89F571124CDD}"/>
    <cellStyle name="Notiz 13 3 2" xfId="15506" xr:uid="{4087AB9A-97A5-472D-91E7-EF63E4FFBA02}"/>
    <cellStyle name="Notiz 13 3 2 2" xfId="34943" xr:uid="{312FC117-588E-4DAF-B235-29A2DBD5B888}"/>
    <cellStyle name="Notiz 13 3 2 3" xfId="40955" xr:uid="{E30829A3-DA5D-4513-A429-0CBAA3BBF5FE}"/>
    <cellStyle name="Notiz 13 3 3" xfId="34942" xr:uid="{18C4E8F0-958F-4096-BDE9-49761104BFDF}"/>
    <cellStyle name="Notiz 13 3 3 2" xfId="41814" xr:uid="{5232C351-3773-4A61-B2E9-3AE442F9B5C1}"/>
    <cellStyle name="Notiz 13 3 4" xfId="40048" xr:uid="{02D90772-BDB6-4A75-9493-074BBFB36E31}"/>
    <cellStyle name="Notiz 13 4" xfId="15507" xr:uid="{D8A32DEC-5AF5-4A4A-8288-0AFF82762D4F}"/>
    <cellStyle name="Notiz 13 4 2" xfId="15508" xr:uid="{10CE1648-FCA3-4CA5-AA95-4BD5DB9E0823}"/>
    <cellStyle name="Notiz 13 4 2 2" xfId="34945" xr:uid="{AB55A381-F6D8-4777-9DFB-4E1136F6E165}"/>
    <cellStyle name="Notiz 13 4 3" xfId="34944" xr:uid="{AE7CABA0-340E-4762-8691-2077CC163762}"/>
    <cellStyle name="Notiz 13 4 4" xfId="40514" xr:uid="{930B1155-728B-402B-844C-2890770DA99B}"/>
    <cellStyle name="Notiz 13 5" xfId="15509" xr:uid="{C474400D-33D1-4D32-97F7-A3DF1D8BDEA0}"/>
    <cellStyle name="Notiz 13 5 2" xfId="15510" xr:uid="{DBA2FBD6-721E-4EC1-BF4E-FB95228E7EEF}"/>
    <cellStyle name="Notiz 13 5 2 2" xfId="34947" xr:uid="{6F092AE2-16AB-4C55-8126-651D035CDF3E}"/>
    <cellStyle name="Notiz 13 5 3" xfId="34946" xr:uid="{AA0E7B79-C2BD-4042-AD6D-76055822EB68}"/>
    <cellStyle name="Notiz 13 5 4" xfId="41374" xr:uid="{9FBDC8F2-848B-40BA-A425-94349282B5EF}"/>
    <cellStyle name="Notiz 13 6" xfId="15511" xr:uid="{06279B68-EA3B-4D0D-9059-A4A36BD0394F}"/>
    <cellStyle name="Notiz 13 6 2" xfId="15512" xr:uid="{47C2497F-71E8-42C2-99FC-5B4F48D9E0EE}"/>
    <cellStyle name="Notiz 13 6 2 2" xfId="34949" xr:uid="{C6EDD3B5-EE56-44FD-991E-3A09398B3541}"/>
    <cellStyle name="Notiz 13 6 3" xfId="34948" xr:uid="{271DA123-A643-4AE5-97B3-09A9C9007F67}"/>
    <cellStyle name="Notiz 13 7" xfId="15513" xr:uid="{3491CCF2-6A8B-42EE-BA56-12907395E927}"/>
    <cellStyle name="Notiz 13 7 2" xfId="15514" xr:uid="{BBF4DEED-F2FB-4B1C-B319-9CFFE96909B8}"/>
    <cellStyle name="Notiz 13 7 2 2" xfId="34951" xr:uid="{39385E32-FBEC-4F98-9103-471CBFB12BDD}"/>
    <cellStyle name="Notiz 13 7 3" xfId="34950" xr:uid="{D64A60C6-C3F1-45AB-B3E4-273B8096EE40}"/>
    <cellStyle name="Notiz 13 8" xfId="15515" xr:uid="{0401C30D-A3D4-4330-A20F-0D21F068D5DA}"/>
    <cellStyle name="Notiz 13 8 2" xfId="15516" xr:uid="{E3145744-1AD1-46D3-BF47-C7EB39414943}"/>
    <cellStyle name="Notiz 13 8 2 2" xfId="34953" xr:uid="{E8C69550-DD0C-4271-9F97-3A51EB744DDE}"/>
    <cellStyle name="Notiz 13 8 3" xfId="34952" xr:uid="{69A5919F-1114-4B78-9954-D511B45EBF13}"/>
    <cellStyle name="Notiz 13 9" xfId="15517" xr:uid="{3FD14A35-35AC-4E93-B294-3782D38C3CAA}"/>
    <cellStyle name="Notiz 13 9 2" xfId="15518" xr:uid="{3EF69640-D9BA-4E77-8BA3-9CE720BF5787}"/>
    <cellStyle name="Notiz 13 9 2 2" xfId="34955" xr:uid="{EEEDB8DB-1220-4A5E-B25E-CDA5E1DB1D34}"/>
    <cellStyle name="Notiz 13 9 3" xfId="34954" xr:uid="{3F02AAB7-9A3E-431C-B465-2FFCB295AAB3}"/>
    <cellStyle name="Notiz 130" xfId="39498" xr:uid="{A3ED97B9-30AD-423A-9001-BE6C4C42D5FA}"/>
    <cellStyle name="Notiz 130 2" xfId="40050" xr:uid="{C7A32B6E-8616-4E2C-9A37-074AD15E1DFA}"/>
    <cellStyle name="Notiz 130 2 2" xfId="40957" xr:uid="{A1D4E748-89A0-4094-A163-B8D220BBDA39}"/>
    <cellStyle name="Notiz 130 2 3" xfId="41816" xr:uid="{B2830508-018E-40B6-A614-D23B6F007DC1}"/>
    <cellStyle name="Notiz 130 3" xfId="40516" xr:uid="{368348A3-521E-46FE-8FFB-0A9D888F4450}"/>
    <cellStyle name="Notiz 130 4" xfId="41376" xr:uid="{7DF36FE9-F87B-4602-AF8A-1B228320724A}"/>
    <cellStyle name="Notiz 131" xfId="39499" xr:uid="{9AFEBB22-09DA-4680-81D0-225E1950714A}"/>
    <cellStyle name="Notiz 131 2" xfId="40051" xr:uid="{6AAACE49-EF36-4715-9C22-0E50E2FBCA4F}"/>
    <cellStyle name="Notiz 131 2 2" xfId="40958" xr:uid="{D131FB88-0C19-4317-84FF-F6F17DFFC4AD}"/>
    <cellStyle name="Notiz 131 2 3" xfId="41817" xr:uid="{909DCDF0-0B37-4524-8370-81B924931F50}"/>
    <cellStyle name="Notiz 131 3" xfId="40517" xr:uid="{C59AB352-2323-44ED-B6D0-C13FC07E1D5F}"/>
    <cellStyle name="Notiz 131 4" xfId="41377" xr:uid="{FB6D80CD-9633-48BA-B8D7-49A59034320A}"/>
    <cellStyle name="Notiz 132" xfId="39500" xr:uid="{3CE41597-B139-4CF2-8676-D75B076E8A82}"/>
    <cellStyle name="Notiz 132 2" xfId="40052" xr:uid="{EFB692A2-A820-4400-ACA9-77F5D75395DF}"/>
    <cellStyle name="Notiz 132 2 2" xfId="40959" xr:uid="{B5D564F0-D314-4261-A168-2E399C031AB1}"/>
    <cellStyle name="Notiz 132 2 3" xfId="41818" xr:uid="{746A33DF-49A3-45C9-8FED-C7925C332510}"/>
    <cellStyle name="Notiz 132 3" xfId="40518" xr:uid="{3F6D1F01-7C5B-4741-9CF7-EA4A6655FBC2}"/>
    <cellStyle name="Notiz 132 4" xfId="41378" xr:uid="{8A0C588E-9378-4D62-9232-DC6E3944F15C}"/>
    <cellStyle name="Notiz 133" xfId="39501" xr:uid="{A5E76A4E-C078-4ED6-AD0F-39A6810E48DE}"/>
    <cellStyle name="Notiz 133 2" xfId="40053" xr:uid="{D48B9DB8-0248-48CC-AB02-936E1D47284F}"/>
    <cellStyle name="Notiz 133 2 2" xfId="40960" xr:uid="{5D60D57C-1341-4D97-871B-EF6D364D13D1}"/>
    <cellStyle name="Notiz 133 2 3" xfId="41819" xr:uid="{FD051706-7F9C-444E-BE00-EE1D35AC444E}"/>
    <cellStyle name="Notiz 133 3" xfId="40519" xr:uid="{84C8E47E-D913-4CDE-983B-6EE4991667FE}"/>
    <cellStyle name="Notiz 133 4" xfId="41379" xr:uid="{47D4B0A4-5E20-426B-8FD7-6CD1B9516C39}"/>
    <cellStyle name="Notiz 134" xfId="39502" xr:uid="{A6F0F1E0-5BE8-4276-AED6-96EC97045CAC}"/>
    <cellStyle name="Notiz 134 2" xfId="40054" xr:uid="{74D8E6F2-287C-437F-B799-0761DBF63503}"/>
    <cellStyle name="Notiz 134 2 2" xfId="40961" xr:uid="{037ADD32-83FB-4FDE-A172-7C4810F6E5D0}"/>
    <cellStyle name="Notiz 134 2 3" xfId="41820" xr:uid="{29AD666C-52F6-4C48-A096-B928372A9DBD}"/>
    <cellStyle name="Notiz 134 3" xfId="40520" xr:uid="{196F64CD-32DE-49B2-927A-10E6FEE40431}"/>
    <cellStyle name="Notiz 134 4" xfId="41380" xr:uid="{6266C4CD-3270-48D1-8769-865ABCC326EC}"/>
    <cellStyle name="Notiz 135" xfId="39503" xr:uid="{103FDC8B-DA9B-4649-A8B4-41ED24D15EDD}"/>
    <cellStyle name="Notiz 135 2" xfId="40055" xr:uid="{664F55CE-CBC9-4AA5-BCB0-196673E098E4}"/>
    <cellStyle name="Notiz 135 2 2" xfId="40962" xr:uid="{880C5F39-6797-4815-86C2-592B88E28481}"/>
    <cellStyle name="Notiz 135 2 3" xfId="41821" xr:uid="{F6798600-BF2A-4DB2-91C5-48B01E8841C4}"/>
    <cellStyle name="Notiz 135 3" xfId="40521" xr:uid="{B8FB508B-7A8A-434A-BB1D-DECD356B02A6}"/>
    <cellStyle name="Notiz 135 4" xfId="41381" xr:uid="{E2C704AC-4B5D-4D74-B5DC-1FA14B0F412C}"/>
    <cellStyle name="Notiz 136" xfId="39504" xr:uid="{86A14C93-F26E-4C8E-824F-EB396255C535}"/>
    <cellStyle name="Notiz 136 2" xfId="40056" xr:uid="{7B67D834-4771-4DDB-832A-77F8AD8BDEE4}"/>
    <cellStyle name="Notiz 136 2 2" xfId="40963" xr:uid="{89E681D3-41F9-4131-A886-FF11A2D3C935}"/>
    <cellStyle name="Notiz 136 2 3" xfId="41822" xr:uid="{E8FCF842-8023-413B-9145-43DA2BAF6A71}"/>
    <cellStyle name="Notiz 136 3" xfId="40522" xr:uid="{913E63E3-439D-4D5F-B1A8-5663471335A1}"/>
    <cellStyle name="Notiz 136 4" xfId="41382" xr:uid="{83F07747-AA2A-400B-9BF3-F36E9B875079}"/>
    <cellStyle name="Notiz 137" xfId="39505" xr:uid="{E3FCABBE-C712-4BC4-B008-23F9A25B4407}"/>
    <cellStyle name="Notiz 137 2" xfId="40057" xr:uid="{8B3CE581-760E-401E-ABF6-189D30EB3581}"/>
    <cellStyle name="Notiz 137 2 2" xfId="40964" xr:uid="{ADD92DB6-8F3E-4E07-8B68-06BCCD2BEDC2}"/>
    <cellStyle name="Notiz 137 2 3" xfId="41823" xr:uid="{736E43AD-01A6-414A-BBBD-AA85473CF0C7}"/>
    <cellStyle name="Notiz 137 3" xfId="40523" xr:uid="{3A6F7802-316E-4369-BF9E-D605E270B470}"/>
    <cellStyle name="Notiz 137 4" xfId="41383" xr:uid="{27882F76-43A9-47AF-89B1-2B0034B83929}"/>
    <cellStyle name="Notiz 138" xfId="39506" xr:uid="{492E837C-BB1F-4F06-9D29-6E7D08605139}"/>
    <cellStyle name="Notiz 138 2" xfId="40059" xr:uid="{84409369-FDA0-46A7-8474-4A29655C8C6F}"/>
    <cellStyle name="Notiz 138 2 2" xfId="40966" xr:uid="{200087F1-4EB3-4B3C-B338-4F3F0ACEAA61}"/>
    <cellStyle name="Notiz 138 2 3" xfId="41825" xr:uid="{64539417-FA4D-410A-AB23-D4061862C96D}"/>
    <cellStyle name="Notiz 138 3" xfId="40058" xr:uid="{2593D985-2FAB-4AA4-8EC5-EF7F1990C2D7}"/>
    <cellStyle name="Notiz 138 3 2" xfId="40965" xr:uid="{697406F5-BD20-495D-96C4-2020998C0071}"/>
    <cellStyle name="Notiz 138 3 3" xfId="41824" xr:uid="{5AC98C88-CE7D-4A70-8E17-CAC62D8F697B}"/>
    <cellStyle name="Notiz 138 4" xfId="40524" xr:uid="{53618309-456E-43EC-9BD1-4EAD9E7561BC}"/>
    <cellStyle name="Notiz 138 5" xfId="41384" xr:uid="{AF61DB7F-AE9B-4D6D-B7B0-05118CEDDB33}"/>
    <cellStyle name="Notiz 139" xfId="39507" xr:uid="{4023CE2D-F6E4-4BD6-8E1B-765ED28F2A19}"/>
    <cellStyle name="Notiz 14" xfId="68" xr:uid="{5434E1FF-8D0F-4861-937E-14E899EA7C12}"/>
    <cellStyle name="Notiz 14 10" xfId="15520" xr:uid="{465205F4-C531-4DCC-9445-E7B250DDBA7F}"/>
    <cellStyle name="Notiz 14 10 2" xfId="15521" xr:uid="{E070D2DB-184D-4D1C-810A-EDA199F37987}"/>
    <cellStyle name="Notiz 14 10 2 2" xfId="34958" xr:uid="{A5748DC2-EDC0-47E1-A839-7384926A736C}"/>
    <cellStyle name="Notiz 14 10 3" xfId="34957" xr:uid="{9C98E9AA-262B-46BA-94A0-99A3DA6E1726}"/>
    <cellStyle name="Notiz 14 11" xfId="15522" xr:uid="{72EE039E-4ECD-4B02-B895-385677EB06C6}"/>
    <cellStyle name="Notiz 14 11 2" xfId="15523" xr:uid="{375B7D55-E1E9-4175-8532-A36AFF0090B2}"/>
    <cellStyle name="Notiz 14 11 2 2" xfId="34960" xr:uid="{CD091DCB-B7A8-4EFA-9F96-E94CAA83C90C}"/>
    <cellStyle name="Notiz 14 11 3" xfId="34959" xr:uid="{B64A03F8-5751-4496-913A-3F91B723F5A3}"/>
    <cellStyle name="Notiz 14 12" xfId="15524" xr:uid="{F73C98EA-DD10-497B-AC2D-22103FB207B4}"/>
    <cellStyle name="Notiz 14 12 2" xfId="15525" xr:uid="{79BF21FF-0A53-4A4F-8C7D-8B16849767E7}"/>
    <cellStyle name="Notiz 14 12 2 2" xfId="34962" xr:uid="{2AE8217D-F73B-4538-A307-FBA296031745}"/>
    <cellStyle name="Notiz 14 12 3" xfId="34961" xr:uid="{53D169E7-63F9-45FC-BABA-68372E6B90C0}"/>
    <cellStyle name="Notiz 14 13" xfId="15526" xr:uid="{463674FB-C000-4F20-AD25-4143CCBDCB16}"/>
    <cellStyle name="Notiz 14 13 2" xfId="15527" xr:uid="{780ACAA8-D9F3-40C3-A2AB-951E39FFDD0A}"/>
    <cellStyle name="Notiz 14 13 2 2" xfId="34964" xr:uid="{6C3742DA-7AAF-40D4-9F56-48A3A783E856}"/>
    <cellStyle name="Notiz 14 13 3" xfId="34963" xr:uid="{84D7AA11-916A-405D-B6EF-990685A545F3}"/>
    <cellStyle name="Notiz 14 14" xfId="15528" xr:uid="{B428FF98-27FE-4C88-A066-6319EFF732AA}"/>
    <cellStyle name="Notiz 14 14 2" xfId="15529" xr:uid="{4C287494-1139-4371-81F0-02D50C3A3C30}"/>
    <cellStyle name="Notiz 14 14 2 2" xfId="34966" xr:uid="{8307F94E-8F96-4F67-83A0-C7B0A8AF5005}"/>
    <cellStyle name="Notiz 14 14 3" xfId="34965" xr:uid="{00A6BB94-A5C9-47E9-9C49-4222B87824B9}"/>
    <cellStyle name="Notiz 14 15" xfId="15530" xr:uid="{0AF7D4B9-5D77-4119-A992-E3321E25F1C9}"/>
    <cellStyle name="Notiz 14 15 2" xfId="15531" xr:uid="{9E5060CF-29BC-44E8-92BA-1B916EC9A1F1}"/>
    <cellStyle name="Notiz 14 15 2 2" xfId="34968" xr:uid="{AB549585-5298-48C8-BB40-C7F94992992D}"/>
    <cellStyle name="Notiz 14 15 3" xfId="34967" xr:uid="{98A78078-C4CB-43FF-B060-6941E6FB63EB}"/>
    <cellStyle name="Notiz 14 16" xfId="15532" xr:uid="{DDF33083-E9D9-4ADA-AD14-173106218BB5}"/>
    <cellStyle name="Notiz 14 16 2" xfId="15533" xr:uid="{4A86DF0B-B7DB-4106-B6EF-676870178EC6}"/>
    <cellStyle name="Notiz 14 16 2 2" xfId="34970" xr:uid="{D75C93D4-E956-4825-8BFF-C7E794FE09FB}"/>
    <cellStyle name="Notiz 14 16 3" xfId="34969" xr:uid="{DB7EFEDF-398D-4FA8-9D3C-EEDEC29973F4}"/>
    <cellStyle name="Notiz 14 17" xfId="15534" xr:uid="{93B7EFAE-EC28-4317-97DE-B003C5343442}"/>
    <cellStyle name="Notiz 14 17 2" xfId="15535" xr:uid="{816EB3D5-5E79-42D3-9E33-22FF7D2C7485}"/>
    <cellStyle name="Notiz 14 17 2 2" xfId="34972" xr:uid="{18CC280A-9431-47D3-AA17-F7AF4B33063F}"/>
    <cellStyle name="Notiz 14 17 3" xfId="34971" xr:uid="{11568754-34CE-4308-B8EC-D78568CEA3C5}"/>
    <cellStyle name="Notiz 14 18" xfId="15536" xr:uid="{427667ED-565F-4C2E-8605-CA4B3B62D7E5}"/>
    <cellStyle name="Notiz 14 18 2" xfId="15537" xr:uid="{33BCB8FA-A12E-4979-95D1-91A7BFD01021}"/>
    <cellStyle name="Notiz 14 18 2 2" xfId="34974" xr:uid="{6FD4F932-9D8C-415C-B3B9-BDDA5A3647D8}"/>
    <cellStyle name="Notiz 14 18 3" xfId="34973" xr:uid="{1BC40990-5266-4BFC-8188-CE517683388A}"/>
    <cellStyle name="Notiz 14 19" xfId="15538" xr:uid="{451D78C3-D20E-442D-9C87-E1C4FEBE73F2}"/>
    <cellStyle name="Notiz 14 19 2" xfId="15539" xr:uid="{34727B7F-2CED-4CA5-82BF-8A7A400F3EF6}"/>
    <cellStyle name="Notiz 14 19 2 2" xfId="34976" xr:uid="{4217AD49-1BC4-460C-A194-5A058AAAA32C}"/>
    <cellStyle name="Notiz 14 19 3" xfId="34975" xr:uid="{66120A9B-B3A4-4CC8-9F46-A2A5E1B3A507}"/>
    <cellStyle name="Notiz 14 2" xfId="15540" xr:uid="{F2039740-9A01-408C-84D5-BF6F0B05B22B}"/>
    <cellStyle name="Notiz 14 2 2" xfId="15541" xr:uid="{8EA38467-00D0-44BC-A492-3E25F52635A9}"/>
    <cellStyle name="Notiz 14 2 2 2" xfId="34978" xr:uid="{ED155D1D-C933-441F-8F5B-A17C73164631}"/>
    <cellStyle name="Notiz 14 2 2 2 2" xfId="40968" xr:uid="{46510AB3-EBCD-47F0-88D2-40CEF100EDF7}"/>
    <cellStyle name="Notiz 14 2 2 3" xfId="41827" xr:uid="{3C617615-1F3F-4939-8467-7E64BAC8E2DE}"/>
    <cellStyle name="Notiz 14 2 2 4" xfId="40061" xr:uid="{CDC89096-8D18-4FC6-9C37-759A7840CDFE}"/>
    <cellStyle name="Notiz 14 2 3" xfId="34977" xr:uid="{7EF961B1-24F2-429C-B0A3-90B033972A1D}"/>
    <cellStyle name="Notiz 14 2 3 2" xfId="40526" xr:uid="{547CE426-A562-40AA-A23C-DE869FC4F577}"/>
    <cellStyle name="Notiz 14 2 4" xfId="41386" xr:uid="{15166ACB-C1F7-47E2-8B75-E62C62173419}"/>
    <cellStyle name="Notiz 14 2 5" xfId="39509" xr:uid="{D1005377-CA42-461B-87A5-1C2C4C297342}"/>
    <cellStyle name="Notiz 14 20" xfId="15542" xr:uid="{CF7B3C2E-0579-4433-8486-070E92EC3372}"/>
    <cellStyle name="Notiz 14 20 2" xfId="15543" xr:uid="{35FC41D5-1D94-4ED0-8A82-9DD6AAA06042}"/>
    <cellStyle name="Notiz 14 20 2 2" xfId="34980" xr:uid="{376904B0-1886-442E-A99D-425EF83E8FBF}"/>
    <cellStyle name="Notiz 14 20 3" xfId="34979" xr:uid="{44DE9EB3-1FEF-42B3-ADE1-85387C408C88}"/>
    <cellStyle name="Notiz 14 21" xfId="15544" xr:uid="{827CCC9C-F2B2-4CEB-A91F-BCCD8E517F8F}"/>
    <cellStyle name="Notiz 14 21 2" xfId="15545" xr:uid="{DCC10A83-F4AF-4712-85A2-EC24057321F3}"/>
    <cellStyle name="Notiz 14 21 2 2" xfId="34982" xr:uid="{0B9EFE8D-6F23-4F2C-A165-D17077F3EA25}"/>
    <cellStyle name="Notiz 14 21 3" xfId="34981" xr:uid="{FFF0E6FA-794C-468F-8DF5-37E402D09E4D}"/>
    <cellStyle name="Notiz 14 22" xfId="15546" xr:uid="{16E5419E-5933-4D10-AAA3-06305F7E2D86}"/>
    <cellStyle name="Notiz 14 22 2" xfId="34983" xr:uid="{24900154-BAE9-4A6B-BB39-0B21DDD81481}"/>
    <cellStyle name="Notiz 14 23" xfId="15547" xr:uid="{7125D1A2-0845-43C7-955F-3B50B9B60D11}"/>
    <cellStyle name="Notiz 14 23 2" xfId="34984" xr:uid="{B477D4C8-7A20-4F1E-AD1C-152B4232757A}"/>
    <cellStyle name="Notiz 14 24" xfId="34956" xr:uid="{6F10D0ED-1E94-4A44-BFCE-56952355AB62}"/>
    <cellStyle name="Notiz 14 25" xfId="39508" xr:uid="{94228B86-3387-41AF-BABE-D9C76BD71E5A}"/>
    <cellStyle name="Notiz 14 26" xfId="15519" xr:uid="{90E18214-D56F-4D48-BBE1-3DFB2265F3B0}"/>
    <cellStyle name="Notiz 14 3" xfId="15548" xr:uid="{5FEF89A6-9D96-461B-8AAB-4646A7C31DAE}"/>
    <cellStyle name="Notiz 14 3 2" xfId="15549" xr:uid="{7B61B713-9470-4E7B-9805-54D911DFB55B}"/>
    <cellStyle name="Notiz 14 3 2 2" xfId="34986" xr:uid="{2FBEAECB-2DE2-4D8D-8465-C1576AE6A8AF}"/>
    <cellStyle name="Notiz 14 3 2 3" xfId="40967" xr:uid="{AE05D6E7-A53E-4B5B-823A-F083D65E6BA3}"/>
    <cellStyle name="Notiz 14 3 3" xfId="34985" xr:uid="{0F4973E3-3F10-4695-B494-DA6A5437CF73}"/>
    <cellStyle name="Notiz 14 3 3 2" xfId="41826" xr:uid="{F8603D8B-7E6C-4652-8C4E-A0EB0EEC19A9}"/>
    <cellStyle name="Notiz 14 3 4" xfId="40060" xr:uid="{E8F3DE9E-FA97-492B-ABDB-E379C23C0E85}"/>
    <cellStyle name="Notiz 14 4" xfId="15550" xr:uid="{B944F3D0-1409-4F92-AE41-59596B9BDF21}"/>
    <cellStyle name="Notiz 14 4 2" xfId="15551" xr:uid="{0D3E1659-5E2A-4B77-B5FA-B63A1C5ED14B}"/>
    <cellStyle name="Notiz 14 4 2 2" xfId="34988" xr:uid="{E81D25BB-931F-4E35-B0A7-6C5A97A1A419}"/>
    <cellStyle name="Notiz 14 4 3" xfId="34987" xr:uid="{DFDB8AC3-F05B-4AE9-B76C-99400BEB0E54}"/>
    <cellStyle name="Notiz 14 4 4" xfId="40525" xr:uid="{F7BD1DD2-21C8-40CC-B6D0-D49AB690F2D6}"/>
    <cellStyle name="Notiz 14 5" xfId="15552" xr:uid="{315A6230-E1C6-4613-BFD3-5F2203A06375}"/>
    <cellStyle name="Notiz 14 5 2" xfId="15553" xr:uid="{D4B97856-40F9-4843-A912-5EF2AB3F747A}"/>
    <cellStyle name="Notiz 14 5 2 2" xfId="34990" xr:uid="{716547E3-52F8-4314-8BEE-00909C024530}"/>
    <cellStyle name="Notiz 14 5 3" xfId="34989" xr:uid="{365CBF75-D971-48CC-A8A1-853CCD0B0B5B}"/>
    <cellStyle name="Notiz 14 5 4" xfId="41385" xr:uid="{A9907F34-8B1D-4060-8967-FC409209518E}"/>
    <cellStyle name="Notiz 14 6" xfId="15554" xr:uid="{BEEE8F0B-D08E-406C-97D4-ACDFC48F453C}"/>
    <cellStyle name="Notiz 14 6 2" xfId="15555" xr:uid="{6764A570-F3EF-477D-AD6B-38AE6A00EBAD}"/>
    <cellStyle name="Notiz 14 6 2 2" xfId="34992" xr:uid="{8211BAF1-CEEA-403E-B1F6-7B1CB4209439}"/>
    <cellStyle name="Notiz 14 6 3" xfId="34991" xr:uid="{7929FA82-FC5B-4B34-A608-8A17FD01DA0F}"/>
    <cellStyle name="Notiz 14 7" xfId="15556" xr:uid="{E1095C02-EE1D-44AF-B43E-30D8CA4C57FD}"/>
    <cellStyle name="Notiz 14 7 2" xfId="15557" xr:uid="{F2BA4E44-67A1-4E9A-B3CE-AA2AA47223C7}"/>
    <cellStyle name="Notiz 14 7 2 2" xfId="34994" xr:uid="{EE5AC26D-472C-457E-B39F-5451E4C5F795}"/>
    <cellStyle name="Notiz 14 7 3" xfId="34993" xr:uid="{A869AD7B-22AB-4B72-941F-82745A5F633F}"/>
    <cellStyle name="Notiz 14 8" xfId="15558" xr:uid="{88F1ABC6-711C-412D-B31F-A15EA9C133DD}"/>
    <cellStyle name="Notiz 14 8 2" xfId="15559" xr:uid="{DFBD8917-4692-4876-B150-FE09B5EAEF52}"/>
    <cellStyle name="Notiz 14 8 2 2" xfId="34996" xr:uid="{8F2EBACD-85E8-4BB0-AF13-6D9B3E63C4A3}"/>
    <cellStyle name="Notiz 14 8 3" xfId="34995" xr:uid="{2821B0B9-9D2F-44B5-A312-140B049302E3}"/>
    <cellStyle name="Notiz 14 9" xfId="15560" xr:uid="{20B413C7-EAA7-48F1-8DF7-A08884025CFB}"/>
    <cellStyle name="Notiz 14 9 2" xfId="15561" xr:uid="{02E97DCD-F8FC-480D-BA0B-8393D90212BB}"/>
    <cellStyle name="Notiz 14 9 2 2" xfId="34998" xr:uid="{893F2124-7875-49BB-A19F-5EBD62F9B97D}"/>
    <cellStyle name="Notiz 14 9 3" xfId="34997" xr:uid="{AD9D4CB9-9DC7-4AF5-85B4-9CF6E4D6E5F3}"/>
    <cellStyle name="Notiz 140" xfId="39459" xr:uid="{2E3CC29C-6097-4571-9302-4CA56CD00899}"/>
    <cellStyle name="Notiz 141" xfId="42187" xr:uid="{10CD71AA-15E6-44C7-9A9B-C5D15C15FFBC}"/>
    <cellStyle name="Notiz 142" xfId="40416" xr:uid="{460112FB-5943-4E61-A4D8-3A812C6B2653}"/>
    <cellStyle name="Notiz 143" xfId="15346" xr:uid="{8C8E2AE5-ED88-4976-8CCD-AEBB0FB17BD8}"/>
    <cellStyle name="Notiz 144" xfId="139" xr:uid="{DCA35926-F64F-427E-95F1-1AEB8A35B23B}"/>
    <cellStyle name="Notiz 15" xfId="69" xr:uid="{078B55FF-8686-43E3-A207-30AE9BCB49C1}"/>
    <cellStyle name="Notiz 15 10" xfId="15563" xr:uid="{D50E44C1-D1D4-40C9-9BC8-FFE44EAF6F9E}"/>
    <cellStyle name="Notiz 15 10 2" xfId="15564" xr:uid="{BEB20ED3-184D-4074-961B-3164A3969199}"/>
    <cellStyle name="Notiz 15 10 2 2" xfId="35001" xr:uid="{0CB4126C-551B-4509-A7B6-B66B3044DAF1}"/>
    <cellStyle name="Notiz 15 10 3" xfId="35000" xr:uid="{183B5C6F-BA11-4C76-8CD6-272B2A781E06}"/>
    <cellStyle name="Notiz 15 11" xfId="15565" xr:uid="{DED8A38A-6A72-436A-93FA-A81681738468}"/>
    <cellStyle name="Notiz 15 11 2" xfId="15566" xr:uid="{35F76FF1-5B64-4EDA-B718-3351A7760A5D}"/>
    <cellStyle name="Notiz 15 11 2 2" xfId="35003" xr:uid="{0556F0D3-0E61-41B8-9943-B85A8A200267}"/>
    <cellStyle name="Notiz 15 11 3" xfId="35002" xr:uid="{CE1176E7-D477-4393-B318-333514E50A2A}"/>
    <cellStyle name="Notiz 15 12" xfId="15567" xr:uid="{C56E99BA-95B1-4FCB-A549-E16629C2F3F4}"/>
    <cellStyle name="Notiz 15 12 2" xfId="15568" xr:uid="{27E21B8A-675F-4C63-B70A-9D078E8A4325}"/>
    <cellStyle name="Notiz 15 12 2 2" xfId="35005" xr:uid="{3DC8E8E5-25FB-49C4-B628-5A71A5DA0444}"/>
    <cellStyle name="Notiz 15 12 3" xfId="35004" xr:uid="{3C71AEC3-4B52-4F7E-89F9-2E0372D7256D}"/>
    <cellStyle name="Notiz 15 13" xfId="15569" xr:uid="{5122747A-BD50-4604-B183-DFD8533D3D39}"/>
    <cellStyle name="Notiz 15 13 2" xfId="15570" xr:uid="{E1FE277D-7998-4B38-A25D-B34D10BA21F6}"/>
    <cellStyle name="Notiz 15 13 2 2" xfId="35007" xr:uid="{83BF452D-31C0-412A-97A6-CA95F698AB3D}"/>
    <cellStyle name="Notiz 15 13 3" xfId="35006" xr:uid="{13CEB63E-1D54-4326-B30A-A3F7BC23D0B4}"/>
    <cellStyle name="Notiz 15 14" xfId="15571" xr:uid="{168E2631-9062-4735-BD38-BF4686AC12E0}"/>
    <cellStyle name="Notiz 15 14 2" xfId="15572" xr:uid="{8D8DA8AB-DF29-4949-A5C9-43CF129617F3}"/>
    <cellStyle name="Notiz 15 14 2 2" xfId="35009" xr:uid="{AA043AB3-7B5F-4ACF-A518-F6A9854914DF}"/>
    <cellStyle name="Notiz 15 14 3" xfId="35008" xr:uid="{099E2FF0-BC7A-45C2-A94C-32AD2AA27A75}"/>
    <cellStyle name="Notiz 15 15" xfId="15573" xr:uid="{E91E517E-34E6-48CB-ADE7-4FD3463C8B4F}"/>
    <cellStyle name="Notiz 15 15 2" xfId="15574" xr:uid="{05D7AE55-3329-4780-AD19-9DC93E895915}"/>
    <cellStyle name="Notiz 15 15 2 2" xfId="35011" xr:uid="{37D9D15E-6839-499B-AF10-440D8370EC65}"/>
    <cellStyle name="Notiz 15 15 3" xfId="35010" xr:uid="{FDD2EE85-4F48-4B4B-A680-E62E69DDB358}"/>
    <cellStyle name="Notiz 15 16" xfId="15575" xr:uid="{E692B00B-D01A-4BF9-85BC-93168C7C9777}"/>
    <cellStyle name="Notiz 15 16 2" xfId="15576" xr:uid="{E6385A50-A317-4195-835E-DA90FBF7634B}"/>
    <cellStyle name="Notiz 15 16 2 2" xfId="35013" xr:uid="{6D5AB53A-1462-4DA4-B8C9-DF4D48CB4FDF}"/>
    <cellStyle name="Notiz 15 16 3" xfId="35012" xr:uid="{A3CDF3C0-8E4A-47CC-8ADD-EE7A08EB0131}"/>
    <cellStyle name="Notiz 15 17" xfId="15577" xr:uid="{E4D67F32-9CA4-419B-8864-92577C00CDF2}"/>
    <cellStyle name="Notiz 15 17 2" xfId="15578" xr:uid="{E1E9D095-6E81-4F50-B3BC-D6C45DA5955C}"/>
    <cellStyle name="Notiz 15 17 2 2" xfId="35015" xr:uid="{0FBB13D8-6D31-4DFB-8945-D6BCF458C9CC}"/>
    <cellStyle name="Notiz 15 17 3" xfId="35014" xr:uid="{07743021-764E-4909-98CC-C6C4CF70A3F9}"/>
    <cellStyle name="Notiz 15 18" xfId="15579" xr:uid="{CB7280D6-3EA5-4892-A6CC-5A57FD8A05CB}"/>
    <cellStyle name="Notiz 15 18 2" xfId="15580" xr:uid="{41D88040-56B2-482F-95F7-2142D726A577}"/>
    <cellStyle name="Notiz 15 18 2 2" xfId="35017" xr:uid="{79A90E8D-B8AC-49BF-8BBC-255AE0422172}"/>
    <cellStyle name="Notiz 15 18 3" xfId="35016" xr:uid="{AB97DDB7-3792-49A3-A18D-983851E51DCF}"/>
    <cellStyle name="Notiz 15 19" xfId="15581" xr:uid="{F12619DB-C28F-4C49-8A9B-037A6BAAF4BD}"/>
    <cellStyle name="Notiz 15 19 2" xfId="15582" xr:uid="{C34F86E4-837E-450B-B512-F54C3C921E06}"/>
    <cellStyle name="Notiz 15 19 2 2" xfId="35019" xr:uid="{6FB9B6BD-480B-4DC0-B952-2B99995DC8F5}"/>
    <cellStyle name="Notiz 15 19 3" xfId="35018" xr:uid="{43773940-157C-4CB2-BCDE-0367E72F2350}"/>
    <cellStyle name="Notiz 15 2" xfId="15583" xr:uid="{76413E96-1075-42F7-8936-CCEA179185ED}"/>
    <cellStyle name="Notiz 15 2 2" xfId="15584" xr:uid="{688330D4-D6B2-449B-A975-00B68EE888D6}"/>
    <cellStyle name="Notiz 15 2 2 2" xfId="35021" xr:uid="{2DC85F03-2E08-41E3-8891-93315256E502}"/>
    <cellStyle name="Notiz 15 2 2 2 2" xfId="40970" xr:uid="{BE4FBEC7-6290-4ACF-9191-624D5E0DC832}"/>
    <cellStyle name="Notiz 15 2 2 3" xfId="41829" xr:uid="{D8CFBCBF-6E82-4404-8E83-1BF672DBA97A}"/>
    <cellStyle name="Notiz 15 2 2 4" xfId="40063" xr:uid="{4E0FAA5B-12ED-4A80-B4A0-AECE4F6C82AF}"/>
    <cellStyle name="Notiz 15 2 3" xfId="35020" xr:uid="{14247C09-46A2-4D2E-8D8E-2EA3356A7551}"/>
    <cellStyle name="Notiz 15 2 3 2" xfId="40528" xr:uid="{238F9DC8-E310-459B-ACAD-C5C1E7633DF6}"/>
    <cellStyle name="Notiz 15 2 4" xfId="41388" xr:uid="{B60F6518-2AA1-484A-8C2F-391F6C83B638}"/>
    <cellStyle name="Notiz 15 2 5" xfId="39511" xr:uid="{BFAE3468-B815-45EF-817E-B65E7600F26E}"/>
    <cellStyle name="Notiz 15 20" xfId="15585" xr:uid="{E6DA86DA-7177-48C4-8E31-6804A7653474}"/>
    <cellStyle name="Notiz 15 20 2" xfId="15586" xr:uid="{897FF87E-BE75-49E3-8031-6811A220CE9B}"/>
    <cellStyle name="Notiz 15 20 2 2" xfId="35023" xr:uid="{5F8BD192-1B3D-468F-A103-E437334F8755}"/>
    <cellStyle name="Notiz 15 20 3" xfId="35022" xr:uid="{C6974EB8-BFFA-4C8A-937C-96A2F47BD882}"/>
    <cellStyle name="Notiz 15 21" xfId="15587" xr:uid="{1A870FFB-CA9B-4029-BD82-F2220EBB7393}"/>
    <cellStyle name="Notiz 15 21 2" xfId="15588" xr:uid="{699A0B54-2C2D-4DEF-8E53-84008C2C94F5}"/>
    <cellStyle name="Notiz 15 21 2 2" xfId="35025" xr:uid="{98683E5A-E6DF-42EE-8E63-0B9DA802616A}"/>
    <cellStyle name="Notiz 15 21 3" xfId="35024" xr:uid="{0D1AB58B-F4DA-4508-92C1-98431838761A}"/>
    <cellStyle name="Notiz 15 22" xfId="15589" xr:uid="{2BB2408A-E0BE-41C0-8D89-C007BAEBF024}"/>
    <cellStyle name="Notiz 15 22 2" xfId="35026" xr:uid="{2726AC90-35D5-4922-A8BF-6799055B387B}"/>
    <cellStyle name="Notiz 15 23" xfId="15590" xr:uid="{B2908591-BC9C-4DBB-A3F5-7CBF8032B4E8}"/>
    <cellStyle name="Notiz 15 23 2" xfId="35027" xr:uid="{57768371-3D9A-4562-B7B6-827B67756F84}"/>
    <cellStyle name="Notiz 15 24" xfId="34999" xr:uid="{ACD8B289-A144-4644-BA53-6C8A0B88F0AA}"/>
    <cellStyle name="Notiz 15 25" xfId="39510" xr:uid="{EF4F3E0F-8937-4BBF-81F1-A23917D048D8}"/>
    <cellStyle name="Notiz 15 26" xfId="15562" xr:uid="{A634247C-3EF5-49C0-A183-75273E22E49D}"/>
    <cellStyle name="Notiz 15 3" xfId="15591" xr:uid="{99F2909C-6693-4FE8-8995-66B2245CAD31}"/>
    <cellStyle name="Notiz 15 3 2" xfId="15592" xr:uid="{DB909A08-5B79-4475-8EB0-50D553A379DF}"/>
    <cellStyle name="Notiz 15 3 2 2" xfId="35029" xr:uid="{A6D19EE2-1EB0-44F7-90F7-FA0597F71787}"/>
    <cellStyle name="Notiz 15 3 2 3" xfId="40969" xr:uid="{0C907C6E-E7AA-4339-9B1B-A99FA93E8772}"/>
    <cellStyle name="Notiz 15 3 3" xfId="35028" xr:uid="{72F5E921-4FED-40DE-A621-20136983082F}"/>
    <cellStyle name="Notiz 15 3 3 2" xfId="41828" xr:uid="{46A32FBD-2C3D-40B4-B3F9-16B823EBC9E2}"/>
    <cellStyle name="Notiz 15 3 4" xfId="40062" xr:uid="{2913E99F-4507-47C5-AEB4-6EF1F8A03F90}"/>
    <cellStyle name="Notiz 15 4" xfId="15593" xr:uid="{BDCBB74A-DC6B-4206-A47C-1C5BDFC86E32}"/>
    <cellStyle name="Notiz 15 4 2" xfId="15594" xr:uid="{BC798379-195C-426E-ADE9-2E014E1D6D60}"/>
    <cellStyle name="Notiz 15 4 2 2" xfId="35031" xr:uid="{FB1BD3CB-14B9-47A7-9321-A93643A4C338}"/>
    <cellStyle name="Notiz 15 4 3" xfId="35030" xr:uid="{BC8C6E7F-C757-4CE4-BBB3-BA4398C425AF}"/>
    <cellStyle name="Notiz 15 4 4" xfId="40527" xr:uid="{110DB089-9E2C-4FBD-AA4A-22F5DDDA6C37}"/>
    <cellStyle name="Notiz 15 5" xfId="15595" xr:uid="{8A964BC0-960F-4566-93B0-25537A1F9524}"/>
    <cellStyle name="Notiz 15 5 2" xfId="15596" xr:uid="{65AFC792-E745-43A5-9F8C-0CABFDB40D60}"/>
    <cellStyle name="Notiz 15 5 2 2" xfId="35033" xr:uid="{10A50FC0-5E62-4E84-9180-341CEA2A18C6}"/>
    <cellStyle name="Notiz 15 5 3" xfId="35032" xr:uid="{2F8CDA33-0727-4A3D-9514-1A76D989C4A4}"/>
    <cellStyle name="Notiz 15 5 4" xfId="41387" xr:uid="{594B20A3-3244-4E3C-8354-48D54FC72DFF}"/>
    <cellStyle name="Notiz 15 6" xfId="15597" xr:uid="{1A223D3D-AD00-409B-8624-995FB8D36FD6}"/>
    <cellStyle name="Notiz 15 6 2" xfId="15598" xr:uid="{8BED0B5D-4DE8-4E0B-A5B6-37C56C1185B7}"/>
    <cellStyle name="Notiz 15 6 2 2" xfId="35035" xr:uid="{30887EEA-2420-49C6-9778-F739F8875896}"/>
    <cellStyle name="Notiz 15 6 3" xfId="35034" xr:uid="{97DAF80E-AFF1-4BFB-9031-1C7A8DB26BAB}"/>
    <cellStyle name="Notiz 15 7" xfId="15599" xr:uid="{A84BE32A-0EC4-4F1C-9F39-C34B8F306CB5}"/>
    <cellStyle name="Notiz 15 7 2" xfId="15600" xr:uid="{AA3FA9F7-3097-4961-B992-52D36BD26298}"/>
    <cellStyle name="Notiz 15 7 2 2" xfId="35037" xr:uid="{3EFCA0A0-3824-4422-BD24-80EE4CDBEFE6}"/>
    <cellStyle name="Notiz 15 7 3" xfId="35036" xr:uid="{6E505D4B-AB9C-4507-BFD8-1A2F08F9684B}"/>
    <cellStyle name="Notiz 15 8" xfId="15601" xr:uid="{69E2A746-D0BF-4082-944F-013150EE7B24}"/>
    <cellStyle name="Notiz 15 8 2" xfId="15602" xr:uid="{E5BC7B07-E437-49E2-AEAB-DE803BF76909}"/>
    <cellStyle name="Notiz 15 8 2 2" xfId="35039" xr:uid="{0276BB88-0744-43BB-9155-2F0C9E69F46D}"/>
    <cellStyle name="Notiz 15 8 3" xfId="35038" xr:uid="{DC024B52-A4F1-4F17-BA9C-1A1ED5773511}"/>
    <cellStyle name="Notiz 15 9" xfId="15603" xr:uid="{CF1BFF6D-F1BB-4E8A-8459-37538E026CC1}"/>
    <cellStyle name="Notiz 15 9 2" xfId="15604" xr:uid="{B26BFB2F-9E8B-4594-87CD-2D9D6E93CE83}"/>
    <cellStyle name="Notiz 15 9 2 2" xfId="35041" xr:uid="{B037D5FA-FA59-4329-9A99-7E6390C7FCB0}"/>
    <cellStyle name="Notiz 15 9 3" xfId="35040" xr:uid="{7AD5BD3F-11B4-4C4D-9488-DB3A2FAAE5B5}"/>
    <cellStyle name="Notiz 16" xfId="70" xr:uid="{CD151CB2-AE93-43E4-A1DF-877AA7876E2F}"/>
    <cellStyle name="Notiz 16 10" xfId="15606" xr:uid="{7E28FC62-815D-4E11-A640-72963E34A127}"/>
    <cellStyle name="Notiz 16 10 2" xfId="15607" xr:uid="{71E6B5EB-7AD8-4ADA-845F-45F29FF5920A}"/>
    <cellStyle name="Notiz 16 10 2 2" xfId="35044" xr:uid="{A3DD8BA7-7EF0-4557-813D-1EB292A77D91}"/>
    <cellStyle name="Notiz 16 10 3" xfId="35043" xr:uid="{F7C7CA6C-80BC-4D99-8C5B-25E1FE0DA1FC}"/>
    <cellStyle name="Notiz 16 11" xfId="15608" xr:uid="{17871D4F-5B6A-4768-B9A8-1C59BD3BA0A2}"/>
    <cellStyle name="Notiz 16 11 2" xfId="15609" xr:uid="{2026C54F-0578-4B3A-9E03-5792BAAEC74B}"/>
    <cellStyle name="Notiz 16 11 2 2" xfId="35046" xr:uid="{5777E84D-7C52-4F66-A097-67A8B6AA772A}"/>
    <cellStyle name="Notiz 16 11 3" xfId="35045" xr:uid="{59733223-C8F2-4626-9F75-B089721069F3}"/>
    <cellStyle name="Notiz 16 12" xfId="15610" xr:uid="{A78F5A01-F414-46A9-83DB-F9042E7B0963}"/>
    <cellStyle name="Notiz 16 12 2" xfId="15611" xr:uid="{203103F1-ABB7-474C-BC49-798608CD2A4B}"/>
    <cellStyle name="Notiz 16 12 2 2" xfId="35048" xr:uid="{217F82EB-2F48-40C2-BEB4-264E68B995CD}"/>
    <cellStyle name="Notiz 16 12 3" xfId="35047" xr:uid="{86F5448E-1D69-4AC4-8053-04D84956BD9D}"/>
    <cellStyle name="Notiz 16 13" xfId="15612" xr:uid="{0CA61092-17DD-4AD3-8CA6-9E3BFF8078A1}"/>
    <cellStyle name="Notiz 16 13 2" xfId="15613" xr:uid="{0B44F79A-2CDB-4C5A-A103-3DD817D2752D}"/>
    <cellStyle name="Notiz 16 13 2 2" xfId="35050" xr:uid="{D9730E02-8C22-4A91-97AF-B8B5A7601D96}"/>
    <cellStyle name="Notiz 16 13 3" xfId="35049" xr:uid="{FB5A6B46-E3CB-40D0-8EC5-77A7492FEBA2}"/>
    <cellStyle name="Notiz 16 14" xfId="15614" xr:uid="{00E0AE25-CAAB-4F5F-B920-6AF2D0A0381E}"/>
    <cellStyle name="Notiz 16 14 2" xfId="15615" xr:uid="{39AF7645-6759-4B0D-8456-ADB8E5AE6B3A}"/>
    <cellStyle name="Notiz 16 14 2 2" xfId="35052" xr:uid="{12AB227A-80C3-441B-8CFC-02B48EC5D432}"/>
    <cellStyle name="Notiz 16 14 3" xfId="35051" xr:uid="{3E7E80A7-4E13-45F9-96C7-02560F71B94E}"/>
    <cellStyle name="Notiz 16 15" xfId="15616" xr:uid="{7BE114A1-CB79-47AA-8DA4-67977BB5096C}"/>
    <cellStyle name="Notiz 16 15 2" xfId="15617" xr:uid="{BAD44305-41EB-45A2-A84C-57AB805EDDA2}"/>
    <cellStyle name="Notiz 16 15 2 2" xfId="35054" xr:uid="{DA42C30C-47B1-443F-B81A-3436EB3BC207}"/>
    <cellStyle name="Notiz 16 15 3" xfId="35053" xr:uid="{5B2EAB4E-A7C8-441F-B1D7-AD556C69176D}"/>
    <cellStyle name="Notiz 16 16" xfId="15618" xr:uid="{AE58FF4A-8A8D-46BC-B16B-775B7E9623BE}"/>
    <cellStyle name="Notiz 16 16 2" xfId="15619" xr:uid="{988F5564-8A3C-4BD4-9D0A-575D896390AE}"/>
    <cellStyle name="Notiz 16 16 2 2" xfId="35056" xr:uid="{9C2BB344-826E-41F2-828A-95D41EC3B9F0}"/>
    <cellStyle name="Notiz 16 16 3" xfId="35055" xr:uid="{B99D78DC-DDCB-483B-AA66-574DDD0E7279}"/>
    <cellStyle name="Notiz 16 17" xfId="15620" xr:uid="{78EBB0C2-4AB2-4F1F-8188-2150A3907C64}"/>
    <cellStyle name="Notiz 16 17 2" xfId="15621" xr:uid="{821166E3-CB78-46BF-A689-370A085E99C7}"/>
    <cellStyle name="Notiz 16 17 2 2" xfId="35058" xr:uid="{D39140E8-E2F8-4FC0-8875-57371800AE8D}"/>
    <cellStyle name="Notiz 16 17 3" xfId="35057" xr:uid="{ADA6E6D4-36A4-4566-9FD0-1A6131BD575F}"/>
    <cellStyle name="Notiz 16 18" xfId="15622" xr:uid="{28B40755-A385-4284-95D8-9A81BFA44CFB}"/>
    <cellStyle name="Notiz 16 18 2" xfId="15623" xr:uid="{8F2D3E11-A5E9-499D-A13F-EC84E5F37D47}"/>
    <cellStyle name="Notiz 16 18 2 2" xfId="35060" xr:uid="{44C218C5-5DEF-4D5C-BC42-6C3297648C84}"/>
    <cellStyle name="Notiz 16 18 3" xfId="35059" xr:uid="{84052291-4BA4-4533-B91B-D97C32CB3C69}"/>
    <cellStyle name="Notiz 16 19" xfId="15624" xr:uid="{A808B6A6-7B24-44E1-8450-848AEF84574F}"/>
    <cellStyle name="Notiz 16 19 2" xfId="15625" xr:uid="{775AC981-2619-427B-9A68-594D4FAF8101}"/>
    <cellStyle name="Notiz 16 19 2 2" xfId="35062" xr:uid="{F5DC32E7-C75D-4706-8718-987532114DDC}"/>
    <cellStyle name="Notiz 16 19 3" xfId="35061" xr:uid="{0B5FAA13-7293-47C5-AF5F-B57F987DB1CF}"/>
    <cellStyle name="Notiz 16 2" xfId="15626" xr:uid="{07EE5A64-DCB8-41DF-A90E-B418C15402A1}"/>
    <cellStyle name="Notiz 16 2 2" xfId="15627" xr:uid="{5482CA65-EEE6-423F-A788-BF07B5C393FE}"/>
    <cellStyle name="Notiz 16 2 2 2" xfId="35064" xr:uid="{08B7AE6A-D3AE-406E-87F4-D696F83DD374}"/>
    <cellStyle name="Notiz 16 2 2 2 2" xfId="40972" xr:uid="{07A424F8-2CA9-4208-837C-BB395636A465}"/>
    <cellStyle name="Notiz 16 2 2 3" xfId="41831" xr:uid="{B1A507B4-7C9E-465D-94CF-20EEC9BF05DB}"/>
    <cellStyle name="Notiz 16 2 2 4" xfId="40065" xr:uid="{4070343A-BD05-46CD-9FA0-3FB5D61825B8}"/>
    <cellStyle name="Notiz 16 2 3" xfId="35063" xr:uid="{FAD3F538-E7F4-491F-8953-4D43825CDEC5}"/>
    <cellStyle name="Notiz 16 2 3 2" xfId="40530" xr:uid="{EE89584E-CC3F-4F95-9836-5F129046DC27}"/>
    <cellStyle name="Notiz 16 2 4" xfId="41390" xr:uid="{B5C4C9D7-7E09-43AE-8000-080B6769625F}"/>
    <cellStyle name="Notiz 16 2 5" xfId="39513" xr:uid="{C0054866-3A63-428E-A373-0520C015FA71}"/>
    <cellStyle name="Notiz 16 20" xfId="15628" xr:uid="{66F71692-CE8F-4E62-AF1B-0199829A74BE}"/>
    <cellStyle name="Notiz 16 20 2" xfId="15629" xr:uid="{A1D9CE6D-E787-456B-B2E2-4F033957B343}"/>
    <cellStyle name="Notiz 16 20 2 2" xfId="35066" xr:uid="{05CBD30B-89C5-4F39-82FB-096C407798D4}"/>
    <cellStyle name="Notiz 16 20 3" xfId="35065" xr:uid="{BD9DAA81-40FF-4FE2-B7DB-D462D7505B83}"/>
    <cellStyle name="Notiz 16 21" xfId="15630" xr:uid="{61271D09-6744-4355-AB9C-FDB5AC072940}"/>
    <cellStyle name="Notiz 16 21 2" xfId="15631" xr:uid="{E159C5E9-8B50-4EE1-8B7F-ED887DFACAB4}"/>
    <cellStyle name="Notiz 16 21 2 2" xfId="35068" xr:uid="{5D76F79E-9529-483F-9D51-A89D18C9492E}"/>
    <cellStyle name="Notiz 16 21 3" xfId="35067" xr:uid="{CCAEDAA9-E84C-433F-9361-347503C7721C}"/>
    <cellStyle name="Notiz 16 22" xfId="15632" xr:uid="{14880F39-086D-4AB2-8A0A-8E7AE90DAA84}"/>
    <cellStyle name="Notiz 16 22 2" xfId="35069" xr:uid="{0585D52C-55D8-4EBB-A4C2-E54A5158FEED}"/>
    <cellStyle name="Notiz 16 23" xfId="15633" xr:uid="{A67A0069-ECF3-4990-AECA-DA9F901F6B22}"/>
    <cellStyle name="Notiz 16 23 2" xfId="35070" xr:uid="{AB105649-6BC4-4D78-9D2C-DE164ADE52D4}"/>
    <cellStyle name="Notiz 16 24" xfId="35042" xr:uid="{AC659317-6845-4328-8894-003D0177237B}"/>
    <cellStyle name="Notiz 16 25" xfId="39512" xr:uid="{E416AD9C-B99E-490F-BF2A-47E640C055B1}"/>
    <cellStyle name="Notiz 16 26" xfId="15605" xr:uid="{6044E2CC-E740-4CF7-BC0A-3FBDCE84497B}"/>
    <cellStyle name="Notiz 16 3" xfId="15634" xr:uid="{C9E3671D-4DA4-4B20-99DB-39CE2D1A8BD0}"/>
    <cellStyle name="Notiz 16 3 2" xfId="15635" xr:uid="{B5517638-0E86-4133-9E48-A0276B1AEF23}"/>
    <cellStyle name="Notiz 16 3 2 2" xfId="35072" xr:uid="{8BD4FE4A-E3EC-4439-9AA7-342675143D37}"/>
    <cellStyle name="Notiz 16 3 2 3" xfId="40971" xr:uid="{9F234E59-C81C-4427-84B3-EACF8663EFBD}"/>
    <cellStyle name="Notiz 16 3 3" xfId="35071" xr:uid="{E4EDC118-2A4B-425D-8887-55A72D357476}"/>
    <cellStyle name="Notiz 16 3 3 2" xfId="41830" xr:uid="{C1DF9848-2312-463E-AB0A-8C767648B006}"/>
    <cellStyle name="Notiz 16 3 4" xfId="40064" xr:uid="{BC5D39D1-15DA-4D41-B3A6-575A925D5F45}"/>
    <cellStyle name="Notiz 16 4" xfId="15636" xr:uid="{E6C9F273-7D96-4443-8E0F-F73CDC1156BB}"/>
    <cellStyle name="Notiz 16 4 2" xfId="15637" xr:uid="{B37604D9-568F-4325-831C-C6E2EB3AEA06}"/>
    <cellStyle name="Notiz 16 4 2 2" xfId="35074" xr:uid="{857FBB90-85B8-4EDF-B720-34EE4A924DD8}"/>
    <cellStyle name="Notiz 16 4 3" xfId="35073" xr:uid="{A554C377-262C-47CD-B7C4-8B69CA9F53A1}"/>
    <cellStyle name="Notiz 16 4 4" xfId="40529" xr:uid="{9450F17B-AEB1-405F-ACD2-F18026FBB5EA}"/>
    <cellStyle name="Notiz 16 5" xfId="15638" xr:uid="{38CD0DFA-855A-46B8-BB6F-6F8330F035B2}"/>
    <cellStyle name="Notiz 16 5 2" xfId="15639" xr:uid="{365BDEED-F55B-4179-AD60-F5EF4E621889}"/>
    <cellStyle name="Notiz 16 5 2 2" xfId="35076" xr:uid="{018A929A-0F57-4290-93FF-DC42B95C2BB3}"/>
    <cellStyle name="Notiz 16 5 3" xfId="35075" xr:uid="{DAA746CD-B346-4A60-891A-FCDE77C20C38}"/>
    <cellStyle name="Notiz 16 5 4" xfId="41389" xr:uid="{3719C4AE-5BA9-4C54-BE61-5EFB64673087}"/>
    <cellStyle name="Notiz 16 6" xfId="15640" xr:uid="{59831414-BF55-4E3F-8785-BE44A69CCED4}"/>
    <cellStyle name="Notiz 16 6 2" xfId="15641" xr:uid="{C5933498-6D4C-4ADF-B952-F9CFB79D2E0B}"/>
    <cellStyle name="Notiz 16 6 2 2" xfId="35078" xr:uid="{56A768D3-43B7-497F-981E-9D9BB7523A90}"/>
    <cellStyle name="Notiz 16 6 3" xfId="35077" xr:uid="{C2BFA212-7784-4B8E-8FD7-225CEF843C55}"/>
    <cellStyle name="Notiz 16 7" xfId="15642" xr:uid="{4B86BB97-9EAD-49F6-AD52-89FEB417225B}"/>
    <cellStyle name="Notiz 16 7 2" xfId="15643" xr:uid="{881AB4F3-BE6B-4E65-AEDF-1F9C0FE928C7}"/>
    <cellStyle name="Notiz 16 7 2 2" xfId="35080" xr:uid="{FEE7623F-0FCB-4448-A483-0E9B19270F4B}"/>
    <cellStyle name="Notiz 16 7 3" xfId="35079" xr:uid="{4E9F4E47-5BCB-4C1B-BB12-8BA10FDA8AA9}"/>
    <cellStyle name="Notiz 16 8" xfId="15644" xr:uid="{20F5A3C8-482D-4FB4-8E2A-086CD2E7FE5B}"/>
    <cellStyle name="Notiz 16 8 2" xfId="15645" xr:uid="{5457F0C1-B5B0-463F-B098-DFE446120E1A}"/>
    <cellStyle name="Notiz 16 8 2 2" xfId="35082" xr:uid="{6F03C7B5-4E88-4497-B312-3E71C3182834}"/>
    <cellStyle name="Notiz 16 8 3" xfId="35081" xr:uid="{7D24C8FB-B7B6-4D28-9ED9-C29D4688B810}"/>
    <cellStyle name="Notiz 16 9" xfId="15646" xr:uid="{DDBAA976-C0E9-4562-A8FA-889C693DA76E}"/>
    <cellStyle name="Notiz 16 9 2" xfId="15647" xr:uid="{F9A04056-CB48-4714-BBFA-9A8F6F943D69}"/>
    <cellStyle name="Notiz 16 9 2 2" xfId="35084" xr:uid="{87E91411-63B2-4EB4-871A-78FD5293D077}"/>
    <cellStyle name="Notiz 16 9 3" xfId="35083" xr:uid="{B199547D-3B48-459D-9BF4-C7F93418A634}"/>
    <cellStyle name="Notiz 17" xfId="71" xr:uid="{3188285F-ADAF-455F-AAB6-5B5C1BCE5A1E}"/>
    <cellStyle name="Notiz 17 10" xfId="15649" xr:uid="{A2E0A83C-6F3A-44D2-8D10-6E921E0DA111}"/>
    <cellStyle name="Notiz 17 10 2" xfId="15650" xr:uid="{9015E7BE-D38A-4616-B790-FB6376B2C987}"/>
    <cellStyle name="Notiz 17 10 2 2" xfId="35087" xr:uid="{FA9BD043-BD91-4A0A-99AD-5467C0281A2B}"/>
    <cellStyle name="Notiz 17 10 3" xfId="35086" xr:uid="{085735C4-5DC9-4A3F-84FC-0E18E7CDA1EB}"/>
    <cellStyle name="Notiz 17 11" xfId="15651" xr:uid="{A2D3C598-B0C1-4B70-BEC0-3DF127AFF48F}"/>
    <cellStyle name="Notiz 17 11 2" xfId="15652" xr:uid="{C370C054-CA99-4E5E-B22E-B024DACA9870}"/>
    <cellStyle name="Notiz 17 11 2 2" xfId="35089" xr:uid="{108C0F0B-E88D-4102-9469-56857A8C6411}"/>
    <cellStyle name="Notiz 17 11 3" xfId="35088" xr:uid="{142ED4F1-6D41-43BE-AB85-8423D86F25BD}"/>
    <cellStyle name="Notiz 17 12" xfId="15653" xr:uid="{28181918-191C-4621-960E-CEDABF63B327}"/>
    <cellStyle name="Notiz 17 12 2" xfId="15654" xr:uid="{C59A79F5-94B0-4743-8B78-69ABD89D3D15}"/>
    <cellStyle name="Notiz 17 12 2 2" xfId="35091" xr:uid="{179AD5BB-628B-4F00-8808-8535E3F2758C}"/>
    <cellStyle name="Notiz 17 12 3" xfId="35090" xr:uid="{9E2902DC-13CA-4641-9889-0089236D1247}"/>
    <cellStyle name="Notiz 17 13" xfId="15655" xr:uid="{A8E41D3D-570F-433E-92DA-D370DB33A122}"/>
    <cellStyle name="Notiz 17 13 2" xfId="15656" xr:uid="{1D3460DE-7BA9-4B03-B51D-ADEBE9ABD7B9}"/>
    <cellStyle name="Notiz 17 13 2 2" xfId="35093" xr:uid="{4F2383CB-93F0-461D-BB70-F41F20AFC9ED}"/>
    <cellStyle name="Notiz 17 13 3" xfId="35092" xr:uid="{B7FF6C4B-F047-46FE-B67D-E276836F824A}"/>
    <cellStyle name="Notiz 17 14" xfId="15657" xr:uid="{88F63D94-74ED-4C32-BBD9-74FFCF8AA0DF}"/>
    <cellStyle name="Notiz 17 14 2" xfId="15658" xr:uid="{67D7AB26-0787-4D1E-96A6-A9CED7181D57}"/>
    <cellStyle name="Notiz 17 14 2 2" xfId="35095" xr:uid="{934D5378-FCAB-47EF-A837-1C43BA580FFA}"/>
    <cellStyle name="Notiz 17 14 3" xfId="35094" xr:uid="{A8F39CAB-0C74-46FD-AF61-80DBB892A950}"/>
    <cellStyle name="Notiz 17 15" xfId="15659" xr:uid="{102B9F33-96B9-4B82-A59A-970F20894742}"/>
    <cellStyle name="Notiz 17 15 2" xfId="15660" xr:uid="{A615B58F-9B40-48E8-823E-324937184CDC}"/>
    <cellStyle name="Notiz 17 15 2 2" xfId="35097" xr:uid="{424E0D67-531C-4CAE-8CE2-325E3DB40543}"/>
    <cellStyle name="Notiz 17 15 3" xfId="35096" xr:uid="{5D929C45-A902-469A-A2DD-945B327E1651}"/>
    <cellStyle name="Notiz 17 16" xfId="15661" xr:uid="{83C8C516-4136-4C95-A76E-5C44A9499D2E}"/>
    <cellStyle name="Notiz 17 16 2" xfId="15662" xr:uid="{89BCF3B9-5A74-4980-A3CE-7849302B9466}"/>
    <cellStyle name="Notiz 17 16 2 2" xfId="35099" xr:uid="{61F2D3D3-ED93-4879-B114-98EE8251B457}"/>
    <cellStyle name="Notiz 17 16 3" xfId="35098" xr:uid="{FAECEB6E-2657-46B0-A4F3-7757D04CD27D}"/>
    <cellStyle name="Notiz 17 17" xfId="15663" xr:uid="{3BF51D85-DB92-4871-826D-1126532C8F53}"/>
    <cellStyle name="Notiz 17 17 2" xfId="15664" xr:uid="{C6F36347-7E19-4916-94BF-C2486CED2ED9}"/>
    <cellStyle name="Notiz 17 17 2 2" xfId="35101" xr:uid="{97D2B470-CF29-49F3-A269-95DE200BB401}"/>
    <cellStyle name="Notiz 17 17 3" xfId="35100" xr:uid="{24FD69BC-209B-470F-A6FF-BA63D8A37363}"/>
    <cellStyle name="Notiz 17 18" xfId="15665" xr:uid="{73FFAED1-CB8C-4C5B-9A90-DD40F1D6EAFA}"/>
    <cellStyle name="Notiz 17 18 2" xfId="15666" xr:uid="{6EF22A06-F5B6-4095-8BEF-84B5571A76F5}"/>
    <cellStyle name="Notiz 17 18 2 2" xfId="35103" xr:uid="{5A98D175-E823-4653-AC3E-4E65B7AA51F5}"/>
    <cellStyle name="Notiz 17 18 3" xfId="35102" xr:uid="{B1A606F9-91DE-484E-B719-E658D5890AFC}"/>
    <cellStyle name="Notiz 17 19" xfId="15667" xr:uid="{8BB3EE6E-CA84-4E55-A228-6B8F7014E867}"/>
    <cellStyle name="Notiz 17 19 2" xfId="15668" xr:uid="{30D75421-890E-4CD1-8D3C-B1E2A3F1C112}"/>
    <cellStyle name="Notiz 17 19 2 2" xfId="35105" xr:uid="{570C542C-6B3E-4A6D-ADDB-C2530824AD71}"/>
    <cellStyle name="Notiz 17 19 3" xfId="35104" xr:uid="{FC4CDF6B-5A00-4BA4-99B9-A61CDE35AA05}"/>
    <cellStyle name="Notiz 17 2" xfId="15669" xr:uid="{6E9645E5-DAD5-4997-A73B-2546C87961C5}"/>
    <cellStyle name="Notiz 17 2 2" xfId="15670" xr:uid="{4420F1C0-6039-4BDB-A4E6-6BBDBA8AE927}"/>
    <cellStyle name="Notiz 17 2 2 2" xfId="35107" xr:uid="{6F3D27DD-E681-4708-A58D-566A08198621}"/>
    <cellStyle name="Notiz 17 2 2 2 2" xfId="40974" xr:uid="{232D7A2C-EFD6-49ED-8D38-E03E4D16AD20}"/>
    <cellStyle name="Notiz 17 2 2 3" xfId="41833" xr:uid="{31BFFD64-E46A-4BA8-89BD-6D3FAD26C4BD}"/>
    <cellStyle name="Notiz 17 2 2 4" xfId="40067" xr:uid="{61212D61-AB31-4BE8-9E3F-F95B36B96931}"/>
    <cellStyle name="Notiz 17 2 3" xfId="35106" xr:uid="{8FDE2260-D4E7-4999-A2C3-89DDF75F6CDD}"/>
    <cellStyle name="Notiz 17 2 3 2" xfId="40532" xr:uid="{88923F66-0DD5-4777-A408-BEFC04A825D7}"/>
    <cellStyle name="Notiz 17 2 4" xfId="41392" xr:uid="{52615FF5-3F9A-4440-AD15-DD4F0BF1A5E6}"/>
    <cellStyle name="Notiz 17 2 5" xfId="39515" xr:uid="{9B128B04-E060-4C49-904F-6ECE1F9AA90A}"/>
    <cellStyle name="Notiz 17 20" xfId="15671" xr:uid="{9048ACB9-6827-45E5-AD6E-0D623466A770}"/>
    <cellStyle name="Notiz 17 20 2" xfId="15672" xr:uid="{E86CCE75-0F1F-4889-8E82-3B23D8038960}"/>
    <cellStyle name="Notiz 17 20 2 2" xfId="35109" xr:uid="{68FA396F-FB8F-41F9-9BAF-14EF41815207}"/>
    <cellStyle name="Notiz 17 20 3" xfId="35108" xr:uid="{D94AB85F-D8E1-4FDF-AD3E-C1E2390B5AC2}"/>
    <cellStyle name="Notiz 17 21" xfId="15673" xr:uid="{C90A030D-E099-4B87-AA36-E6F652116961}"/>
    <cellStyle name="Notiz 17 21 2" xfId="15674" xr:uid="{FD2F0044-CA77-4B31-8DF7-D5C5A415D4D3}"/>
    <cellStyle name="Notiz 17 21 2 2" xfId="35111" xr:uid="{D139A4AB-96C0-4A5B-A36D-253136F5E095}"/>
    <cellStyle name="Notiz 17 21 3" xfId="35110" xr:uid="{8C1A233E-6288-4406-BD5B-4B648A7B1A73}"/>
    <cellStyle name="Notiz 17 22" xfId="15675" xr:uid="{C4D621C6-8440-417B-97F4-30B4BD9B765B}"/>
    <cellStyle name="Notiz 17 22 2" xfId="35112" xr:uid="{5BDB1DEE-0CB1-4314-B5C9-3CA5BABF9856}"/>
    <cellStyle name="Notiz 17 23" xfId="15676" xr:uid="{00CC0E14-B7F1-4D32-93D5-1FAE51E430D6}"/>
    <cellStyle name="Notiz 17 23 2" xfId="35113" xr:uid="{1E4F70C5-35F5-457C-8096-4D88A75198F0}"/>
    <cellStyle name="Notiz 17 24" xfId="35085" xr:uid="{BA59B99F-EA78-40F7-9F1D-FA7D537D73A0}"/>
    <cellStyle name="Notiz 17 25" xfId="39514" xr:uid="{7A895450-9B24-4859-B8B9-6184816146EE}"/>
    <cellStyle name="Notiz 17 26" xfId="15648" xr:uid="{4DD5A7A6-DB77-4373-A1FA-F19C10B7560C}"/>
    <cellStyle name="Notiz 17 3" xfId="15677" xr:uid="{42DE8331-DEA1-4CDB-9654-1216E2C306C6}"/>
    <cellStyle name="Notiz 17 3 2" xfId="15678" xr:uid="{A8EBAF9B-028A-4C94-A218-6A9F8A425433}"/>
    <cellStyle name="Notiz 17 3 2 2" xfId="35115" xr:uid="{C6EBD58D-2E6B-440A-8BFD-B186C125C81A}"/>
    <cellStyle name="Notiz 17 3 2 3" xfId="40973" xr:uid="{0B5DD895-4AB1-44B4-AB3E-BE0EDB41E147}"/>
    <cellStyle name="Notiz 17 3 3" xfId="35114" xr:uid="{E2E652A6-7F15-431D-9121-599D9EC0C93C}"/>
    <cellStyle name="Notiz 17 3 3 2" xfId="41832" xr:uid="{53E742FE-AD28-4F81-B223-603FDBC78BB8}"/>
    <cellStyle name="Notiz 17 3 4" xfId="40066" xr:uid="{47670C0D-DE72-443D-B6A8-D24F75DCC919}"/>
    <cellStyle name="Notiz 17 4" xfId="15679" xr:uid="{31EB9871-F654-4A8F-A086-5062D8C6A84A}"/>
    <cellStyle name="Notiz 17 4 2" xfId="15680" xr:uid="{F6CCCD4F-2C6E-4F1B-B5C3-830EA74CC800}"/>
    <cellStyle name="Notiz 17 4 2 2" xfId="35117" xr:uid="{2733916F-3DC9-4A8F-BA86-19536136784D}"/>
    <cellStyle name="Notiz 17 4 3" xfId="35116" xr:uid="{CC6A88F8-B04C-4D2E-9725-F05346786ADF}"/>
    <cellStyle name="Notiz 17 4 4" xfId="40531" xr:uid="{5E31B2FA-9005-4B3F-B003-D50DC3A3472B}"/>
    <cellStyle name="Notiz 17 5" xfId="15681" xr:uid="{AED2C67D-58B2-4706-A77E-55612465FE9E}"/>
    <cellStyle name="Notiz 17 5 2" xfId="15682" xr:uid="{9B24C712-2998-49F8-8094-9C675F6EE1A6}"/>
    <cellStyle name="Notiz 17 5 2 2" xfId="35119" xr:uid="{C0BE58FB-7281-4D9F-8633-83938AEB5A51}"/>
    <cellStyle name="Notiz 17 5 3" xfId="35118" xr:uid="{EB696A83-C7C2-4F7A-A17F-3AA5EF7327DC}"/>
    <cellStyle name="Notiz 17 5 4" xfId="41391" xr:uid="{E4E28679-7EA9-4C0B-9786-3460813B4F33}"/>
    <cellStyle name="Notiz 17 6" xfId="15683" xr:uid="{EAD991DF-EACB-4417-A8B9-38099FC5E51F}"/>
    <cellStyle name="Notiz 17 6 2" xfId="15684" xr:uid="{8937FD0B-BB1F-4043-A77E-C0C1F86F8EA7}"/>
    <cellStyle name="Notiz 17 6 2 2" xfId="35121" xr:uid="{32E21DB9-952F-48B8-8053-9C069A25C4F8}"/>
    <cellStyle name="Notiz 17 6 3" xfId="35120" xr:uid="{E7B5C042-2715-4B5D-8436-F55FBAA591FC}"/>
    <cellStyle name="Notiz 17 7" xfId="15685" xr:uid="{4414CB70-E090-49BC-9386-D0C67A5E674B}"/>
    <cellStyle name="Notiz 17 7 2" xfId="15686" xr:uid="{64C435EC-88BB-4845-A3D9-7BED0438862F}"/>
    <cellStyle name="Notiz 17 7 2 2" xfId="35123" xr:uid="{DFE59905-5EAC-4328-96C6-E9F34D533A16}"/>
    <cellStyle name="Notiz 17 7 3" xfId="35122" xr:uid="{0486CDBC-989D-42C7-9C18-608F9F6EB2CD}"/>
    <cellStyle name="Notiz 17 8" xfId="15687" xr:uid="{86F5A71F-675C-41B6-9B33-2E742D0A43A0}"/>
    <cellStyle name="Notiz 17 8 2" xfId="15688" xr:uid="{17511421-F47F-4422-A2AC-089CD5A06774}"/>
    <cellStyle name="Notiz 17 8 2 2" xfId="35125" xr:uid="{A27D8A10-A40A-4514-8632-1A2A9CEAF644}"/>
    <cellStyle name="Notiz 17 8 3" xfId="35124" xr:uid="{61BC1325-58ED-4DC3-96D5-7202E2197546}"/>
    <cellStyle name="Notiz 17 9" xfId="15689" xr:uid="{AB0E4983-A0A8-4C76-A9B6-7BC3BFB511D1}"/>
    <cellStyle name="Notiz 17 9 2" xfId="15690" xr:uid="{7213CE8E-5191-4C7A-9309-7616B09A2DEF}"/>
    <cellStyle name="Notiz 17 9 2 2" xfId="35127" xr:uid="{0ACB7F3A-7631-439A-B36B-0EEF2764E4F6}"/>
    <cellStyle name="Notiz 17 9 3" xfId="35126" xr:uid="{5119D52B-4996-4546-87DF-5A6F867EDCB9}"/>
    <cellStyle name="Notiz 18" xfId="72" xr:uid="{F4DE957B-0C22-44FE-913B-84BB4E9C309C}"/>
    <cellStyle name="Notiz 18 10" xfId="15692" xr:uid="{B8F61D2D-3605-41FE-BDE1-307D14F2E13E}"/>
    <cellStyle name="Notiz 18 10 2" xfId="15693" xr:uid="{0C134002-BCDD-41D5-B102-9B6CE6CFEE78}"/>
    <cellStyle name="Notiz 18 10 2 2" xfId="35130" xr:uid="{EC851BCC-D006-47D7-B919-DE9D384E89BE}"/>
    <cellStyle name="Notiz 18 10 3" xfId="35129" xr:uid="{686B3D74-D5CF-45E5-BF69-1816AE18B90D}"/>
    <cellStyle name="Notiz 18 11" xfId="15694" xr:uid="{DA045A07-ABD3-4106-A87F-1436E1478182}"/>
    <cellStyle name="Notiz 18 11 2" xfId="15695" xr:uid="{3DB00EC3-96FC-433E-B570-EED0B589BE17}"/>
    <cellStyle name="Notiz 18 11 2 2" xfId="35132" xr:uid="{EBD8F835-3321-4EF0-A856-D964E6371B91}"/>
    <cellStyle name="Notiz 18 11 3" xfId="35131" xr:uid="{2AB0F2A8-3097-4DF3-9D9C-77DBBC69C914}"/>
    <cellStyle name="Notiz 18 12" xfId="15696" xr:uid="{34315B63-8658-42F2-B30A-75BB68D558D5}"/>
    <cellStyle name="Notiz 18 12 2" xfId="15697" xr:uid="{BDC5C8B9-8761-4E3D-8291-72CE2F355447}"/>
    <cellStyle name="Notiz 18 12 2 2" xfId="35134" xr:uid="{FF34A10C-C246-4E20-B3F4-30B49F544D25}"/>
    <cellStyle name="Notiz 18 12 3" xfId="35133" xr:uid="{AFF68B05-5494-4953-A729-892C563D07CD}"/>
    <cellStyle name="Notiz 18 13" xfId="15698" xr:uid="{20752944-C121-4342-AB48-E4034733B290}"/>
    <cellStyle name="Notiz 18 13 2" xfId="15699" xr:uid="{7D083EF1-B603-478A-899F-D636487491E2}"/>
    <cellStyle name="Notiz 18 13 2 2" xfId="35136" xr:uid="{71CAF5CD-AD20-45B0-A513-F793C1631CC7}"/>
    <cellStyle name="Notiz 18 13 3" xfId="35135" xr:uid="{CE466948-0971-4F32-8E0E-424E5751388E}"/>
    <cellStyle name="Notiz 18 14" xfId="15700" xr:uid="{BDAD737B-A72B-43E4-BD6A-8C1C34202237}"/>
    <cellStyle name="Notiz 18 14 2" xfId="15701" xr:uid="{CC72F64B-8A09-4FC2-BA5E-D61A9BB61380}"/>
    <cellStyle name="Notiz 18 14 2 2" xfId="35138" xr:uid="{1D5DA6AC-5436-4527-B01D-819355C1A8E5}"/>
    <cellStyle name="Notiz 18 14 3" xfId="35137" xr:uid="{99B402A5-3F02-4701-A5F2-F4156D8E836F}"/>
    <cellStyle name="Notiz 18 15" xfId="15702" xr:uid="{54AF0DDB-7CEB-4D51-8F7A-36684EA92865}"/>
    <cellStyle name="Notiz 18 15 2" xfId="15703" xr:uid="{D79B63C1-7377-4789-8062-4B0FE2AA8C98}"/>
    <cellStyle name="Notiz 18 15 2 2" xfId="35140" xr:uid="{9AFEAF07-054E-4017-BA45-72E44F622429}"/>
    <cellStyle name="Notiz 18 15 3" xfId="35139" xr:uid="{25C9F7B9-E25F-42A6-BEE4-DA5630A59065}"/>
    <cellStyle name="Notiz 18 16" xfId="15704" xr:uid="{21189212-F128-4233-A90B-7DBD9A4C64C5}"/>
    <cellStyle name="Notiz 18 16 2" xfId="15705" xr:uid="{E3616F05-2C9E-4CB8-8A79-6C0FD4C77693}"/>
    <cellStyle name="Notiz 18 16 2 2" xfId="35142" xr:uid="{C45F8B26-C799-4473-8398-0549EE3335B9}"/>
    <cellStyle name="Notiz 18 16 3" xfId="35141" xr:uid="{0B3D2A8C-CD39-4544-AF7E-DACD6A964F6A}"/>
    <cellStyle name="Notiz 18 17" xfId="15706" xr:uid="{6A42F56A-7B2B-4A10-A10B-065CDD3590E2}"/>
    <cellStyle name="Notiz 18 17 2" xfId="15707" xr:uid="{F3D232F1-06B4-4B10-847D-0662914C8176}"/>
    <cellStyle name="Notiz 18 17 2 2" xfId="35144" xr:uid="{EF2E975C-D3A6-4C42-BCAA-4C4C8E7485A2}"/>
    <cellStyle name="Notiz 18 17 3" xfId="35143" xr:uid="{524AF2D2-785A-4836-8D28-7F94CEE31C99}"/>
    <cellStyle name="Notiz 18 18" xfId="15708" xr:uid="{95DDFA68-69E6-44DF-929A-C5E57AEFFD1F}"/>
    <cellStyle name="Notiz 18 18 2" xfId="15709" xr:uid="{7281DE98-C135-4750-8AF5-45A9463AD53F}"/>
    <cellStyle name="Notiz 18 18 2 2" xfId="35146" xr:uid="{694209D6-9FB7-4C37-A42F-F30F156976C7}"/>
    <cellStyle name="Notiz 18 18 3" xfId="35145" xr:uid="{5FCCCC34-AE88-41B1-AEB0-A0820D45D487}"/>
    <cellStyle name="Notiz 18 19" xfId="15710" xr:uid="{FD9DB588-CADE-40B1-989B-8B3FC7F7B7A8}"/>
    <cellStyle name="Notiz 18 19 2" xfId="15711" xr:uid="{57189759-303E-4545-B616-36CE18948C30}"/>
    <cellStyle name="Notiz 18 19 2 2" xfId="35148" xr:uid="{D88D70BD-8EB0-4A2D-A7CE-EC6EF7070B6A}"/>
    <cellStyle name="Notiz 18 19 3" xfId="35147" xr:uid="{2B03812A-7170-4E94-8D07-8B3A2A87D763}"/>
    <cellStyle name="Notiz 18 2" xfId="15712" xr:uid="{2A37B8D7-BE64-4DB2-884D-1C88D00B2F75}"/>
    <cellStyle name="Notiz 18 2 2" xfId="15713" xr:uid="{4DBDD4D0-E95F-4102-B798-309173E5A992}"/>
    <cellStyle name="Notiz 18 2 2 2" xfId="35150" xr:uid="{7A54A92E-1424-409D-9BD7-0510ACAF0556}"/>
    <cellStyle name="Notiz 18 2 2 2 2" xfId="40976" xr:uid="{77FDBC56-F7FC-4677-8B43-A94258B8F81F}"/>
    <cellStyle name="Notiz 18 2 2 3" xfId="41835" xr:uid="{FC9E82C2-C932-484F-9095-465250FDA8D2}"/>
    <cellStyle name="Notiz 18 2 2 4" xfId="40069" xr:uid="{AE64E5CC-580A-4897-BB04-BFC8A4455A68}"/>
    <cellStyle name="Notiz 18 2 3" xfId="35149" xr:uid="{06F31073-89B8-4EB4-A310-4134EDB8C21D}"/>
    <cellStyle name="Notiz 18 2 3 2" xfId="40534" xr:uid="{E2772DA2-60FC-45FF-AAAE-8ED05373029B}"/>
    <cellStyle name="Notiz 18 2 4" xfId="41394" xr:uid="{6998592A-F8CC-485D-A370-8FD9658CE287}"/>
    <cellStyle name="Notiz 18 2 5" xfId="39517" xr:uid="{1A2649B5-EEA3-401E-AFAB-1C49F9BC46E8}"/>
    <cellStyle name="Notiz 18 20" xfId="15714" xr:uid="{BC7C3CA6-A7BB-4949-89C5-BD0F223874D0}"/>
    <cellStyle name="Notiz 18 20 2" xfId="15715" xr:uid="{CC935373-004C-481D-8BBD-F8AA87E22185}"/>
    <cellStyle name="Notiz 18 20 2 2" xfId="35152" xr:uid="{5CFF87D5-A1C3-4691-B031-BEA73E6237D0}"/>
    <cellStyle name="Notiz 18 20 3" xfId="35151" xr:uid="{5391B7BF-25AA-4C5A-9784-88BE9C2DC52A}"/>
    <cellStyle name="Notiz 18 21" xfId="15716" xr:uid="{A856C737-CB04-43E2-8FD7-5E99F14716E3}"/>
    <cellStyle name="Notiz 18 21 2" xfId="15717" xr:uid="{595C0789-A028-4C2C-A846-DCFEFE7A6BBA}"/>
    <cellStyle name="Notiz 18 21 2 2" xfId="35154" xr:uid="{A8E1306E-14DC-4DEF-AB9B-2B40D6695889}"/>
    <cellStyle name="Notiz 18 21 3" xfId="35153" xr:uid="{A453959B-3528-4DC7-870D-93823DC432F2}"/>
    <cellStyle name="Notiz 18 22" xfId="15718" xr:uid="{2BE9345C-05EC-414E-A915-F35CA4E59B91}"/>
    <cellStyle name="Notiz 18 22 2" xfId="35155" xr:uid="{8BEE5D10-1C9A-49A9-8FCF-9312DB1AB414}"/>
    <cellStyle name="Notiz 18 23" xfId="15719" xr:uid="{DE1F91A9-DF49-4F5E-A279-D7757238849A}"/>
    <cellStyle name="Notiz 18 23 2" xfId="35156" xr:uid="{2BA934FE-8C0A-4691-93CD-5367E6C9D299}"/>
    <cellStyle name="Notiz 18 24" xfId="35128" xr:uid="{08BF666A-6A9D-409E-A9F6-BADE978965DE}"/>
    <cellStyle name="Notiz 18 25" xfId="39516" xr:uid="{24787C56-93C1-4D89-8CEE-C73A6C20AD96}"/>
    <cellStyle name="Notiz 18 26" xfId="15691" xr:uid="{B440998B-A2B8-4D93-B39B-BE5D0CCD91B0}"/>
    <cellStyle name="Notiz 18 3" xfId="15720" xr:uid="{C80C9D6C-ABC7-4EE3-9AFD-D8D47BB9C0F6}"/>
    <cellStyle name="Notiz 18 3 2" xfId="15721" xr:uid="{BA671CD4-461A-48AD-A9CC-D4BBDC1B0987}"/>
    <cellStyle name="Notiz 18 3 2 2" xfId="35158" xr:uid="{0FB77ECD-AD6A-4542-92E1-72122F8396C4}"/>
    <cellStyle name="Notiz 18 3 2 3" xfId="40975" xr:uid="{2C01A699-9451-4E9E-88C6-F9A60B2C8276}"/>
    <cellStyle name="Notiz 18 3 3" xfId="35157" xr:uid="{69EDFED3-BF8A-44A5-9E88-1513C0C9EABE}"/>
    <cellStyle name="Notiz 18 3 3 2" xfId="41834" xr:uid="{0FFFE21C-44E6-4775-B88E-CE0E65337FC6}"/>
    <cellStyle name="Notiz 18 3 4" xfId="40068" xr:uid="{49C3C5F8-ABF4-4C73-9D27-576B5729046A}"/>
    <cellStyle name="Notiz 18 4" xfId="15722" xr:uid="{E590E947-03AC-422F-8451-2F120E2C7326}"/>
    <cellStyle name="Notiz 18 4 2" xfId="15723" xr:uid="{32986EED-C59E-42D9-9886-6D63E6084BE3}"/>
    <cellStyle name="Notiz 18 4 2 2" xfId="35160" xr:uid="{6E802AA4-F3B7-4DA0-A98B-0FEE338BF5B8}"/>
    <cellStyle name="Notiz 18 4 3" xfId="35159" xr:uid="{EAFE5973-34E3-46D6-9B8F-D50C432A08AA}"/>
    <cellStyle name="Notiz 18 4 4" xfId="40533" xr:uid="{89EE7BB5-AE2F-429C-BC55-30F80E0F0F46}"/>
    <cellStyle name="Notiz 18 5" xfId="15724" xr:uid="{5CD5E624-0DD8-4729-96BF-1A0708BB9BE8}"/>
    <cellStyle name="Notiz 18 5 2" xfId="15725" xr:uid="{ADE640C0-8085-4C88-AEDF-E259CA655ADC}"/>
    <cellStyle name="Notiz 18 5 2 2" xfId="35162" xr:uid="{B615007F-9443-46BB-A012-D9E73FF07AF9}"/>
    <cellStyle name="Notiz 18 5 3" xfId="35161" xr:uid="{458D70A0-7C3B-471D-9DBD-DDF915098BB4}"/>
    <cellStyle name="Notiz 18 5 4" xfId="41393" xr:uid="{DF8E2B55-CA7A-434B-BD97-F289F9F13E7A}"/>
    <cellStyle name="Notiz 18 6" xfId="15726" xr:uid="{E730348F-D86B-4659-9BE3-C17AFE5D4BAD}"/>
    <cellStyle name="Notiz 18 6 2" xfId="15727" xr:uid="{C4812499-8789-486C-AF59-6AD7AE213E67}"/>
    <cellStyle name="Notiz 18 6 2 2" xfId="35164" xr:uid="{7A5790C6-FF3C-4320-9E36-81FABC57D7CE}"/>
    <cellStyle name="Notiz 18 6 3" xfId="35163" xr:uid="{085B0A07-30C1-4082-8728-AD1D51CC5F58}"/>
    <cellStyle name="Notiz 18 7" xfId="15728" xr:uid="{DDBB6C8F-80C9-4A13-94AD-760B3A6549B6}"/>
    <cellStyle name="Notiz 18 7 2" xfId="15729" xr:uid="{72974346-D9F5-44A5-975B-68B01CA08EBF}"/>
    <cellStyle name="Notiz 18 7 2 2" xfId="35166" xr:uid="{C5274BFB-7706-4850-814E-7DF704F70FB7}"/>
    <cellStyle name="Notiz 18 7 3" xfId="35165" xr:uid="{15BADFD5-CFBD-424E-9311-88BEBB4E4B07}"/>
    <cellStyle name="Notiz 18 8" xfId="15730" xr:uid="{D66AB26E-6BA7-4BFD-AD6B-DD8FB5C5A9C3}"/>
    <cellStyle name="Notiz 18 8 2" xfId="15731" xr:uid="{724D34E1-0D05-49EB-BEC2-5E3AB52AE74D}"/>
    <cellStyle name="Notiz 18 8 2 2" xfId="35168" xr:uid="{BAD9D317-CE72-4B62-9E77-D2031FD7404C}"/>
    <cellStyle name="Notiz 18 8 3" xfId="35167" xr:uid="{40C33B08-2F6A-4A5E-BA0F-331D117178E5}"/>
    <cellStyle name="Notiz 18 9" xfId="15732" xr:uid="{12603E40-341E-4779-A7FA-315579AE419D}"/>
    <cellStyle name="Notiz 18 9 2" xfId="15733" xr:uid="{A2585656-658F-470D-B4A0-880B71377D60}"/>
    <cellStyle name="Notiz 18 9 2 2" xfId="35170" xr:uid="{8E742E76-3475-4115-AC0D-64BED5721BE5}"/>
    <cellStyle name="Notiz 18 9 3" xfId="35169" xr:uid="{0593A17D-708B-44CD-BA4E-8CCE7F13E046}"/>
    <cellStyle name="Notiz 19" xfId="73" xr:uid="{263FB6DE-4346-4316-9236-28D78BB16B17}"/>
    <cellStyle name="Notiz 19 10" xfId="15735" xr:uid="{DB2C1EB5-C9F0-45DD-8A74-17662DA287B4}"/>
    <cellStyle name="Notiz 19 10 2" xfId="15736" xr:uid="{941E75AA-4B73-431A-B1D8-68A2B590AB04}"/>
    <cellStyle name="Notiz 19 10 2 2" xfId="35173" xr:uid="{61313418-F02E-4954-8A7A-78735BA75F75}"/>
    <cellStyle name="Notiz 19 10 3" xfId="35172" xr:uid="{F22C87E1-A07E-4AE1-8479-CD9C36341454}"/>
    <cellStyle name="Notiz 19 11" xfId="15737" xr:uid="{8415AE36-A306-4CA0-8E7A-794B890B1AB0}"/>
    <cellStyle name="Notiz 19 11 2" xfId="15738" xr:uid="{DB07E6E6-801B-4D02-8119-B7056183537C}"/>
    <cellStyle name="Notiz 19 11 2 2" xfId="35175" xr:uid="{754D1B80-0168-4A52-902F-B91D525C5CCA}"/>
    <cellStyle name="Notiz 19 11 3" xfId="35174" xr:uid="{55115283-EA87-49C5-935A-08321BCB4CFD}"/>
    <cellStyle name="Notiz 19 12" xfId="15739" xr:uid="{0F8F0D2C-3EF5-4E9F-BA97-C20152924E77}"/>
    <cellStyle name="Notiz 19 12 2" xfId="15740" xr:uid="{C1D0D5E4-C381-420D-BF4B-B8D66FF9D932}"/>
    <cellStyle name="Notiz 19 12 2 2" xfId="35177" xr:uid="{D68F2001-4817-419E-A8A1-20B208E7388F}"/>
    <cellStyle name="Notiz 19 12 3" xfId="35176" xr:uid="{E0A7DFED-B40C-4973-B957-FEB08F0F3410}"/>
    <cellStyle name="Notiz 19 13" xfId="15741" xr:uid="{13533BBF-01AA-4ABA-8484-B05BA1D55DFD}"/>
    <cellStyle name="Notiz 19 13 2" xfId="15742" xr:uid="{BA3F3739-40B7-4331-B25D-D799D321B800}"/>
    <cellStyle name="Notiz 19 13 2 2" xfId="35179" xr:uid="{0CFA02D1-670A-4697-879D-0D21EE163843}"/>
    <cellStyle name="Notiz 19 13 3" xfId="35178" xr:uid="{EA6ADB30-FF6E-4BBA-AA28-32A0D2320D96}"/>
    <cellStyle name="Notiz 19 14" xfId="15743" xr:uid="{25B4C1C9-D4A0-4950-9A34-7F0EDCEAF695}"/>
    <cellStyle name="Notiz 19 14 2" xfId="15744" xr:uid="{95D27E94-5657-4A56-9774-BA60AFC5C7C0}"/>
    <cellStyle name="Notiz 19 14 2 2" xfId="35181" xr:uid="{B85B9EAB-591D-4AB4-8BF6-582E5965003C}"/>
    <cellStyle name="Notiz 19 14 3" xfId="35180" xr:uid="{B3C11941-11CC-46B5-AAE9-C519919ABFA6}"/>
    <cellStyle name="Notiz 19 15" xfId="15745" xr:uid="{691FD9A0-EAFE-4D7A-95C6-A9C5EBE1C988}"/>
    <cellStyle name="Notiz 19 15 2" xfId="15746" xr:uid="{B1F0EF42-12D8-4DAD-874F-4CED94E15756}"/>
    <cellStyle name="Notiz 19 15 2 2" xfId="35183" xr:uid="{8EB6BB0F-DB40-41AC-AA61-F4EB21D6E88A}"/>
    <cellStyle name="Notiz 19 15 3" xfId="35182" xr:uid="{BF3DA0A0-CAE8-4F94-8518-992E63FB1C1C}"/>
    <cellStyle name="Notiz 19 16" xfId="15747" xr:uid="{AEC99CE7-1EDE-4FCC-914C-91D8530EC245}"/>
    <cellStyle name="Notiz 19 16 2" xfId="15748" xr:uid="{F2063020-A3E8-4D35-BFE6-4A2E78FC959B}"/>
    <cellStyle name="Notiz 19 16 2 2" xfId="35185" xr:uid="{6F348F46-4452-4B50-A76B-EDA21AB2441E}"/>
    <cellStyle name="Notiz 19 16 3" xfId="35184" xr:uid="{F195BF9A-3B2E-4A74-9512-6FEED3A77AB2}"/>
    <cellStyle name="Notiz 19 17" xfId="15749" xr:uid="{FB7A6DA8-544D-44BC-BE11-F38105146B7A}"/>
    <cellStyle name="Notiz 19 17 2" xfId="15750" xr:uid="{7B12BF44-23A2-4933-8E54-B29E5FA0B7D1}"/>
    <cellStyle name="Notiz 19 17 2 2" xfId="35187" xr:uid="{2A2A16E3-123E-4D3C-B953-E46F6EFE57E4}"/>
    <cellStyle name="Notiz 19 17 3" xfId="35186" xr:uid="{3657E7C2-30AE-4D1E-BA5A-03D9E8647913}"/>
    <cellStyle name="Notiz 19 18" xfId="15751" xr:uid="{DCA3E4AF-A02D-4603-B3D8-64F86CC57878}"/>
    <cellStyle name="Notiz 19 18 2" xfId="15752" xr:uid="{68AD477E-52FB-4C9D-B42E-E9615DA5D8C7}"/>
    <cellStyle name="Notiz 19 18 2 2" xfId="35189" xr:uid="{5897F875-3F16-40D5-876F-EDBC50BDD605}"/>
    <cellStyle name="Notiz 19 18 3" xfId="35188" xr:uid="{861004A1-3F8F-492C-A8D1-3078D9F8E891}"/>
    <cellStyle name="Notiz 19 19" xfId="15753" xr:uid="{A3DF5815-AF72-4FB7-9E3C-B07590D08C3A}"/>
    <cellStyle name="Notiz 19 19 2" xfId="15754" xr:uid="{4CD825DD-B117-4341-81CA-B3F384E05626}"/>
    <cellStyle name="Notiz 19 19 2 2" xfId="35191" xr:uid="{CAFC98E4-1DBF-4E0F-B27B-B94103A05BBB}"/>
    <cellStyle name="Notiz 19 19 3" xfId="35190" xr:uid="{70BD3895-BF15-4661-A973-12054EC223C1}"/>
    <cellStyle name="Notiz 19 2" xfId="15755" xr:uid="{2FA41057-62ED-45C1-995D-FC1191590609}"/>
    <cellStyle name="Notiz 19 2 2" xfId="15756" xr:uid="{FD92264E-993E-417B-B4CC-6206D91EB1C9}"/>
    <cellStyle name="Notiz 19 2 2 2" xfId="35193" xr:uid="{02D91F72-89DA-40C2-917B-E516B579B24F}"/>
    <cellStyle name="Notiz 19 2 2 2 2" xfId="40978" xr:uid="{080A71D1-BBEC-4028-9B4A-8B40E05BE154}"/>
    <cellStyle name="Notiz 19 2 2 3" xfId="41837" xr:uid="{1227AD39-7A35-40A6-8E5C-E73892105A06}"/>
    <cellStyle name="Notiz 19 2 2 4" xfId="40071" xr:uid="{B2C04C0B-1CF8-4F83-8BED-2D2EC153A0D8}"/>
    <cellStyle name="Notiz 19 2 3" xfId="35192" xr:uid="{89166E9C-A7CD-4748-827D-225F39EBD747}"/>
    <cellStyle name="Notiz 19 2 3 2" xfId="40536" xr:uid="{0430A4F3-CD08-401C-A510-5DECB1EE8F42}"/>
    <cellStyle name="Notiz 19 2 4" xfId="41396" xr:uid="{05366A52-1B82-40EA-BC51-2BA903A75862}"/>
    <cellStyle name="Notiz 19 2 5" xfId="39519" xr:uid="{0D20A67C-1055-4A48-B041-11C6111E7A36}"/>
    <cellStyle name="Notiz 19 20" xfId="15757" xr:uid="{BCAE18EB-0F51-4077-9467-3649C9FC57F8}"/>
    <cellStyle name="Notiz 19 20 2" xfId="15758" xr:uid="{E802FA3C-F747-425F-B011-623550AA3071}"/>
    <cellStyle name="Notiz 19 20 2 2" xfId="35195" xr:uid="{67500525-599D-4CFB-A8B3-2CA050963A80}"/>
    <cellStyle name="Notiz 19 20 3" xfId="35194" xr:uid="{9175F313-64EE-44C1-8538-B5B55FC89322}"/>
    <cellStyle name="Notiz 19 21" xfId="15759" xr:uid="{3FA3C48C-4302-4139-9124-E5B86FADD81D}"/>
    <cellStyle name="Notiz 19 21 2" xfId="15760" xr:uid="{B0E7B94D-D04E-4780-AC35-2F784FF77DF4}"/>
    <cellStyle name="Notiz 19 21 2 2" xfId="35197" xr:uid="{2152FA41-F41E-4D1D-92A5-02F02048477C}"/>
    <cellStyle name="Notiz 19 21 3" xfId="35196" xr:uid="{F9763D34-26DA-4043-A30A-9566383D1668}"/>
    <cellStyle name="Notiz 19 22" xfId="15761" xr:uid="{5911C192-2A86-4318-BC21-339B57D9EBD7}"/>
    <cellStyle name="Notiz 19 22 2" xfId="35198" xr:uid="{C337B10D-26F3-42FF-90DD-5336FD217662}"/>
    <cellStyle name="Notiz 19 23" xfId="15762" xr:uid="{E193A3F9-5D6E-4537-A389-184778DB1C86}"/>
    <cellStyle name="Notiz 19 23 2" xfId="35199" xr:uid="{6D0ABE83-27EC-460D-87AB-316C18840850}"/>
    <cellStyle name="Notiz 19 24" xfId="35171" xr:uid="{B7AAB2FC-C931-4CD0-BB77-C326668F792A}"/>
    <cellStyle name="Notiz 19 25" xfId="39518" xr:uid="{828D713B-362E-489B-B141-6B6D7D1B01BE}"/>
    <cellStyle name="Notiz 19 26" xfId="15734" xr:uid="{E9747554-9F67-4A03-9D4C-78941B9EF99A}"/>
    <cellStyle name="Notiz 19 3" xfId="15763" xr:uid="{CDF52FEA-B410-4DC8-8AB9-4F75DA7E6696}"/>
    <cellStyle name="Notiz 19 3 2" xfId="15764" xr:uid="{FE06B01D-D2FF-450C-B358-BA68C6089F13}"/>
    <cellStyle name="Notiz 19 3 2 2" xfId="35201" xr:uid="{69430A03-867C-4E3C-ABFB-B9F9EEB654BE}"/>
    <cellStyle name="Notiz 19 3 2 3" xfId="40977" xr:uid="{20D304FE-9CBD-4287-8331-1C2E75868425}"/>
    <cellStyle name="Notiz 19 3 3" xfId="35200" xr:uid="{2E00E524-A98F-4D81-9227-42A520942C12}"/>
    <cellStyle name="Notiz 19 3 3 2" xfId="41836" xr:uid="{43749F58-A143-4B7B-ACC0-2985D21A0BCD}"/>
    <cellStyle name="Notiz 19 3 4" xfId="40070" xr:uid="{4AF168C0-5244-4821-8BDD-F9705DF9AC0F}"/>
    <cellStyle name="Notiz 19 4" xfId="15765" xr:uid="{FFD39071-14DA-4410-A2F4-1044A58099C9}"/>
    <cellStyle name="Notiz 19 4 2" xfId="15766" xr:uid="{8D3B7186-68B8-4447-B057-BBB7B3A41C1C}"/>
    <cellStyle name="Notiz 19 4 2 2" xfId="35203" xr:uid="{70B7FBB1-12E5-44EF-9A36-5EDF87A1A2FB}"/>
    <cellStyle name="Notiz 19 4 3" xfId="35202" xr:uid="{4D40F468-0FAF-45CD-88E2-2C5CCEF10A15}"/>
    <cellStyle name="Notiz 19 4 4" xfId="40535" xr:uid="{F0108B18-1DF2-4669-B052-CC2C4B0385C6}"/>
    <cellStyle name="Notiz 19 5" xfId="15767" xr:uid="{DE13252C-526C-45FB-AAD0-89CFAB280087}"/>
    <cellStyle name="Notiz 19 5 2" xfId="15768" xr:uid="{7A7B15E6-D976-4FE4-925B-FE45DB833860}"/>
    <cellStyle name="Notiz 19 5 2 2" xfId="35205" xr:uid="{1D89B381-84EE-4E00-A1E0-FF50277FAB63}"/>
    <cellStyle name="Notiz 19 5 3" xfId="35204" xr:uid="{5E163340-DB65-4103-B3FF-FAA557F088A9}"/>
    <cellStyle name="Notiz 19 5 4" xfId="41395" xr:uid="{C6778531-2275-4DEE-AA3E-8483DE453858}"/>
    <cellStyle name="Notiz 19 6" xfId="15769" xr:uid="{A2230D41-829D-4119-87E7-D991D566127E}"/>
    <cellStyle name="Notiz 19 6 2" xfId="15770" xr:uid="{3EC43ECE-AC7C-48AC-B5B1-49C286027036}"/>
    <cellStyle name="Notiz 19 6 2 2" xfId="35207" xr:uid="{E888EA14-E5B3-48DC-90DF-240648723F72}"/>
    <cellStyle name="Notiz 19 6 3" xfId="35206" xr:uid="{08800F61-B236-452A-A87A-B8B1DDD50FC0}"/>
    <cellStyle name="Notiz 19 7" xfId="15771" xr:uid="{3CEC0C76-FC15-4E31-87E5-CE1BC5FD62BB}"/>
    <cellStyle name="Notiz 19 7 2" xfId="15772" xr:uid="{7D7D7F24-C70B-47B5-A5DF-F03146A601BC}"/>
    <cellStyle name="Notiz 19 7 2 2" xfId="35209" xr:uid="{D77CD7AE-17D4-45A2-87F9-25BD35061819}"/>
    <cellStyle name="Notiz 19 7 3" xfId="35208" xr:uid="{300E7A5B-3629-4BFD-B07E-31DCBBC0EDE4}"/>
    <cellStyle name="Notiz 19 8" xfId="15773" xr:uid="{CEAB9FF5-6F83-4F88-8673-F130CF1E5C8C}"/>
    <cellStyle name="Notiz 19 8 2" xfId="15774" xr:uid="{05831CB3-54B6-412D-A981-F2DE961237FB}"/>
    <cellStyle name="Notiz 19 8 2 2" xfId="35211" xr:uid="{190CC446-B9C1-49C9-B11E-3F722F407058}"/>
    <cellStyle name="Notiz 19 8 3" xfId="35210" xr:uid="{F7123A79-72E6-469B-82CF-B6BB50F9E358}"/>
    <cellStyle name="Notiz 19 9" xfId="15775" xr:uid="{2124DCC9-326B-4862-A2B3-1FCB9B1FDB44}"/>
    <cellStyle name="Notiz 19 9 2" xfId="15776" xr:uid="{31636CFC-D352-41BD-8D7B-52E9527106F9}"/>
    <cellStyle name="Notiz 19 9 2 2" xfId="35213" xr:uid="{F5A937E1-AA05-4614-B81F-4B7CD84E2387}"/>
    <cellStyle name="Notiz 19 9 3" xfId="35212" xr:uid="{C223CFAF-7D7D-4398-9A8A-1D03E8A0B35F}"/>
    <cellStyle name="Notiz 2" xfId="56" xr:uid="{FFF6BD23-DBA1-49E9-9BB5-CFBF9B812EE4}"/>
    <cellStyle name="Notiz 2 10" xfId="15778" xr:uid="{4A6A84E4-2F38-43C1-87CA-87061F52993E}"/>
    <cellStyle name="Notiz 2 10 2" xfId="35215" xr:uid="{0173390B-84B8-49D8-8451-2B4AFDDD0FB4}"/>
    <cellStyle name="Notiz 2 11" xfId="15779" xr:uid="{EB6C6036-5F72-43D3-A941-F35C1E3FA67E}"/>
    <cellStyle name="Notiz 2 11 2" xfId="35216" xr:uid="{08651D50-E0F1-4CA1-8CD9-1DFA419A7496}"/>
    <cellStyle name="Notiz 2 12" xfId="15780" xr:uid="{55EB0CD1-C95C-4424-8186-770874ABC292}"/>
    <cellStyle name="Notiz 2 12 2" xfId="35217" xr:uid="{B8B17D31-F5DC-402B-B9A1-B8455882C06D}"/>
    <cellStyle name="Notiz 2 13" xfId="15781" xr:uid="{FDDE531D-452E-4B46-86DC-29CB4869DD28}"/>
    <cellStyle name="Notiz 2 13 2" xfId="35218" xr:uid="{E6EA1580-A964-4D30-8C2A-6C678F611B80}"/>
    <cellStyle name="Notiz 2 14" xfId="15782" xr:uid="{B8515766-124D-4CE8-8E9D-13A9E632A330}"/>
    <cellStyle name="Notiz 2 14 2" xfId="15783" xr:uid="{78C79BCD-E913-43D0-80CC-13CC627131E4}"/>
    <cellStyle name="Notiz 2 14 2 2" xfId="35220" xr:uid="{2044068F-41A9-49EC-99B7-C8EF4ACDD71D}"/>
    <cellStyle name="Notiz 2 14 3" xfId="35219" xr:uid="{207D6BCF-2FBD-499B-B865-04B1BC134718}"/>
    <cellStyle name="Notiz 2 15" xfId="15784" xr:uid="{00665841-F6F3-427A-8BAB-D8572E34BD43}"/>
    <cellStyle name="Notiz 2 15 2" xfId="15785" xr:uid="{08BF7D95-2AEA-4128-B0E1-51979FF3C596}"/>
    <cellStyle name="Notiz 2 15 2 2" xfId="35222" xr:uid="{65620778-7F8E-4C02-B7DC-052734FDDACB}"/>
    <cellStyle name="Notiz 2 15 3" xfId="35221" xr:uid="{A8617A6C-0D58-4D89-8148-88729EA18749}"/>
    <cellStyle name="Notiz 2 16" xfId="15786" xr:uid="{C710D81E-1CD1-48F5-A2BC-872E90660D82}"/>
    <cellStyle name="Notiz 2 16 2" xfId="15787" xr:uid="{5628729B-A78F-4879-8706-755BA2F78E03}"/>
    <cellStyle name="Notiz 2 16 2 2" xfId="35224" xr:uid="{53ED3447-DE5E-47DA-A3F0-01C1B795AB10}"/>
    <cellStyle name="Notiz 2 16 3" xfId="35223" xr:uid="{A11DB685-0258-4B12-848F-14D2C1EAB3DE}"/>
    <cellStyle name="Notiz 2 17" xfId="15788" xr:uid="{6AF30B64-F9C3-4FE4-BE6E-13405ACD3778}"/>
    <cellStyle name="Notiz 2 17 2" xfId="15789" xr:uid="{D76C2452-EEFF-4C15-AFD1-1004D0A9900F}"/>
    <cellStyle name="Notiz 2 17 2 2" xfId="35226" xr:uid="{A1670E89-73C8-48E9-A7B7-646E5A03AF3D}"/>
    <cellStyle name="Notiz 2 17 3" xfId="35225" xr:uid="{2A02B608-C8FA-487B-8AC5-0B309531A530}"/>
    <cellStyle name="Notiz 2 18" xfId="15790" xr:uid="{FB5B2774-4B30-4E7A-8288-5B248F0D6CE7}"/>
    <cellStyle name="Notiz 2 18 2" xfId="15791" xr:uid="{F0BACECC-031A-4507-91E2-55A5B649DC7C}"/>
    <cellStyle name="Notiz 2 18 2 2" xfId="35228" xr:uid="{7010BD2F-4A4B-4966-9A76-C0E928361C83}"/>
    <cellStyle name="Notiz 2 18 3" xfId="35227" xr:uid="{FCA5DD44-B158-4AD1-8F6E-C8ADF7AEE530}"/>
    <cellStyle name="Notiz 2 19" xfId="15792" xr:uid="{27F2404B-C50E-445D-95C0-AD2EDECFB4D0}"/>
    <cellStyle name="Notiz 2 19 2" xfId="15793" xr:uid="{0F0E1B4D-CC84-4AE1-B676-FFBFBE607A58}"/>
    <cellStyle name="Notiz 2 19 2 2" xfId="35230" xr:uid="{1C4F6A15-3F33-4452-AA95-FC0CF7B306FA}"/>
    <cellStyle name="Notiz 2 19 3" xfId="35229" xr:uid="{4FDADD1C-AD78-4DB3-85BB-35911227D1C7}"/>
    <cellStyle name="Notiz 2 2" xfId="110" xr:uid="{2D5ABDFB-FD21-40A3-9994-77B4EE81DD38}"/>
    <cellStyle name="Notiz 2 2 10" xfId="15795" xr:uid="{B26AE9A5-78A9-493E-B9BE-E5A038C5260F}"/>
    <cellStyle name="Notiz 2 2 10 2" xfId="15796" xr:uid="{DF955A4B-293B-4CFB-8517-47EA610E5491}"/>
    <cellStyle name="Notiz 2 2 10 2 2" xfId="35233" xr:uid="{37931729-F30B-4793-B714-37B58409998C}"/>
    <cellStyle name="Notiz 2 2 10 3" xfId="35232" xr:uid="{6B0484FF-351A-4925-BF00-8CAD874681E5}"/>
    <cellStyle name="Notiz 2 2 11" xfId="15797" xr:uid="{A775107C-75A4-4EF9-941D-9ED9D4A1CD8B}"/>
    <cellStyle name="Notiz 2 2 11 2" xfId="15798" xr:uid="{71203BBF-84D5-4E66-B2EB-DF67D3B76582}"/>
    <cellStyle name="Notiz 2 2 11 2 2" xfId="35235" xr:uid="{373D12E2-C178-4EDE-BB1B-D14E104CE376}"/>
    <cellStyle name="Notiz 2 2 11 3" xfId="35234" xr:uid="{9D22C6C4-ADF2-4510-8FDC-E96ED635E4BD}"/>
    <cellStyle name="Notiz 2 2 12" xfId="15799" xr:uid="{4B06083F-8660-4922-B959-EB5F0B707008}"/>
    <cellStyle name="Notiz 2 2 12 2" xfId="15800" xr:uid="{0AFF0367-50EF-4AEC-A3A0-174BC7ED08AE}"/>
    <cellStyle name="Notiz 2 2 12 2 2" xfId="35237" xr:uid="{3269F822-ACB2-4E4F-A19F-931773C618C8}"/>
    <cellStyle name="Notiz 2 2 12 3" xfId="35236" xr:uid="{7A8191C9-ADF4-4079-966E-AEDFFD4276CB}"/>
    <cellStyle name="Notiz 2 2 13" xfId="15801" xr:uid="{0BD77488-2ECE-4CBA-BC8F-6256DC206C14}"/>
    <cellStyle name="Notiz 2 2 13 2" xfId="15802" xr:uid="{879609A1-2EBA-4D54-9F93-B26655AD8A58}"/>
    <cellStyle name="Notiz 2 2 13 2 2" xfId="35239" xr:uid="{F0BD58D8-6410-4BA5-9FC3-0247F614E00B}"/>
    <cellStyle name="Notiz 2 2 13 3" xfId="35238" xr:uid="{0E864220-355C-4BA1-81E0-F2D8E5F1A22F}"/>
    <cellStyle name="Notiz 2 2 14" xfId="15803" xr:uid="{7D9DD508-5DD5-409E-98AD-DC3BF359A280}"/>
    <cellStyle name="Notiz 2 2 14 2" xfId="15804" xr:uid="{970162B7-F9D6-4D93-AD08-0E0C59F5A9E7}"/>
    <cellStyle name="Notiz 2 2 14 2 2" xfId="35241" xr:uid="{5B43B30F-0130-4760-BC23-ECEA2A6C1606}"/>
    <cellStyle name="Notiz 2 2 14 3" xfId="35240" xr:uid="{672AE5A0-7CDF-4155-8DDB-159564C97F6E}"/>
    <cellStyle name="Notiz 2 2 15" xfId="15805" xr:uid="{967C231F-ADB8-457F-B12B-3689A5628913}"/>
    <cellStyle name="Notiz 2 2 15 2" xfId="15806" xr:uid="{9D46142A-DA01-4953-BF29-0C4745C2988F}"/>
    <cellStyle name="Notiz 2 2 15 2 2" xfId="35243" xr:uid="{11A27CE9-AF01-4C60-B195-FD685E4FB44F}"/>
    <cellStyle name="Notiz 2 2 15 3" xfId="35242" xr:uid="{5FE88385-3B99-426E-A996-654554E7F644}"/>
    <cellStyle name="Notiz 2 2 16" xfId="15807" xr:uid="{1DC9EA00-54B8-4090-A06E-D26FB7B84021}"/>
    <cellStyle name="Notiz 2 2 16 2" xfId="15808" xr:uid="{D4FD0D8E-ABE6-48D0-ACA9-4CB67FF85929}"/>
    <cellStyle name="Notiz 2 2 16 2 2" xfId="35245" xr:uid="{79F4283C-8C4E-42A4-B2E6-788345D02A0D}"/>
    <cellStyle name="Notiz 2 2 16 3" xfId="35244" xr:uid="{BD06EB56-5D7E-4401-90B7-2888EB13EFB5}"/>
    <cellStyle name="Notiz 2 2 17" xfId="15809" xr:uid="{3A987C19-9C47-4070-AA49-641A474BCD70}"/>
    <cellStyle name="Notiz 2 2 17 2" xfId="15810" xr:uid="{E80D7452-EDEA-4752-A5B6-3BB93F11D90A}"/>
    <cellStyle name="Notiz 2 2 17 2 2" xfId="35247" xr:uid="{9E63BED5-B443-41C8-ABB2-546B5A2068A1}"/>
    <cellStyle name="Notiz 2 2 17 3" xfId="35246" xr:uid="{B8E8F963-D3CB-40F7-9CF7-45C255A7D117}"/>
    <cellStyle name="Notiz 2 2 18" xfId="15811" xr:uid="{FF9E4E16-234B-4D1B-A197-7ABE654A4E94}"/>
    <cellStyle name="Notiz 2 2 18 2" xfId="15812" xr:uid="{D04111DE-9A77-4DF5-85AD-F23FAA8E5694}"/>
    <cellStyle name="Notiz 2 2 18 2 2" xfId="35249" xr:uid="{E562637E-FBB6-4534-9CA8-300152C4BA02}"/>
    <cellStyle name="Notiz 2 2 18 3" xfId="35248" xr:uid="{8C014DEB-BB65-41C4-B9F5-2999B5223E46}"/>
    <cellStyle name="Notiz 2 2 19" xfId="15813" xr:uid="{22B11444-217B-4BAB-84F2-92D5BEC61BEE}"/>
    <cellStyle name="Notiz 2 2 19 2" xfId="15814" xr:uid="{9884881C-4151-4E6A-ACCA-DE410A426460}"/>
    <cellStyle name="Notiz 2 2 19 2 2" xfId="35251" xr:uid="{C457E283-7ADC-40A2-B5F3-481FD71AE7EF}"/>
    <cellStyle name="Notiz 2 2 19 3" xfId="35250" xr:uid="{4857A85E-4248-4026-9F95-AC3E1AEB0626}"/>
    <cellStyle name="Notiz 2 2 2" xfId="15815" xr:uid="{8F3AA7C6-7759-4275-9C1C-37B990735D50}"/>
    <cellStyle name="Notiz 2 2 2 10" xfId="15816" xr:uid="{41F86791-C9F1-4DAF-9146-50EFF0E5D604}"/>
    <cellStyle name="Notiz 2 2 2 10 2" xfId="35253" xr:uid="{50D01090-A7B0-47AB-9E6B-5F9BF0706B3B}"/>
    <cellStyle name="Notiz 2 2 2 11" xfId="15817" xr:uid="{780B5C0D-F92A-4DC3-A1AA-37777FC46CA2}"/>
    <cellStyle name="Notiz 2 2 2 11 2" xfId="35254" xr:uid="{5D886C48-C8BE-4F79-8523-089B2FD7642C}"/>
    <cellStyle name="Notiz 2 2 2 12" xfId="35252" xr:uid="{19764F6A-B2B0-437F-805D-F3EB2EB5D382}"/>
    <cellStyle name="Notiz 2 2 2 13" xfId="40073" xr:uid="{E319B0AD-5220-47FD-9A7F-1AD347A30A0B}"/>
    <cellStyle name="Notiz 2 2 2 2" xfId="15818" xr:uid="{42F30A79-3DDD-47B5-A28F-B5EC0C24BB7C}"/>
    <cellStyle name="Notiz 2 2 2 2 10" xfId="35255" xr:uid="{22BDA92D-42EC-46B4-BD6A-0275B939DA74}"/>
    <cellStyle name="Notiz 2 2 2 2 11" xfId="40980" xr:uid="{AD9EDC9C-B487-4F2F-888D-0F82667CD877}"/>
    <cellStyle name="Notiz 2 2 2 2 2" xfId="15819" xr:uid="{65B562F0-76F3-48AC-AD0E-BE5B930F0139}"/>
    <cellStyle name="Notiz 2 2 2 2 2 10" xfId="35256" xr:uid="{6B0DFD9A-C8D8-46E4-AE58-B23BBB4A9E43}"/>
    <cellStyle name="Notiz 2 2 2 2 2 2" xfId="15820" xr:uid="{996AFF0E-6D3A-437D-BE65-4EC69464A80C}"/>
    <cellStyle name="Notiz 2 2 2 2 2 2 2" xfId="15821" xr:uid="{3C6B94CD-AF63-4E1A-B659-CD3DE85EA1DC}"/>
    <cellStyle name="Notiz 2 2 2 2 2 2 2 2" xfId="35258" xr:uid="{CE00A38D-E586-4F4D-AFDB-4533B20A8646}"/>
    <cellStyle name="Notiz 2 2 2 2 2 2 3" xfId="15822" xr:uid="{591B2D93-3130-4C63-BA61-82D179B18DBD}"/>
    <cellStyle name="Notiz 2 2 2 2 2 2 3 2" xfId="35259" xr:uid="{0D374C90-6D6A-4A68-8DC5-30D55C3B11BB}"/>
    <cellStyle name="Notiz 2 2 2 2 2 2 4" xfId="35257" xr:uid="{A1FF09B5-581A-4E00-86AD-0497F419D049}"/>
    <cellStyle name="Notiz 2 2 2 2 2 3" xfId="15823" xr:uid="{70F438E2-4D83-433A-AECC-FC8AD1B2F12C}"/>
    <cellStyle name="Notiz 2 2 2 2 2 3 2" xfId="35260" xr:uid="{28FBA70C-DCA7-47D8-B5D9-DB0BCD2F1116}"/>
    <cellStyle name="Notiz 2 2 2 2 2 4" xfId="15824" xr:uid="{5837CBAB-4BE9-49E7-8143-8BE49A8EA3B6}"/>
    <cellStyle name="Notiz 2 2 2 2 2 4 2" xfId="35261" xr:uid="{F4626F5E-1C93-4B58-8BB5-410554D33E65}"/>
    <cellStyle name="Notiz 2 2 2 2 2 5" xfId="15825" xr:uid="{3030D140-B44E-43D3-A0BA-2D81D6041206}"/>
    <cellStyle name="Notiz 2 2 2 2 2 5 2" xfId="35262" xr:uid="{9A7B4231-9870-4138-86D3-3F26C93A6EAD}"/>
    <cellStyle name="Notiz 2 2 2 2 2 6" xfId="15826" xr:uid="{084EE7C2-197D-4A20-BEAF-CC3582582795}"/>
    <cellStyle name="Notiz 2 2 2 2 2 6 2" xfId="35263" xr:uid="{01E2652C-889E-487B-B3B0-EF41C2551B48}"/>
    <cellStyle name="Notiz 2 2 2 2 2 7" xfId="15827" xr:uid="{A61C61D0-E5E7-4798-B960-C2115542AB5B}"/>
    <cellStyle name="Notiz 2 2 2 2 2 7 2" xfId="35264" xr:uid="{733E124B-DE1E-46E9-A640-92EDE44F491E}"/>
    <cellStyle name="Notiz 2 2 2 2 2 8" xfId="15828" xr:uid="{2CC2F2AC-52C7-4B7C-9FE0-C74D9AE311B4}"/>
    <cellStyle name="Notiz 2 2 2 2 2 8 2" xfId="35265" xr:uid="{71A71E09-1012-43A5-8DC0-495F897CD89F}"/>
    <cellStyle name="Notiz 2 2 2 2 2 9" xfId="15829" xr:uid="{6DA57902-5A34-4D2D-B39C-9EE56B73FBB0}"/>
    <cellStyle name="Notiz 2 2 2 2 2 9 2" xfId="35266" xr:uid="{24E47CBE-E6A7-4D9C-9488-B1E0D6B34FCD}"/>
    <cellStyle name="Notiz 2 2 2 2 3" xfId="15830" xr:uid="{216631B3-049D-4C45-BA12-03D3C972F0BA}"/>
    <cellStyle name="Notiz 2 2 2 2 3 2" xfId="15831" xr:uid="{CCADCA20-C888-4425-B5C2-5B29FCD9897F}"/>
    <cellStyle name="Notiz 2 2 2 2 3 2 2" xfId="15832" xr:uid="{0A6F4EB8-5499-4F37-9333-E0A0E04853A9}"/>
    <cellStyle name="Notiz 2 2 2 2 3 2 2 2" xfId="35269" xr:uid="{C6C62FD3-D871-4339-8F52-8A51DAB3721A}"/>
    <cellStyle name="Notiz 2 2 2 2 3 2 3" xfId="35268" xr:uid="{79DB86E1-167D-49A6-B8BE-3DA637C2E21E}"/>
    <cellStyle name="Notiz 2 2 2 2 3 3" xfId="35267" xr:uid="{3D7B976D-A82E-483A-A743-A79280D0FD99}"/>
    <cellStyle name="Notiz 2 2 2 2 4" xfId="15833" xr:uid="{4870A289-741C-4336-9F0A-98C653E00647}"/>
    <cellStyle name="Notiz 2 2 2 2 4 2" xfId="15834" xr:uid="{5C98CEF7-903A-495F-A414-A15334B93AC2}"/>
    <cellStyle name="Notiz 2 2 2 2 4 2 2" xfId="35271" xr:uid="{38D2E9CF-7B97-4D65-9E87-D239831BC606}"/>
    <cellStyle name="Notiz 2 2 2 2 4 3" xfId="35270" xr:uid="{A8DE6DC5-9271-4723-9199-5D7D74F2D1F1}"/>
    <cellStyle name="Notiz 2 2 2 2 5" xfId="15835" xr:uid="{F5FFCCBF-7CB0-4F08-95E3-4745B6604060}"/>
    <cellStyle name="Notiz 2 2 2 2 5 2" xfId="15836" xr:uid="{9BE3940B-E17A-437C-B9EB-9147207CE3B6}"/>
    <cellStyle name="Notiz 2 2 2 2 5 2 2" xfId="35273" xr:uid="{CE969A08-F284-4B1A-9C71-81D725806B4E}"/>
    <cellStyle name="Notiz 2 2 2 2 5 3" xfId="35272" xr:uid="{44E970D6-CC1F-4A01-8B08-E94B36C90D8B}"/>
    <cellStyle name="Notiz 2 2 2 2 6" xfId="15837" xr:uid="{158569C8-5B12-41BA-B610-DE010E2160DB}"/>
    <cellStyle name="Notiz 2 2 2 2 6 2" xfId="15838" xr:uid="{360665C9-AF3A-4933-A904-EC5B8075D402}"/>
    <cellStyle name="Notiz 2 2 2 2 6 2 2" xfId="35275" xr:uid="{8B6324D6-36FB-4C9C-9001-5D3EDCF452F0}"/>
    <cellStyle name="Notiz 2 2 2 2 6 3" xfId="35274" xr:uid="{77907862-52E9-48BE-975A-8D671257E207}"/>
    <cellStyle name="Notiz 2 2 2 2 7" xfId="15839" xr:uid="{C8E1F2BC-C00A-48A0-B822-B638A4B3C79B}"/>
    <cellStyle name="Notiz 2 2 2 2 7 2" xfId="15840" xr:uid="{6E5B71C9-A3D0-4293-881A-1F0931B31A62}"/>
    <cellStyle name="Notiz 2 2 2 2 7 2 2" xfId="35277" xr:uid="{385CEDB3-C2B1-4753-B787-A0A9ADDF1404}"/>
    <cellStyle name="Notiz 2 2 2 2 7 3" xfId="35276" xr:uid="{3FEF7C62-F231-4D8D-9083-E05FD35B8006}"/>
    <cellStyle name="Notiz 2 2 2 2 8" xfId="15841" xr:uid="{7D187096-8B99-47F2-BAB3-112CB4B146EE}"/>
    <cellStyle name="Notiz 2 2 2 2 8 2" xfId="15842" xr:uid="{18B87C97-C24A-4624-B79E-5D201CC525DE}"/>
    <cellStyle name="Notiz 2 2 2 2 8 2 2" xfId="35279" xr:uid="{F4034E2A-25D2-4B07-8A1F-01DE67C7BDA7}"/>
    <cellStyle name="Notiz 2 2 2 2 8 3" xfId="35278" xr:uid="{5529064C-1A2C-47A0-9A4D-236D92A6FDC5}"/>
    <cellStyle name="Notiz 2 2 2 2 9" xfId="15843" xr:uid="{265E0E7C-125A-432D-8D5D-D986008319AD}"/>
    <cellStyle name="Notiz 2 2 2 2 9 2" xfId="35280" xr:uid="{30D640DF-56C3-4C25-9748-BD92293A4D46}"/>
    <cellStyle name="Notiz 2 2 2 3" xfId="15844" xr:uid="{82135C49-FC6C-44AD-9196-676AAAD9CEEA}"/>
    <cellStyle name="Notiz 2 2 2 3 2" xfId="15845" xr:uid="{6D359B0D-0C4A-4E41-9BB7-A28E7DE7AB55}"/>
    <cellStyle name="Notiz 2 2 2 3 2 2" xfId="35282" xr:uid="{BAEE3D1A-4FA7-47BD-92CC-55EA020A6DAE}"/>
    <cellStyle name="Notiz 2 2 2 3 3" xfId="35281" xr:uid="{0DEF4562-B7CA-4B64-956B-AB13F15992EF}"/>
    <cellStyle name="Notiz 2 2 2 3 4" xfId="41839" xr:uid="{F9DD7770-71D8-476A-98F7-477823031169}"/>
    <cellStyle name="Notiz 2 2 2 4" xfId="15846" xr:uid="{A66C1017-F428-4785-B071-AF6ED317B79E}"/>
    <cellStyle name="Notiz 2 2 2 4 2" xfId="15847" xr:uid="{52C82D09-9630-47D6-B661-244D32907DCF}"/>
    <cellStyle name="Notiz 2 2 2 4 2 2" xfId="35284" xr:uid="{549EC037-4EA0-4582-936D-F5CBC8B3C7CC}"/>
    <cellStyle name="Notiz 2 2 2 4 3" xfId="35283" xr:uid="{999266F1-6C0B-4F17-B6CC-D93A1A129EC0}"/>
    <cellStyle name="Notiz 2 2 2 5" xfId="15848" xr:uid="{9ADE4FE6-A48E-46DD-8800-A72ADCA4F21D}"/>
    <cellStyle name="Notiz 2 2 2 5 2" xfId="15849" xr:uid="{7527F86C-6365-4395-8F11-3FB3DAA22468}"/>
    <cellStyle name="Notiz 2 2 2 5 2 2" xfId="35286" xr:uid="{E0C7D23F-6EAF-4EF7-B725-81045FF2A01A}"/>
    <cellStyle name="Notiz 2 2 2 5 3" xfId="15850" xr:uid="{BA56C8C8-C092-42D7-8502-7D8AFDB2AD1B}"/>
    <cellStyle name="Notiz 2 2 2 5 3 2" xfId="35287" xr:uid="{083E8C13-B7F2-44EB-90D6-6D4A2343BF5E}"/>
    <cellStyle name="Notiz 2 2 2 5 4" xfId="35285" xr:uid="{0CAD0A50-CB73-4626-B71F-D4A1919037EB}"/>
    <cellStyle name="Notiz 2 2 2 6" xfId="15851" xr:uid="{3E919A51-D5ED-4B82-A9F3-F4239FA5B624}"/>
    <cellStyle name="Notiz 2 2 2 6 2" xfId="35288" xr:uid="{032516F6-E2D5-4854-98B1-7C98BF75E7A4}"/>
    <cellStyle name="Notiz 2 2 2 7" xfId="15852" xr:uid="{8CF9F120-2CF2-4B65-8E0F-3384CEB03199}"/>
    <cellStyle name="Notiz 2 2 2 7 2" xfId="35289" xr:uid="{2D11306C-85CE-4752-A0EF-A03A5E9FF2F6}"/>
    <cellStyle name="Notiz 2 2 2 8" xfId="15853" xr:uid="{1747F4C8-5A6C-432C-8E23-704B524D7DED}"/>
    <cellStyle name="Notiz 2 2 2 8 2" xfId="35290" xr:uid="{74B3C4C6-4742-4AD4-A99A-5398BEBC5C65}"/>
    <cellStyle name="Notiz 2 2 2 9" xfId="15854" xr:uid="{DE5D1FCB-4C15-465C-8041-0C368F4FE6A4}"/>
    <cellStyle name="Notiz 2 2 2 9 2" xfId="35291" xr:uid="{1785E049-AF29-4FAB-86EF-3352B713736D}"/>
    <cellStyle name="Notiz 2 2 20" xfId="15855" xr:uid="{27387A6B-D415-4B14-B2A3-5DA22CED4637}"/>
    <cellStyle name="Notiz 2 2 20 2" xfId="15856" xr:uid="{36BD437F-FE93-46C0-9428-1ECB42467DD4}"/>
    <cellStyle name="Notiz 2 2 20 2 2" xfId="35293" xr:uid="{1B08DE9D-25E4-4F03-A499-290F2C459D5F}"/>
    <cellStyle name="Notiz 2 2 20 3" xfId="35292" xr:uid="{0BD68830-D98C-401C-9E04-177AB46D3B60}"/>
    <cellStyle name="Notiz 2 2 21" xfId="15857" xr:uid="{654EDA07-0AFC-4095-A0B4-0B1CAC422CEA}"/>
    <cellStyle name="Notiz 2 2 21 2" xfId="15858" xr:uid="{56BEB64E-4B8A-484B-9F70-F0F2D28443A8}"/>
    <cellStyle name="Notiz 2 2 21 2 2" xfId="35295" xr:uid="{0E4707B7-5763-4CE6-BB80-D5EBC637C48D}"/>
    <cellStyle name="Notiz 2 2 21 3" xfId="35294" xr:uid="{57F30E0D-A692-410C-BEB4-D02714EE9023}"/>
    <cellStyle name="Notiz 2 2 22" xfId="15859" xr:uid="{43A5550E-B452-45F9-A57A-4C0A1D9973B1}"/>
    <cellStyle name="Notiz 2 2 22 2" xfId="35296" xr:uid="{2940C95A-DC13-43DB-8E33-D1DD48F1A379}"/>
    <cellStyle name="Notiz 2 2 23" xfId="35231" xr:uid="{2EAE0E81-E223-4E77-9340-4A51E918478A}"/>
    <cellStyle name="Notiz 2 2 24" xfId="39521" xr:uid="{FF7AD1BE-843B-4055-BC3F-066AFFC7109D}"/>
    <cellStyle name="Notiz 2 2 25" xfId="15794" xr:uid="{3B0BE202-EDB2-4CDB-BC6C-C1C81923E549}"/>
    <cellStyle name="Notiz 2 2 3" xfId="15860" xr:uid="{451A5ECB-0782-4418-96DB-6B2C16D4E170}"/>
    <cellStyle name="Notiz 2 2 3 2" xfId="15861" xr:uid="{EFD88F35-D01D-495E-95D6-6885DA241693}"/>
    <cellStyle name="Notiz 2 2 3 2 2" xfId="35298" xr:uid="{A487DD84-C39E-4F48-A85E-CE7AB561344D}"/>
    <cellStyle name="Notiz 2 2 3 3" xfId="35297" xr:uid="{6C9A18F2-4DAE-4600-9BBB-8BDAD19E8E5C}"/>
    <cellStyle name="Notiz 2 2 3 4" xfId="40538" xr:uid="{ACA24181-5692-4B29-A0D8-B2EB3F4A6C7C}"/>
    <cellStyle name="Notiz 2 2 4" xfId="15862" xr:uid="{B2A812EA-91E4-462F-8470-D0DE1E8FB76E}"/>
    <cellStyle name="Notiz 2 2 4 2" xfId="15863" xr:uid="{E7DD4397-9F25-4B94-96D2-7710C826A919}"/>
    <cellStyle name="Notiz 2 2 4 2 2" xfId="35300" xr:uid="{A65841BC-0113-4CF4-86EC-409DAEBD435B}"/>
    <cellStyle name="Notiz 2 2 4 3" xfId="35299" xr:uid="{B884B097-E76D-4252-84FF-9CF77E6C5623}"/>
    <cellStyle name="Notiz 2 2 4 4" xfId="41398" xr:uid="{8B2F76C5-0285-42BD-BE44-2048F50B586C}"/>
    <cellStyle name="Notiz 2 2 5" xfId="15864" xr:uid="{95056600-D1A7-4E88-9809-C7DCBFE22F2F}"/>
    <cellStyle name="Notiz 2 2 5 2" xfId="15865" xr:uid="{F0C8361A-FBEE-4240-BD7D-5AE5AC3F77E2}"/>
    <cellStyle name="Notiz 2 2 5 2 2" xfId="15866" xr:uid="{D7D7C4A3-0681-457B-AA22-A2795E7933C8}"/>
    <cellStyle name="Notiz 2 2 5 2 2 2" xfId="35303" xr:uid="{9C97E78F-B427-4473-A0DB-A5BC4627B720}"/>
    <cellStyle name="Notiz 2 2 5 2 3" xfId="35302" xr:uid="{ABC920A6-F401-4BE2-9FA6-E0A4010641C6}"/>
    <cellStyle name="Notiz 2 2 5 3" xfId="15867" xr:uid="{70BFC1DF-EFFF-47A7-B206-44208AF77220}"/>
    <cellStyle name="Notiz 2 2 5 3 2" xfId="35304" xr:uid="{B63722F4-DFC3-43DD-B784-BC56D85CB866}"/>
    <cellStyle name="Notiz 2 2 5 4" xfId="35301" xr:uid="{E6146E1A-6409-48E1-843C-654D6766D3D9}"/>
    <cellStyle name="Notiz 2 2 6" xfId="15868" xr:uid="{2E9ED268-F275-42EA-A5AD-25E7E7E36D5B}"/>
    <cellStyle name="Notiz 2 2 6 2" xfId="15869" xr:uid="{8751FDB7-DE95-4FEE-B08C-D781D195D70D}"/>
    <cellStyle name="Notiz 2 2 6 2 2" xfId="35306" xr:uid="{8C407A09-E3F3-4086-A5CB-DA1B50C0B41E}"/>
    <cellStyle name="Notiz 2 2 6 3" xfId="35305" xr:uid="{5006068F-F869-4C34-B9D7-D9146A680B4F}"/>
    <cellStyle name="Notiz 2 2 7" xfId="15870" xr:uid="{23B74FD2-2BE8-4DB6-9E39-4CF4F64859A9}"/>
    <cellStyle name="Notiz 2 2 7 2" xfId="15871" xr:uid="{47BF7AF0-FED2-45F3-ABF6-A8226B128432}"/>
    <cellStyle name="Notiz 2 2 7 2 2" xfId="15872" xr:uid="{5E0C352A-98D6-4E31-9A21-C75BFC46AA90}"/>
    <cellStyle name="Notiz 2 2 7 2 2 2" xfId="35309" xr:uid="{CFB6BF0E-973C-4EAC-AF11-F2F97315AFDA}"/>
    <cellStyle name="Notiz 2 2 7 2 3" xfId="35308" xr:uid="{11FD0358-DCE9-4671-99DD-98CD40F13DCD}"/>
    <cellStyle name="Notiz 2 2 7 3" xfId="35307" xr:uid="{4A1502D9-2F1E-425D-BDB5-1AD695CEAE39}"/>
    <cellStyle name="Notiz 2 2 8" xfId="15873" xr:uid="{C016FCD7-E358-4B30-9A1C-E0DC34FDF8B6}"/>
    <cellStyle name="Notiz 2 2 8 2" xfId="15874" xr:uid="{C0903B81-B409-4EE0-BB57-5300DD9EAEC1}"/>
    <cellStyle name="Notiz 2 2 8 2 2" xfId="35311" xr:uid="{A6EAB327-CD25-48E8-B893-F35E8DDAA2D9}"/>
    <cellStyle name="Notiz 2 2 8 3" xfId="35310" xr:uid="{48F6440D-2748-4D55-B311-88F40B77DF64}"/>
    <cellStyle name="Notiz 2 2 9" xfId="15875" xr:uid="{38296888-A920-4299-BA0F-FE12B5F923E1}"/>
    <cellStyle name="Notiz 2 2 9 2" xfId="15876" xr:uid="{C04BE0DB-EE39-4EC4-9F95-D97D38E7CE84}"/>
    <cellStyle name="Notiz 2 2 9 2 2" xfId="35313" xr:uid="{E98D8D18-4708-4D0A-B61F-A713EFC2FB1B}"/>
    <cellStyle name="Notiz 2 2 9 3" xfId="35312" xr:uid="{B0D16719-1B47-48B7-9855-275575822948}"/>
    <cellStyle name="Notiz 2 20" xfId="15877" xr:uid="{E344CD87-EFD0-48EB-B298-6D31B84F9AF8}"/>
    <cellStyle name="Notiz 2 20 2" xfId="15878" xr:uid="{B5F4A8C1-FF9F-47D0-B7FF-C31AF4763573}"/>
    <cellStyle name="Notiz 2 20 2 2" xfId="35315" xr:uid="{BA368F59-D02E-4269-8468-1BF2301764D8}"/>
    <cellStyle name="Notiz 2 20 3" xfId="35314" xr:uid="{86093FB1-5F1E-4208-A2BC-772DF65C28F2}"/>
    <cellStyle name="Notiz 2 21" xfId="15879" xr:uid="{C78F30A5-B583-4B74-B508-213752341495}"/>
    <cellStyle name="Notiz 2 21 2" xfId="15880" xr:uid="{C375B7B5-6A62-494B-AC16-BDDDB9BE1C3B}"/>
    <cellStyle name="Notiz 2 21 2 2" xfId="35317" xr:uid="{715D886A-2050-4536-B6A1-6F4D017DE93B}"/>
    <cellStyle name="Notiz 2 21 3" xfId="35316" xr:uid="{06D65610-8C5B-4C29-9A35-38BC91396BD0}"/>
    <cellStyle name="Notiz 2 22" xfId="15881" xr:uid="{88F205D7-320F-4772-BF10-BAA0CB6150BB}"/>
    <cellStyle name="Notiz 2 22 2" xfId="15882" xr:uid="{B0610B27-E693-4D57-B308-6CE447707FAF}"/>
    <cellStyle name="Notiz 2 22 2 2" xfId="35319" xr:uid="{434F1C2F-0C09-41E4-A809-D7CAF8E48AC9}"/>
    <cellStyle name="Notiz 2 22 3" xfId="35318" xr:uid="{B9D82804-C557-46E7-BBC6-DF268AC03C95}"/>
    <cellStyle name="Notiz 2 23" xfId="15883" xr:uid="{F499EDB9-51A6-445C-9143-2E84CA379C77}"/>
    <cellStyle name="Notiz 2 23 2" xfId="15884" xr:uid="{D395807D-D07C-4977-9CF9-719EE9B32E13}"/>
    <cellStyle name="Notiz 2 23 2 2" xfId="35321" xr:uid="{844F0663-BCC9-47DF-B4D9-5AB8543080F2}"/>
    <cellStyle name="Notiz 2 23 3" xfId="35320" xr:uid="{78B35115-4DD4-46D9-B000-0C949A59FBF4}"/>
    <cellStyle name="Notiz 2 24" xfId="15885" xr:uid="{B72ADFD3-C1BE-4D08-96FD-841111AAA8F8}"/>
    <cellStyle name="Notiz 2 24 2" xfId="15886" xr:uid="{F6AC2EAE-EE78-4F79-953D-7CE1B09470B9}"/>
    <cellStyle name="Notiz 2 24 2 2" xfId="35323" xr:uid="{34704476-D14D-43D1-BF82-F7B7CCAF3C66}"/>
    <cellStyle name="Notiz 2 24 3" xfId="35322" xr:uid="{7D71361C-9DDC-4A10-B31B-C674E58BC06E}"/>
    <cellStyle name="Notiz 2 25" xfId="15887" xr:uid="{4EFDFBBE-258E-4595-A364-BD5651C7708D}"/>
    <cellStyle name="Notiz 2 25 2" xfId="15888" xr:uid="{4B8580C4-DB19-45AE-BA8A-600C0ED64AC9}"/>
    <cellStyle name="Notiz 2 25 2 2" xfId="35325" xr:uid="{E78745C6-0D1B-4203-AF10-670FAEC7A1E1}"/>
    <cellStyle name="Notiz 2 25 3" xfId="35324" xr:uid="{1B5D787F-2FF7-49D9-84CA-197A7A933F9F}"/>
    <cellStyle name="Notiz 2 26" xfId="15889" xr:uid="{1550A1C9-0B8F-4726-AADB-27897B3381A4}"/>
    <cellStyle name="Notiz 2 26 2" xfId="15890" xr:uid="{921FA68F-72D1-4F89-A676-80C4BB9CF2F6}"/>
    <cellStyle name="Notiz 2 26 2 2" xfId="35327" xr:uid="{D959E5D0-7E2D-46AE-A78C-E68C84E98403}"/>
    <cellStyle name="Notiz 2 26 3" xfId="35326" xr:uid="{9C96CEDF-9E5F-498B-AF4B-35EB845504B0}"/>
    <cellStyle name="Notiz 2 27" xfId="15891" xr:uid="{5B2FF389-84EE-4D90-8F09-2960E340696C}"/>
    <cellStyle name="Notiz 2 27 2" xfId="15892" xr:uid="{5172701D-B9A4-42C6-9126-07CC6A419C12}"/>
    <cellStyle name="Notiz 2 27 2 2" xfId="35329" xr:uid="{8E5595D6-13A4-416D-839A-2CDDCCD438BE}"/>
    <cellStyle name="Notiz 2 27 3" xfId="35328" xr:uid="{9FC16054-288A-4F70-9787-C3E39BBADF8F}"/>
    <cellStyle name="Notiz 2 28" xfId="15893" xr:uid="{33838D48-92DE-4A61-B9FD-FBEBDCD13127}"/>
    <cellStyle name="Notiz 2 28 2" xfId="15894" xr:uid="{FF85EB7C-7703-4D89-B968-D436A9BFF720}"/>
    <cellStyle name="Notiz 2 28 2 2" xfId="35331" xr:uid="{28D13024-AF7E-431C-A1A6-B24F68CDF889}"/>
    <cellStyle name="Notiz 2 28 3" xfId="35330" xr:uid="{A5432E2A-213E-4C32-AB2D-8E922EE7784D}"/>
    <cellStyle name="Notiz 2 29" xfId="15895" xr:uid="{327FBB47-9DEF-4314-BD39-87B457238206}"/>
    <cellStyle name="Notiz 2 29 2" xfId="15896" xr:uid="{CF8B8991-B9D6-4920-AD34-757991A3206A}"/>
    <cellStyle name="Notiz 2 29 2 2" xfId="35333" xr:uid="{031E0818-D3AF-4B72-BD25-A39E9B8D206C}"/>
    <cellStyle name="Notiz 2 29 3" xfId="35332" xr:uid="{D2BA4E21-3E9A-4047-9E14-870568937D9C}"/>
    <cellStyle name="Notiz 2 3" xfId="15897" xr:uid="{32222036-A612-498A-A96F-16E9B8A3EFA9}"/>
    <cellStyle name="Notiz 2 3 10" xfId="15898" xr:uid="{6B634ADE-BB4B-4F87-AC82-210CBA98C3AE}"/>
    <cellStyle name="Notiz 2 3 10 2" xfId="15899" xr:uid="{530C5533-AB7A-42EE-80FB-368064ED1CD8}"/>
    <cellStyle name="Notiz 2 3 10 2 2" xfId="35336" xr:uid="{936E2650-87EE-4390-91A3-95BD3399C70F}"/>
    <cellStyle name="Notiz 2 3 10 3" xfId="35335" xr:uid="{6E59C377-141A-466F-A4A1-78570B54FBD8}"/>
    <cellStyle name="Notiz 2 3 11" xfId="15900" xr:uid="{5A85A84A-4818-46EE-99EA-9435315E6CC1}"/>
    <cellStyle name="Notiz 2 3 11 2" xfId="15901" xr:uid="{99319FEA-2501-445E-AE5A-443D78EC3140}"/>
    <cellStyle name="Notiz 2 3 11 2 2" xfId="35338" xr:uid="{B9432F92-4746-44A6-BF6E-E30A2413911A}"/>
    <cellStyle name="Notiz 2 3 11 3" xfId="35337" xr:uid="{38D62642-3C8F-4AC0-AA85-1FE529509285}"/>
    <cellStyle name="Notiz 2 3 12" xfId="15902" xr:uid="{A3E7ECFB-5B86-4143-8EA3-1E7FA9C4DE32}"/>
    <cellStyle name="Notiz 2 3 12 2" xfId="15903" xr:uid="{808B9C53-F3B0-4077-ACE1-569D12BA760B}"/>
    <cellStyle name="Notiz 2 3 12 2 2" xfId="35340" xr:uid="{E5FF9DCA-8B43-4A6E-818C-C343E6D3AA20}"/>
    <cellStyle name="Notiz 2 3 12 3" xfId="35339" xr:uid="{8F42B977-D3F6-48C4-9215-92345CD0B385}"/>
    <cellStyle name="Notiz 2 3 13" xfId="15904" xr:uid="{06DAD8E5-2BB8-47F8-B47A-84A40EF56176}"/>
    <cellStyle name="Notiz 2 3 13 2" xfId="15905" xr:uid="{69DBFB07-1C68-4FF5-B64C-737E0F0831F1}"/>
    <cellStyle name="Notiz 2 3 13 2 2" xfId="35342" xr:uid="{F602F5D0-B27B-4F82-AFD4-F40A4F571C15}"/>
    <cellStyle name="Notiz 2 3 13 3" xfId="35341" xr:uid="{1DFB47BA-015A-4F40-94B7-41CBFA410119}"/>
    <cellStyle name="Notiz 2 3 14" xfId="15906" xr:uid="{086ECBE5-78CA-4CDC-9F1C-06664C46E4BE}"/>
    <cellStyle name="Notiz 2 3 14 2" xfId="15907" xr:uid="{6A4F9FA5-35EC-4BE5-B8C4-614CB03C7843}"/>
    <cellStyle name="Notiz 2 3 14 2 2" xfId="35344" xr:uid="{7102E6E4-AF7D-4B95-9021-27CC80A69564}"/>
    <cellStyle name="Notiz 2 3 14 3" xfId="35343" xr:uid="{7E803E26-6158-4271-A10E-06E6727C776A}"/>
    <cellStyle name="Notiz 2 3 15" xfId="15908" xr:uid="{666F5555-0146-4457-92A7-DAA29F64FDA0}"/>
    <cellStyle name="Notiz 2 3 15 2" xfId="15909" xr:uid="{6709A208-D4BC-4161-ACFC-CE5613FE9102}"/>
    <cellStyle name="Notiz 2 3 15 2 2" xfId="35346" xr:uid="{FA3AA9B3-15F9-4815-A15E-0EFBE6BEFE50}"/>
    <cellStyle name="Notiz 2 3 15 3" xfId="35345" xr:uid="{61E195A2-5767-4F8A-9835-1D99626DD5CA}"/>
    <cellStyle name="Notiz 2 3 16" xfId="15910" xr:uid="{BB81F0C5-A41B-47B3-8FE6-B39A87013CFD}"/>
    <cellStyle name="Notiz 2 3 16 2" xfId="15911" xr:uid="{18D80B91-ACFE-4D6F-A2C2-86C8D4C711D8}"/>
    <cellStyle name="Notiz 2 3 16 2 2" xfId="35348" xr:uid="{7D981250-E6A9-4345-A4FF-0079C1C227E1}"/>
    <cellStyle name="Notiz 2 3 16 3" xfId="35347" xr:uid="{70200781-DA0E-4A55-9961-9D02180D0290}"/>
    <cellStyle name="Notiz 2 3 17" xfId="15912" xr:uid="{41A06963-6332-400F-9F4A-956F7191B4A1}"/>
    <cellStyle name="Notiz 2 3 17 2" xfId="15913" xr:uid="{DD477E0D-F0B4-41D1-8C9A-99B7DF744843}"/>
    <cellStyle name="Notiz 2 3 17 2 2" xfId="35350" xr:uid="{04630FD0-F627-4A11-BCAF-92BE9BE9EC02}"/>
    <cellStyle name="Notiz 2 3 17 3" xfId="35349" xr:uid="{1A2167C6-5E6E-4A2F-8298-7073F39988DE}"/>
    <cellStyle name="Notiz 2 3 18" xfId="15914" xr:uid="{6613EE5C-5EFE-4779-B807-299255762DB4}"/>
    <cellStyle name="Notiz 2 3 18 2" xfId="15915" xr:uid="{5F9EF2E8-F622-4F2F-B9A0-712FF320AEE9}"/>
    <cellStyle name="Notiz 2 3 18 2 2" xfId="35352" xr:uid="{47BA68B1-B3BC-4593-A112-BB229A95C485}"/>
    <cellStyle name="Notiz 2 3 18 3" xfId="35351" xr:uid="{068A3CFC-C93F-437B-A5C0-5C65F8ACD93F}"/>
    <cellStyle name="Notiz 2 3 19" xfId="15916" xr:uid="{69068AC0-02C5-48AA-89AF-5F20D5C98DE6}"/>
    <cellStyle name="Notiz 2 3 19 2" xfId="15917" xr:uid="{EC6BCC31-6CD7-4684-BE7F-A7D74AC278C2}"/>
    <cellStyle name="Notiz 2 3 19 2 2" xfId="35354" xr:uid="{DC06993C-1034-43EA-B38B-BE5FC0826A30}"/>
    <cellStyle name="Notiz 2 3 19 3" xfId="35353" xr:uid="{53877980-F6B5-4E4D-8526-4A72CD310909}"/>
    <cellStyle name="Notiz 2 3 2" xfId="15918" xr:uid="{7CC6CC69-EA35-4E77-9A4C-A82132F7C5C6}"/>
    <cellStyle name="Notiz 2 3 2 2" xfId="15919" xr:uid="{8976257E-9AE9-4285-861E-C34C6FECDDA5}"/>
    <cellStyle name="Notiz 2 3 2 2 2" xfId="35356" xr:uid="{0B1138A3-FCFB-48D2-A84F-F33DDE5BDD03}"/>
    <cellStyle name="Notiz 2 3 2 3" xfId="35355" xr:uid="{20DAC75D-7108-49AE-9C12-840C6A274204}"/>
    <cellStyle name="Notiz 2 3 2 4" xfId="40979" xr:uid="{303EC6D0-D36D-4C26-AF69-ED7C75D7D6A4}"/>
    <cellStyle name="Notiz 2 3 20" xfId="15920" xr:uid="{CE427826-7EE7-430B-8D4A-ECFBC368F28E}"/>
    <cellStyle name="Notiz 2 3 20 2" xfId="15921" xr:uid="{7EBE6E14-9AF1-4767-934F-A7E3F0DDD901}"/>
    <cellStyle name="Notiz 2 3 20 2 2" xfId="35358" xr:uid="{015F697B-E0E2-44DC-9E37-BA24B245E775}"/>
    <cellStyle name="Notiz 2 3 20 3" xfId="35357" xr:uid="{92A2F1E5-6EDC-4D07-ACDF-EBC0553B5319}"/>
    <cellStyle name="Notiz 2 3 21" xfId="15922" xr:uid="{FDBFD3B6-B369-4AD0-9A70-C4FA2BE500DC}"/>
    <cellStyle name="Notiz 2 3 21 2" xfId="15923" xr:uid="{3F7C0E81-CE2F-46F7-BA45-B868B9D99F89}"/>
    <cellStyle name="Notiz 2 3 21 2 2" xfId="35360" xr:uid="{A38AA225-4881-4175-A0E7-5B80B416CE56}"/>
    <cellStyle name="Notiz 2 3 21 3" xfId="35359" xr:uid="{23F45ECD-E38C-46C3-88D1-69D3647C83CE}"/>
    <cellStyle name="Notiz 2 3 22" xfId="15924" xr:uid="{49D12A7B-9721-43C7-94F1-C240267D4C54}"/>
    <cellStyle name="Notiz 2 3 22 2" xfId="35361" xr:uid="{0C1F5647-5EF8-4170-B4BE-D159ED796FAC}"/>
    <cellStyle name="Notiz 2 3 23" xfId="35334" xr:uid="{CD0556C1-E2D7-42AA-8801-EC0102106C3A}"/>
    <cellStyle name="Notiz 2 3 24" xfId="40072" xr:uid="{30F2AF30-D4B6-4AF1-A073-4043A9EE33BE}"/>
    <cellStyle name="Notiz 2 3 3" xfId="15925" xr:uid="{CEB555DF-7EE5-4796-A7BE-80A7520CBFA0}"/>
    <cellStyle name="Notiz 2 3 3 2" xfId="15926" xr:uid="{D8984126-A718-429C-8929-54EAAE435A0B}"/>
    <cellStyle name="Notiz 2 3 3 2 2" xfId="35363" xr:uid="{0138C3F4-A1EE-40E5-8C51-A2E20049F06A}"/>
    <cellStyle name="Notiz 2 3 3 3" xfId="35362" xr:uid="{B87DD9EE-7540-493B-A60B-6FD2E7CDAF1E}"/>
    <cellStyle name="Notiz 2 3 3 4" xfId="41838" xr:uid="{2079443F-0085-49DF-AD98-95EEF9376D0A}"/>
    <cellStyle name="Notiz 2 3 4" xfId="15927" xr:uid="{5C60AC16-FB5B-492D-8F61-55DC7B8D2C0C}"/>
    <cellStyle name="Notiz 2 3 4 2" xfId="15928" xr:uid="{EFB3A66A-FD23-41B5-8F0F-79459E7BD55D}"/>
    <cellStyle name="Notiz 2 3 4 2 2" xfId="35365" xr:uid="{B311208F-771B-4AB5-85CE-97E53256E9A5}"/>
    <cellStyle name="Notiz 2 3 4 3" xfId="35364" xr:uid="{92E57798-7A8A-4FA2-B1E6-1076E1F48A74}"/>
    <cellStyle name="Notiz 2 3 5" xfId="15929" xr:uid="{0BE5817B-FE33-4D64-B20B-12E0551D79EB}"/>
    <cellStyle name="Notiz 2 3 5 2" xfId="15930" xr:uid="{04593F13-48D4-4FCC-ADEC-687FE3C602A5}"/>
    <cellStyle name="Notiz 2 3 5 2 2" xfId="35367" xr:uid="{E98CFDF0-0FB2-4F54-8351-C854376DCC47}"/>
    <cellStyle name="Notiz 2 3 5 3" xfId="35366" xr:uid="{9824258B-C3E3-46D0-AE05-160780A4D718}"/>
    <cellStyle name="Notiz 2 3 6" xfId="15931" xr:uid="{5FC19C64-E078-415F-8270-880B7695E3D9}"/>
    <cellStyle name="Notiz 2 3 6 2" xfId="15932" xr:uid="{BBCE5CD7-8873-4152-BF61-F0FE33DB07A6}"/>
    <cellStyle name="Notiz 2 3 6 2 2" xfId="35369" xr:uid="{78F7E284-51B3-4338-95BE-D23907BA2410}"/>
    <cellStyle name="Notiz 2 3 6 3" xfId="35368" xr:uid="{535AB6F0-8BE3-4BA3-80C4-0632C9EDB033}"/>
    <cellStyle name="Notiz 2 3 7" xfId="15933" xr:uid="{D6B410E5-F5C1-44DF-A765-57FEB911B9FF}"/>
    <cellStyle name="Notiz 2 3 7 2" xfId="15934" xr:uid="{93FCD5EB-38D8-4F82-9B31-A77181396365}"/>
    <cellStyle name="Notiz 2 3 7 2 2" xfId="35371" xr:uid="{A9BCB6A5-03AA-43EE-9ACA-1431D4B067CA}"/>
    <cellStyle name="Notiz 2 3 7 3" xfId="35370" xr:uid="{1CDC7241-5F6C-4D3E-8ED8-10BE7CE53AA5}"/>
    <cellStyle name="Notiz 2 3 8" xfId="15935" xr:uid="{C4AFB371-F897-4DFD-A26E-3C0C98B5992E}"/>
    <cellStyle name="Notiz 2 3 8 2" xfId="15936" xr:uid="{450F07CB-613D-419D-923E-D46A5143586B}"/>
    <cellStyle name="Notiz 2 3 8 2 2" xfId="35373" xr:uid="{142A8FD1-14F6-4F38-9211-2F334A159DD5}"/>
    <cellStyle name="Notiz 2 3 8 3" xfId="35372" xr:uid="{182F1F63-2CD8-4AC2-BE31-F03E47216CEF}"/>
    <cellStyle name="Notiz 2 3 9" xfId="15937" xr:uid="{2F2CFC88-7183-4EFA-9071-F7CACF1120D6}"/>
    <cellStyle name="Notiz 2 3 9 2" xfId="15938" xr:uid="{7BC35B51-662C-4997-BD8B-2BFEAB3CC5FC}"/>
    <cellStyle name="Notiz 2 3 9 2 2" xfId="35375" xr:uid="{DB0A479C-BB76-4FF5-BC84-AFA5C02B31F0}"/>
    <cellStyle name="Notiz 2 3 9 3" xfId="35374" xr:uid="{EFC0D97E-BE12-4CBA-A915-DFF929AC5587}"/>
    <cellStyle name="Notiz 2 30" xfId="15939" xr:uid="{F189D3FC-ACA3-4AB7-AE61-BD103C479C3E}"/>
    <cellStyle name="Notiz 2 30 2" xfId="15940" xr:uid="{AC485622-AF52-496F-912A-55E112EC0456}"/>
    <cellStyle name="Notiz 2 30 2 2" xfId="35377" xr:uid="{C24B9992-5DFC-41F1-8C60-19BF539FC690}"/>
    <cellStyle name="Notiz 2 30 3" xfId="35376" xr:uid="{EF344E43-FDFA-4698-83D8-7CA237895B58}"/>
    <cellStyle name="Notiz 2 31" xfId="15941" xr:uid="{664CB089-C5D4-4FC7-9A06-4BB371B30A3F}"/>
    <cellStyle name="Notiz 2 31 2" xfId="15942" xr:uid="{B66162E4-B34A-45AC-9291-6802FE7FB430}"/>
    <cellStyle name="Notiz 2 31 2 2" xfId="35379" xr:uid="{396723D3-67CE-4248-B87F-2F8C46EF7184}"/>
    <cellStyle name="Notiz 2 31 3" xfId="35378" xr:uid="{67A0243A-2D37-487F-8D80-12FAA2BFB09A}"/>
    <cellStyle name="Notiz 2 32" xfId="15943" xr:uid="{A0529F1C-41DE-45D2-9E9F-1B4055FC751A}"/>
    <cellStyle name="Notiz 2 32 2" xfId="15944" xr:uid="{8DEC35AF-1B31-44EE-AC6B-D61466BD3E9F}"/>
    <cellStyle name="Notiz 2 32 2 2" xfId="35381" xr:uid="{4B3E026A-C668-4D75-9253-769C0BBDEC5C}"/>
    <cellStyle name="Notiz 2 32 3" xfId="35380" xr:uid="{1BAE83E4-0AA5-425E-8F4A-71B085E3A40D}"/>
    <cellStyle name="Notiz 2 33" xfId="15945" xr:uid="{EBABEF07-761D-4EFD-BC71-1C9D7D48217B}"/>
    <cellStyle name="Notiz 2 33 2" xfId="15946" xr:uid="{BC3CEC6E-E547-4F5E-BACC-8DCBEB9B5DFF}"/>
    <cellStyle name="Notiz 2 33 2 2" xfId="35383" xr:uid="{17EBF939-8410-4230-8486-29280CBC628A}"/>
    <cellStyle name="Notiz 2 33 3" xfId="35382" xr:uid="{CAFB7786-FAD5-42DF-A74C-150C3A570DF5}"/>
    <cellStyle name="Notiz 2 34" xfId="15947" xr:uid="{4B146338-38E9-49A2-B71C-D321FC21B8FB}"/>
    <cellStyle name="Notiz 2 34 2" xfId="15948" xr:uid="{9D7C6D61-24B8-4F47-B442-0499F6022302}"/>
    <cellStyle name="Notiz 2 34 2 2" xfId="35385" xr:uid="{810658BD-B31D-4BB1-BE0A-A09380E23FBC}"/>
    <cellStyle name="Notiz 2 34 3" xfId="35384" xr:uid="{07943EC8-F525-457C-80AB-B6845CE1170D}"/>
    <cellStyle name="Notiz 2 35" xfId="15949" xr:uid="{BB793E17-E470-4FB7-9264-614C8A496D97}"/>
    <cellStyle name="Notiz 2 35 2" xfId="15950" xr:uid="{C4957676-8443-4D24-B489-193DE07EEA75}"/>
    <cellStyle name="Notiz 2 35 2 2" xfId="35387" xr:uid="{6B32A62D-8212-470C-9238-CC728BDE7BA9}"/>
    <cellStyle name="Notiz 2 35 3" xfId="35386" xr:uid="{ED4D704B-9533-4EF5-99AD-FFE2C21451EC}"/>
    <cellStyle name="Notiz 2 36" xfId="15951" xr:uid="{0C5E64A3-272A-4567-901D-3855FDAB6977}"/>
    <cellStyle name="Notiz 2 36 2" xfId="15952" xr:uid="{1F89BB9E-D9D5-4E85-B780-14F7C6803762}"/>
    <cellStyle name="Notiz 2 36 2 2" xfId="35389" xr:uid="{5D6CF1EC-3381-449E-A846-DBE444288ED5}"/>
    <cellStyle name="Notiz 2 36 3" xfId="35388" xr:uid="{D6061AAA-923E-44F0-8FE8-28040481ED90}"/>
    <cellStyle name="Notiz 2 37" xfId="15953" xr:uid="{E9A1FA6D-746F-4F8A-8683-44126764F7CA}"/>
    <cellStyle name="Notiz 2 37 2" xfId="15954" xr:uid="{91BBC29A-899D-480A-BE33-E8A05080DDC8}"/>
    <cellStyle name="Notiz 2 37 2 2" xfId="35391" xr:uid="{1BD6A430-11C8-4EBF-AB40-5291D475BE59}"/>
    <cellStyle name="Notiz 2 37 3" xfId="35390" xr:uid="{A4BBAB1F-39BA-4BEE-94E1-7581771A58F0}"/>
    <cellStyle name="Notiz 2 38" xfId="15955" xr:uid="{B30DB8CE-F665-40AD-A983-67002E887C47}"/>
    <cellStyle name="Notiz 2 38 2" xfId="15956" xr:uid="{E18DE2D3-C5D2-423C-84AF-0A8DB65A78E5}"/>
    <cellStyle name="Notiz 2 38 2 2" xfId="35393" xr:uid="{D2D51DAD-54E1-49FC-88A2-DEBC2D2FA50A}"/>
    <cellStyle name="Notiz 2 38 3" xfId="35392" xr:uid="{DB5E466A-2001-4915-9F07-A4AB03843708}"/>
    <cellStyle name="Notiz 2 39" xfId="15957" xr:uid="{FAC47038-DD40-490C-B4AD-6B695F69AF83}"/>
    <cellStyle name="Notiz 2 39 2" xfId="15958" xr:uid="{26F71A41-FA64-4F53-A91A-31605702A6F4}"/>
    <cellStyle name="Notiz 2 39 2 2" xfId="35395" xr:uid="{AED449CC-480F-420E-B7A8-1DA7F4CC1916}"/>
    <cellStyle name="Notiz 2 39 3" xfId="35394" xr:uid="{E680FAD8-0625-449B-99F2-28C79DA4513A}"/>
    <cellStyle name="Notiz 2 4" xfId="15959" xr:uid="{61B7202E-62B9-433C-B501-CC459C730CCF}"/>
    <cellStyle name="Notiz 2 4 2" xfId="15960" xr:uid="{BE6905C4-C7F8-4197-9F70-C898AC5562E4}"/>
    <cellStyle name="Notiz 2 4 2 2" xfId="15961" xr:uid="{9D4948BD-BC5A-45C8-A792-F04676EC2BCF}"/>
    <cellStyle name="Notiz 2 4 2 2 2" xfId="15962" xr:uid="{B83F3B2E-4CDC-47DB-A72A-6C585911B528}"/>
    <cellStyle name="Notiz 2 4 2 2 2 2" xfId="35399" xr:uid="{31142701-DFC1-45A8-9FFA-34DFE241FDF2}"/>
    <cellStyle name="Notiz 2 4 2 2 3" xfId="35398" xr:uid="{F208AC88-48EF-40F4-86AB-4C43E1167011}"/>
    <cellStyle name="Notiz 2 4 2 3" xfId="15963" xr:uid="{53F90FF7-2076-4494-A149-8A4CB7DC2EEC}"/>
    <cellStyle name="Notiz 2 4 2 3 2" xfId="35400" xr:uid="{3C562289-F732-4F50-8AFB-488BAB26E14F}"/>
    <cellStyle name="Notiz 2 4 2 4" xfId="35397" xr:uid="{447A4501-0D0F-4DE7-83E5-754CB13B799F}"/>
    <cellStyle name="Notiz 2 4 3" xfId="15964" xr:uid="{474DB2B8-C787-44A5-8542-9D3FC868212D}"/>
    <cellStyle name="Notiz 2 4 3 2" xfId="15965" xr:uid="{76F8DDBD-0D9D-461E-BEC6-FD280DA654FE}"/>
    <cellStyle name="Notiz 2 4 3 2 2" xfId="35402" xr:uid="{62625D0A-3DA0-4C44-BCB7-0F0185AB57A9}"/>
    <cellStyle name="Notiz 2 4 3 3" xfId="35401" xr:uid="{265B56A8-B0F8-4419-B970-A03DEFC6D7F1}"/>
    <cellStyle name="Notiz 2 4 4" xfId="15966" xr:uid="{4EE1321B-7F86-4254-8F8F-793F84527F71}"/>
    <cellStyle name="Notiz 2 4 4 2" xfId="15967" xr:uid="{1294C0A6-BA8E-4DE0-BCEF-653A04F213C5}"/>
    <cellStyle name="Notiz 2 4 4 2 2" xfId="35404" xr:uid="{E90D6F0E-15CD-479E-8637-26343B835496}"/>
    <cellStyle name="Notiz 2 4 4 3" xfId="35403" xr:uid="{4CE07D8B-897B-49E7-9119-E7CCDEB9954E}"/>
    <cellStyle name="Notiz 2 4 5" xfId="15968" xr:uid="{98C08E58-468B-40AD-A1A2-2963C04BEBE1}"/>
    <cellStyle name="Notiz 2 4 5 2" xfId="35405" xr:uid="{DF125719-9B26-4C9F-B304-D49DAF5F2CEA}"/>
    <cellStyle name="Notiz 2 4 6" xfId="35396" xr:uid="{F4BDA542-4DFA-4A4E-AF21-568BF7DEE5EB}"/>
    <cellStyle name="Notiz 2 4 7" xfId="40537" xr:uid="{2F4C5896-35CD-48E2-8041-C192B0AC0883}"/>
    <cellStyle name="Notiz 2 40" xfId="15969" xr:uid="{72A851DD-AE65-4BA4-8B5E-ED6D604BA807}"/>
    <cellStyle name="Notiz 2 40 2" xfId="15970" xr:uid="{A9296A75-BD36-4610-BA1B-4C032B625CDF}"/>
    <cellStyle name="Notiz 2 40 2 2" xfId="35407" xr:uid="{D4291DD1-BA94-45D1-BE39-635D7BB50427}"/>
    <cellStyle name="Notiz 2 40 3" xfId="35406" xr:uid="{AE88CB8C-462C-4126-BA5D-8AF83F706CDB}"/>
    <cellStyle name="Notiz 2 41" xfId="15971" xr:uid="{676119DA-EDC8-4F92-B019-92DF3A0C9251}"/>
    <cellStyle name="Notiz 2 41 2" xfId="15972" xr:uid="{F94B2DE1-BEE1-40AB-9696-60FC52C37F2A}"/>
    <cellStyle name="Notiz 2 41 2 2" xfId="35409" xr:uid="{83A0C4CC-E37B-448F-BC2A-1BDAC2418403}"/>
    <cellStyle name="Notiz 2 41 3" xfId="35408" xr:uid="{DAC6E455-85A9-4A04-B2C6-D583C8C6EE7D}"/>
    <cellStyle name="Notiz 2 42" xfId="15973" xr:uid="{377AF77B-543B-492F-B8C0-505E960F5929}"/>
    <cellStyle name="Notiz 2 42 2" xfId="15974" xr:uid="{3BDCF452-3488-4B50-9524-5BF64B56575B}"/>
    <cellStyle name="Notiz 2 42 2 2" xfId="35411" xr:uid="{D2DE498E-8762-4F7A-8567-97087B4FDC1E}"/>
    <cellStyle name="Notiz 2 42 3" xfId="35410" xr:uid="{8484B999-F44D-4938-B599-77824614B4D9}"/>
    <cellStyle name="Notiz 2 43" xfId="15975" xr:uid="{E58329B6-8809-48F7-BF78-289D3D98DB2A}"/>
    <cellStyle name="Notiz 2 43 2" xfId="15976" xr:uid="{E5067F1F-9D5C-472E-AA62-86BEA889B14A}"/>
    <cellStyle name="Notiz 2 43 2 2" xfId="35413" xr:uid="{9B729F2B-58D6-4C00-87EE-C74944DB1771}"/>
    <cellStyle name="Notiz 2 43 3" xfId="35412" xr:uid="{87B3B653-1783-41CE-8FF6-8A6E4DED5815}"/>
    <cellStyle name="Notiz 2 44" xfId="15977" xr:uid="{70AFD3E5-E088-49C0-BABA-68C9AF10BC87}"/>
    <cellStyle name="Notiz 2 44 2" xfId="15978" xr:uid="{98DA3273-A770-4EB7-85A9-A3E3E8E604AC}"/>
    <cellStyle name="Notiz 2 44 2 2" xfId="35415" xr:uid="{3E9F7876-04E3-40E5-926F-FA7BEBA52F38}"/>
    <cellStyle name="Notiz 2 44 3" xfId="35414" xr:uid="{6CACD584-3E87-40B5-BDB7-00C7A7AA5557}"/>
    <cellStyle name="Notiz 2 45" xfId="15979" xr:uid="{1CBCA200-28B5-4B78-9EAC-99B74783E985}"/>
    <cellStyle name="Notiz 2 45 2" xfId="15980" xr:uid="{9F14F83C-15B8-433B-87A6-39A8B3F2F4A2}"/>
    <cellStyle name="Notiz 2 45 2 2" xfId="35417" xr:uid="{667D3086-0BB5-40CE-816A-7A214CD1E258}"/>
    <cellStyle name="Notiz 2 45 3" xfId="35416" xr:uid="{3F88D75F-3AD1-49F0-843B-061ECA988208}"/>
    <cellStyle name="Notiz 2 46" xfId="15981" xr:uid="{F14E27C2-E173-4305-9C5A-F310DBFAEC6B}"/>
    <cellStyle name="Notiz 2 46 2" xfId="15982" xr:uid="{D50B2A85-8D7A-4EF9-B6B7-FE31056D56D3}"/>
    <cellStyle name="Notiz 2 46 2 2" xfId="35419" xr:uid="{85D2F1B9-BF8A-41C1-986F-D9AA86471866}"/>
    <cellStyle name="Notiz 2 46 3" xfId="35418" xr:uid="{EC2EC3E7-0B95-44B2-AD2A-AAF2A2D80873}"/>
    <cellStyle name="Notiz 2 47" xfId="15983" xr:uid="{5AA3D63A-70AC-4472-BCC7-06531653BEF2}"/>
    <cellStyle name="Notiz 2 47 2" xfId="15984" xr:uid="{F43655A3-CE59-4D94-B05A-A7ED2EF07B61}"/>
    <cellStyle name="Notiz 2 47 2 2" xfId="35421" xr:uid="{2FE7C22B-7729-4D26-89EF-96555352774C}"/>
    <cellStyle name="Notiz 2 47 3" xfId="35420" xr:uid="{FDE1D932-A5D6-4E3D-8B76-AACF700D7D22}"/>
    <cellStyle name="Notiz 2 48" xfId="15985" xr:uid="{A4FBD427-08D7-4F47-9FCB-9B21728AB2B2}"/>
    <cellStyle name="Notiz 2 48 2" xfId="15986" xr:uid="{8D5CB877-D6CF-4558-BDFF-3D51851FE291}"/>
    <cellStyle name="Notiz 2 48 2 2" xfId="35423" xr:uid="{CAD60744-1B3E-4276-A8BB-F1D3C3AA758F}"/>
    <cellStyle name="Notiz 2 48 3" xfId="35422" xr:uid="{E5D0B71B-04C0-40BD-8957-BFA296B14071}"/>
    <cellStyle name="Notiz 2 49" xfId="15987" xr:uid="{16BF9F14-582A-46AF-8955-F5E7EAE34E3E}"/>
    <cellStyle name="Notiz 2 49 2" xfId="15988" xr:uid="{A5D13E7C-59A9-49BD-A029-38B1A7BE11A1}"/>
    <cellStyle name="Notiz 2 49 2 2" xfId="35425" xr:uid="{0818C174-7305-4E5B-A63C-B8D066B920ED}"/>
    <cellStyle name="Notiz 2 49 3" xfId="35424" xr:uid="{FAACB92F-BF3E-43BD-B4A9-E8F7133ADF66}"/>
    <cellStyle name="Notiz 2 5" xfId="15989" xr:uid="{5EBBB6AC-17E9-4B14-A40A-7BD53A14DF78}"/>
    <cellStyle name="Notiz 2 5 2" xfId="15990" xr:uid="{E59FD1F7-4A7E-4599-954A-0B241CC8C1BB}"/>
    <cellStyle name="Notiz 2 5 2 2" xfId="35427" xr:uid="{DD966C3F-95A7-44AB-87DD-7518054EE01D}"/>
    <cellStyle name="Notiz 2 5 3" xfId="35426" xr:uid="{C9049D10-35F6-4DBE-9D65-413C2DF09CB7}"/>
    <cellStyle name="Notiz 2 5 4" xfId="41397" xr:uid="{8E5546B9-CA90-4F94-8D91-9737B6926863}"/>
    <cellStyle name="Notiz 2 50" xfId="15991" xr:uid="{8E9435E2-8920-4979-B52A-EAD5C1DC1607}"/>
    <cellStyle name="Notiz 2 50 2" xfId="15992" xr:uid="{4CD4CED9-3EFF-4BEE-9D84-09FFAA842558}"/>
    <cellStyle name="Notiz 2 50 2 2" xfId="35429" xr:uid="{6ACB23EE-F422-4DCD-B87E-6E2E16AD9837}"/>
    <cellStyle name="Notiz 2 50 3" xfId="35428" xr:uid="{A253C4B4-A4F4-4B6E-B766-BD2CC4C93A9E}"/>
    <cellStyle name="Notiz 2 51" xfId="15993" xr:uid="{32DF8AA8-5DFF-433D-8D35-6BD715CAAC8F}"/>
    <cellStyle name="Notiz 2 51 2" xfId="15994" xr:uid="{AA2F1FD9-B259-4EEE-9393-91E5BBC1F594}"/>
    <cellStyle name="Notiz 2 51 2 2" xfId="35431" xr:uid="{680DE053-B878-4D70-83B5-BD85C39BCA6A}"/>
    <cellStyle name="Notiz 2 51 3" xfId="35430" xr:uid="{D8A5B40D-2255-44A1-BBCB-6818F51D8DC4}"/>
    <cellStyle name="Notiz 2 52" xfId="15995" xr:uid="{26248C08-CF71-494F-9CFF-38E69FD60D4A}"/>
    <cellStyle name="Notiz 2 52 2" xfId="15996" xr:uid="{4261BF93-E2C6-4689-8D75-77C23BCA77D0}"/>
    <cellStyle name="Notiz 2 52 2 2" xfId="35433" xr:uid="{3E1750DD-BDA3-4666-BAAC-1F0A32DDBD27}"/>
    <cellStyle name="Notiz 2 52 3" xfId="35432" xr:uid="{79882DB3-2E5A-4F67-BCD7-31D1118E37DB}"/>
    <cellStyle name="Notiz 2 53" xfId="15997" xr:uid="{7F1B8A33-3BC0-4046-9BB5-1185613B6761}"/>
    <cellStyle name="Notiz 2 53 2" xfId="15998" xr:uid="{2CA07C43-76B5-461A-A406-C2034554FAF4}"/>
    <cellStyle name="Notiz 2 53 2 2" xfId="35435" xr:uid="{903F6AF1-7F61-4461-B316-49AD269F4C97}"/>
    <cellStyle name="Notiz 2 53 3" xfId="35434" xr:uid="{A31641BE-2898-4DD3-BE6E-2F379015094E}"/>
    <cellStyle name="Notiz 2 54" xfId="15999" xr:uid="{595360D1-C48C-4937-B08F-2DF371E44E3B}"/>
    <cellStyle name="Notiz 2 54 2" xfId="35436" xr:uid="{55E5175F-4910-4531-BC76-48ED37931904}"/>
    <cellStyle name="Notiz 2 55" xfId="16000" xr:uid="{692B8847-02CA-4741-B8DB-13DCE01B1671}"/>
    <cellStyle name="Notiz 2 55 2" xfId="35437" xr:uid="{91908FF1-5CA9-4000-A7AA-0E9AAB4350D6}"/>
    <cellStyle name="Notiz 2 56" xfId="35214" xr:uid="{C7720466-E5A0-46E5-8ADF-54A7DA453E10}"/>
    <cellStyle name="Notiz 2 57" xfId="39520" xr:uid="{F8D75DBD-1FFB-4B70-9CF1-B242F09BD9A0}"/>
    <cellStyle name="Notiz 2 58" xfId="15777" xr:uid="{4256F0AC-B5DE-4860-BE12-973F5E5EF40C}"/>
    <cellStyle name="Notiz 2 6" xfId="16001" xr:uid="{C8768C88-9992-42D8-AE7C-92FB9C177FFB}"/>
    <cellStyle name="Notiz 2 6 2" xfId="16002" xr:uid="{319083BC-3F2E-4037-A6AE-15C4D97CE0C5}"/>
    <cellStyle name="Notiz 2 6 2 2" xfId="16003" xr:uid="{E11D9043-6D76-4306-B9E3-8B00EA64C3ED}"/>
    <cellStyle name="Notiz 2 6 2 2 2" xfId="35440" xr:uid="{8AEB31D8-75F3-4AC5-AD4E-C5A636757E48}"/>
    <cellStyle name="Notiz 2 6 2 3" xfId="35439" xr:uid="{24133949-AF17-45EB-B5CC-807AAA0740DD}"/>
    <cellStyle name="Notiz 2 6 3" xfId="16004" xr:uid="{F4932CDB-DB14-4676-A645-9205CD2C637D}"/>
    <cellStyle name="Notiz 2 6 3 2" xfId="35441" xr:uid="{C1200194-FD9D-4123-8AC3-7F0923B85147}"/>
    <cellStyle name="Notiz 2 6 4" xfId="35438" xr:uid="{F5E8BA67-C10D-4FA5-B2F5-9FBE50A4945E}"/>
    <cellStyle name="Notiz 2 7" xfId="16005" xr:uid="{90D4A4F6-9FAF-4C1F-9761-0BEEF9E26B81}"/>
    <cellStyle name="Notiz 2 7 2" xfId="16006" xr:uid="{FDC44218-364C-4BC7-99DD-B406AEEF03FE}"/>
    <cellStyle name="Notiz 2 7 2 2" xfId="35443" xr:uid="{01ADA59F-2CAB-45F9-9B22-F1677F786C32}"/>
    <cellStyle name="Notiz 2 7 3" xfId="35442" xr:uid="{4C87BAF4-63DA-4AE7-A576-98533F1775A3}"/>
    <cellStyle name="Notiz 2 8" xfId="16007" xr:uid="{EEAE7CA8-7932-4CF0-BEF4-440C8B03461D}"/>
    <cellStyle name="Notiz 2 8 2" xfId="16008" xr:uid="{A6B85B1B-5BA0-4C54-966C-F56773E42D8A}"/>
    <cellStyle name="Notiz 2 8 2 2" xfId="35445" xr:uid="{B3C035FC-B316-4BBA-BB5A-3B8060772E3F}"/>
    <cellStyle name="Notiz 2 8 3" xfId="16009" xr:uid="{756AF8E1-7470-4136-B422-5BCBAC6C25FB}"/>
    <cellStyle name="Notiz 2 8 3 2" xfId="35446" xr:uid="{9C46200A-08BE-4EB8-908F-EA36FC289F95}"/>
    <cellStyle name="Notiz 2 8 4" xfId="35444" xr:uid="{43EF5B5E-9AD3-4295-BD73-E2D3DF8D6F73}"/>
    <cellStyle name="Notiz 2 9" xfId="16010" xr:uid="{8C6FC9DD-D6E9-4AA1-B8AE-62E8C5EEFBF6}"/>
    <cellStyle name="Notiz 2 9 2" xfId="35447" xr:uid="{5E4480CE-A9D9-4585-A51E-2EBA47ED5650}"/>
    <cellStyle name="Notiz 20" xfId="74" xr:uid="{5AE7E95B-F180-4E16-B07D-986257B7D3FF}"/>
    <cellStyle name="Notiz 20 10" xfId="16012" xr:uid="{8EEEF906-4FDE-4F8D-8B3C-A8C65D309A79}"/>
    <cellStyle name="Notiz 20 10 2" xfId="16013" xr:uid="{2C585DAE-15D5-4053-8C54-062B506FBACF}"/>
    <cellStyle name="Notiz 20 10 2 2" xfId="35450" xr:uid="{61B647D9-1FAF-40F5-A665-814AEF1D1413}"/>
    <cellStyle name="Notiz 20 10 3" xfId="35449" xr:uid="{A1CD4462-C79C-4CB9-82AC-A85B361AFCB9}"/>
    <cellStyle name="Notiz 20 11" xfId="16014" xr:uid="{F57A72D9-B138-4D4E-9EA2-F663765C24E1}"/>
    <cellStyle name="Notiz 20 11 2" xfId="16015" xr:uid="{A4704E85-7D0E-4882-B126-1F3042E2FDB0}"/>
    <cellStyle name="Notiz 20 11 2 2" xfId="35452" xr:uid="{A5C7A347-4CC0-46FF-89A0-39D8401166A6}"/>
    <cellStyle name="Notiz 20 11 3" xfId="35451" xr:uid="{1AA423A8-876A-4226-B265-683F576367A3}"/>
    <cellStyle name="Notiz 20 12" xfId="16016" xr:uid="{FA43EF8A-D4BA-4C65-BA57-A8420118243E}"/>
    <cellStyle name="Notiz 20 12 2" xfId="16017" xr:uid="{19B0A4E5-FB32-4AC6-BD71-651AF73BC7FA}"/>
    <cellStyle name="Notiz 20 12 2 2" xfId="35454" xr:uid="{4AC52833-FB7A-46C4-A74D-63596AA82175}"/>
    <cellStyle name="Notiz 20 12 3" xfId="35453" xr:uid="{79B6F6CC-A3AD-46CB-9964-F0CF84D66671}"/>
    <cellStyle name="Notiz 20 13" xfId="16018" xr:uid="{422B6807-B35B-4F30-B024-24E40E9BC2FF}"/>
    <cellStyle name="Notiz 20 13 2" xfId="16019" xr:uid="{D9C62592-62A8-475A-9173-A05067F213B4}"/>
    <cellStyle name="Notiz 20 13 2 2" xfId="35456" xr:uid="{C94FDC1D-A965-40B8-8A18-BAB328C9B82A}"/>
    <cellStyle name="Notiz 20 13 3" xfId="35455" xr:uid="{72230C81-EE01-4162-AAEE-24D1000E3674}"/>
    <cellStyle name="Notiz 20 14" xfId="16020" xr:uid="{0475FFE1-BF1E-47BB-9804-8C735BBD7E0E}"/>
    <cellStyle name="Notiz 20 14 2" xfId="16021" xr:uid="{AD54B265-192A-4139-AE97-2072E6CAE5F6}"/>
    <cellStyle name="Notiz 20 14 2 2" xfId="35458" xr:uid="{47FE73D5-7F25-4896-BC7F-A1853EFA6B2E}"/>
    <cellStyle name="Notiz 20 14 3" xfId="35457" xr:uid="{6CA3702E-6BCD-4487-BF25-8A4516059F1D}"/>
    <cellStyle name="Notiz 20 15" xfId="16022" xr:uid="{DD96769D-C879-4F31-A7CD-41D160A9BD82}"/>
    <cellStyle name="Notiz 20 15 2" xfId="16023" xr:uid="{12080545-DCA3-4943-93CE-F33C010E0CC4}"/>
    <cellStyle name="Notiz 20 15 2 2" xfId="35460" xr:uid="{B737927C-F72E-4B74-939F-54161A10F7BE}"/>
    <cellStyle name="Notiz 20 15 3" xfId="35459" xr:uid="{39FDAE70-8C2C-420E-B89D-93A885F0CAB6}"/>
    <cellStyle name="Notiz 20 16" xfId="16024" xr:uid="{E81BA07E-76A2-4318-8039-7AC6CEACAB87}"/>
    <cellStyle name="Notiz 20 16 2" xfId="16025" xr:uid="{D1F365CF-0457-4ECF-987E-23ADF77E3085}"/>
    <cellStyle name="Notiz 20 16 2 2" xfId="35462" xr:uid="{F5ED6101-7D9A-4211-B6FD-37BBDFF33B65}"/>
    <cellStyle name="Notiz 20 16 3" xfId="35461" xr:uid="{162E5630-E421-45A2-91E8-9D853B240A98}"/>
    <cellStyle name="Notiz 20 17" xfId="16026" xr:uid="{8FCB0B2E-D92D-4554-800C-663DE4DC4468}"/>
    <cellStyle name="Notiz 20 17 2" xfId="16027" xr:uid="{9C8AB9D9-9AF8-478F-B4C8-7E2016E924DC}"/>
    <cellStyle name="Notiz 20 17 2 2" xfId="35464" xr:uid="{CB7E1564-4753-4C7D-AEC8-BB5976BC1A35}"/>
    <cellStyle name="Notiz 20 17 3" xfId="35463" xr:uid="{7D988567-D697-4D9E-9A62-B7A4B874A05D}"/>
    <cellStyle name="Notiz 20 18" xfId="16028" xr:uid="{15178B0E-E007-4C55-834F-A497CC911C23}"/>
    <cellStyle name="Notiz 20 18 2" xfId="16029" xr:uid="{B70FD4E7-463E-47BB-AFEF-AA6B371463A7}"/>
    <cellStyle name="Notiz 20 18 2 2" xfId="35466" xr:uid="{77D7343E-9E60-4BA2-BB4B-0E1144AAD352}"/>
    <cellStyle name="Notiz 20 18 3" xfId="35465" xr:uid="{4F43D8F5-3B13-4A6C-B4A0-113CD4A96FAC}"/>
    <cellStyle name="Notiz 20 19" xfId="16030" xr:uid="{3DD3A2DC-9E04-4C88-B70B-253EB96504A0}"/>
    <cellStyle name="Notiz 20 19 2" xfId="16031" xr:uid="{30AEA7F5-F3D6-4534-8788-0CE59093B3FA}"/>
    <cellStyle name="Notiz 20 19 2 2" xfId="35468" xr:uid="{1A7B4EA1-EB4C-46AB-87F5-ACE75C2A2389}"/>
    <cellStyle name="Notiz 20 19 3" xfId="35467" xr:uid="{2AC88CA9-A100-47C8-8214-654949FECDB4}"/>
    <cellStyle name="Notiz 20 2" xfId="16032" xr:uid="{32405C05-E36F-4E9C-9284-FF807D400D57}"/>
    <cellStyle name="Notiz 20 2 2" xfId="16033" xr:uid="{2C189589-12DD-43D4-9DC7-3531BA198321}"/>
    <cellStyle name="Notiz 20 2 2 2" xfId="35470" xr:uid="{F89029BF-1E03-4745-8D1F-A3A3CDC94211}"/>
    <cellStyle name="Notiz 20 2 2 2 2" xfId="40982" xr:uid="{9181AE1F-A4DA-438B-810C-2FFCF94AE5BB}"/>
    <cellStyle name="Notiz 20 2 2 3" xfId="41841" xr:uid="{3366BAE5-B6B9-48B8-8C7D-25D4B87AF30F}"/>
    <cellStyle name="Notiz 20 2 2 4" xfId="40075" xr:uid="{27F56CF7-CEEA-495A-B194-E13479E12FAB}"/>
    <cellStyle name="Notiz 20 2 3" xfId="35469" xr:uid="{B32536CF-8C86-4406-97D0-D20089A6FDF0}"/>
    <cellStyle name="Notiz 20 2 3 2" xfId="40540" xr:uid="{4501B00E-9900-4A5A-835F-A59E5A9BF0D0}"/>
    <cellStyle name="Notiz 20 2 4" xfId="41400" xr:uid="{E611CBA4-7CC8-4534-9480-EAE5702CF4A1}"/>
    <cellStyle name="Notiz 20 2 5" xfId="39523" xr:uid="{AF37F621-1DA3-4F66-919B-CD4862C24864}"/>
    <cellStyle name="Notiz 20 20" xfId="16034" xr:uid="{D21523BF-874B-4533-B507-039BDB50395D}"/>
    <cellStyle name="Notiz 20 20 2" xfId="16035" xr:uid="{CDB45D96-56A8-4959-AADD-859D8D935F80}"/>
    <cellStyle name="Notiz 20 20 2 2" xfId="35472" xr:uid="{D432CA8C-478A-4750-8E6A-92470C4DFBF5}"/>
    <cellStyle name="Notiz 20 20 3" xfId="35471" xr:uid="{7A7ADFAE-C473-4F4A-88CC-C09765952D30}"/>
    <cellStyle name="Notiz 20 21" xfId="16036" xr:uid="{C0030669-9055-4727-804D-0B2D7BC88EAA}"/>
    <cellStyle name="Notiz 20 21 2" xfId="16037" xr:uid="{DD294C8D-A49F-46F8-A5D6-4577AD211BA0}"/>
    <cellStyle name="Notiz 20 21 2 2" xfId="35474" xr:uid="{32330086-13C1-4C84-BABE-66429B940974}"/>
    <cellStyle name="Notiz 20 21 3" xfId="35473" xr:uid="{28BD4BAE-8815-47FC-B3EB-FD181C151343}"/>
    <cellStyle name="Notiz 20 22" xfId="16038" xr:uid="{F451D5AA-6652-4F26-9EE3-71CF50AE5C58}"/>
    <cellStyle name="Notiz 20 22 2" xfId="35475" xr:uid="{06C2BBEF-E91C-4573-B39E-A6A8CFC0C127}"/>
    <cellStyle name="Notiz 20 23" xfId="16039" xr:uid="{DF6D8BCF-184A-44E4-BABE-7FA363503E20}"/>
    <cellStyle name="Notiz 20 23 2" xfId="35476" xr:uid="{847465B5-5FA3-45B1-BD44-7EE989C756AF}"/>
    <cellStyle name="Notiz 20 24" xfId="35448" xr:uid="{37A923D1-3978-402B-8C7F-2CA8E0D413B8}"/>
    <cellStyle name="Notiz 20 25" xfId="39522" xr:uid="{87D0634C-8A53-47F2-A241-0CE2178B3339}"/>
    <cellStyle name="Notiz 20 26" xfId="16011" xr:uid="{78D0E200-5AD6-44EA-817D-E70BEA4715C3}"/>
    <cellStyle name="Notiz 20 3" xfId="16040" xr:uid="{3CE28054-2A4E-4579-981B-B68179FD37E9}"/>
    <cellStyle name="Notiz 20 3 2" xfId="16041" xr:uid="{64166B6C-7B1C-4BFB-9A88-2F1C83D796DE}"/>
    <cellStyle name="Notiz 20 3 2 2" xfId="35478" xr:uid="{5FD4B9B8-DD5F-47AB-8E24-A78150FAD4C3}"/>
    <cellStyle name="Notiz 20 3 2 3" xfId="40981" xr:uid="{82A58F01-1A83-4AE2-A256-B87677D28D77}"/>
    <cellStyle name="Notiz 20 3 3" xfId="35477" xr:uid="{64FDBFDA-4DEC-4AD6-AD3E-F193E04956E6}"/>
    <cellStyle name="Notiz 20 3 3 2" xfId="41840" xr:uid="{8337754E-0A1D-489F-A022-25EA5126072F}"/>
    <cellStyle name="Notiz 20 3 4" xfId="40074" xr:uid="{5F378349-7E8A-4B66-A148-B4B7069E81C4}"/>
    <cellStyle name="Notiz 20 4" xfId="16042" xr:uid="{353AA0BD-FD93-4AE4-93F8-869379485A97}"/>
    <cellStyle name="Notiz 20 4 2" xfId="16043" xr:uid="{292C5009-5DD0-44AE-BD77-DF7B388BC159}"/>
    <cellStyle name="Notiz 20 4 2 2" xfId="35480" xr:uid="{A88C49B9-8BC5-499B-8371-89BC4ED05681}"/>
    <cellStyle name="Notiz 20 4 3" xfId="35479" xr:uid="{C9331C7A-821E-4B4D-9638-85A910115EC9}"/>
    <cellStyle name="Notiz 20 4 4" xfId="40539" xr:uid="{004089FB-90F6-4E6C-AAFB-3DF2FE6370B5}"/>
    <cellStyle name="Notiz 20 5" xfId="16044" xr:uid="{50C8AF69-94E2-4F81-8F15-3784C4C7DEF1}"/>
    <cellStyle name="Notiz 20 5 2" xfId="16045" xr:uid="{E620FEEF-6058-4706-A3D4-B5FB3E8062D7}"/>
    <cellStyle name="Notiz 20 5 2 2" xfId="35482" xr:uid="{CB9EFA91-7080-4FAF-82B9-5E7A06278FC9}"/>
    <cellStyle name="Notiz 20 5 3" xfId="35481" xr:uid="{AF376CF3-4E78-44E7-82BD-D29BFDE9DBA0}"/>
    <cellStyle name="Notiz 20 5 4" xfId="41399" xr:uid="{7F3D80C0-E55A-4108-B44B-3ED445534642}"/>
    <cellStyle name="Notiz 20 6" xfId="16046" xr:uid="{96203424-A986-4E4A-9F20-D235A41C163A}"/>
    <cellStyle name="Notiz 20 6 2" xfId="16047" xr:uid="{070D32EE-14F4-466A-8963-F0ECE8BAD4F3}"/>
    <cellStyle name="Notiz 20 6 2 2" xfId="35484" xr:uid="{98FF202A-82D9-471B-9666-3D695650E93C}"/>
    <cellStyle name="Notiz 20 6 3" xfId="35483" xr:uid="{4CB83FE8-280E-4E29-846A-B10D851B6924}"/>
    <cellStyle name="Notiz 20 7" xfId="16048" xr:uid="{F4410F65-8F22-4A41-B6BB-DE3A6B00D579}"/>
    <cellStyle name="Notiz 20 7 2" xfId="16049" xr:uid="{0665EA25-0FCC-4C12-8E56-0137C62DFBF8}"/>
    <cellStyle name="Notiz 20 7 2 2" xfId="35486" xr:uid="{4C5341D0-4B2C-4D4C-A9E7-BC2AD69DE305}"/>
    <cellStyle name="Notiz 20 7 3" xfId="35485" xr:uid="{A0731B67-1154-4D16-9956-BFFC3C8C7FE8}"/>
    <cellStyle name="Notiz 20 8" xfId="16050" xr:uid="{1A964A6E-D717-47C7-9DA6-1193BFCD8F49}"/>
    <cellStyle name="Notiz 20 8 2" xfId="16051" xr:uid="{FC77BB15-2188-4C5C-B460-524268F1ADF8}"/>
    <cellStyle name="Notiz 20 8 2 2" xfId="35488" xr:uid="{2710165F-F549-4B70-9221-FFD0521D53C6}"/>
    <cellStyle name="Notiz 20 8 3" xfId="35487" xr:uid="{8C1E385B-5B0C-4A4C-8417-DB1D2EDE48E3}"/>
    <cellStyle name="Notiz 20 9" xfId="16052" xr:uid="{7CE1F532-7163-4E42-B90C-C6EB0B7C686B}"/>
    <cellStyle name="Notiz 20 9 2" xfId="16053" xr:uid="{83AC7EB7-0ADE-4325-89C6-2879757988E2}"/>
    <cellStyle name="Notiz 20 9 2 2" xfId="35490" xr:uid="{438FB5C8-7816-4C92-84E9-8B248166BB36}"/>
    <cellStyle name="Notiz 20 9 3" xfId="35489" xr:uid="{2B44FCEA-217D-49BC-ACCA-72AC6F1888DE}"/>
    <cellStyle name="Notiz 21" xfId="75" xr:uid="{06FEC575-5B82-4574-8128-B24D5A44C2D9}"/>
    <cellStyle name="Notiz 21 10" xfId="16055" xr:uid="{B8C6AEF5-6BA9-4AF7-B244-515379517711}"/>
    <cellStyle name="Notiz 21 10 2" xfId="16056" xr:uid="{1B8586A0-65A1-4604-8424-D021FA90E487}"/>
    <cellStyle name="Notiz 21 10 2 2" xfId="35493" xr:uid="{4A957492-67EC-4B3E-806D-32B0111FFD2D}"/>
    <cellStyle name="Notiz 21 10 3" xfId="35492" xr:uid="{168AF94E-8CD2-408A-AFD2-D4E6C921A822}"/>
    <cellStyle name="Notiz 21 11" xfId="16057" xr:uid="{7C387E74-B727-4EAA-B7AC-99EEA8CE18B4}"/>
    <cellStyle name="Notiz 21 11 2" xfId="16058" xr:uid="{6BEB695A-F449-4A4C-B1B5-894C837EF16B}"/>
    <cellStyle name="Notiz 21 11 2 2" xfId="35495" xr:uid="{A19FE1FC-0FEE-44C7-9559-F7C66BBCEBF9}"/>
    <cellStyle name="Notiz 21 11 3" xfId="35494" xr:uid="{BD4D8780-32B8-47DD-AE26-EA05D8E65F60}"/>
    <cellStyle name="Notiz 21 12" xfId="16059" xr:uid="{44DD9964-74F6-4242-88DE-D67AD78C7A14}"/>
    <cellStyle name="Notiz 21 12 2" xfId="16060" xr:uid="{0D99D71D-372A-4A2C-AB2E-1ECBFDD83B16}"/>
    <cellStyle name="Notiz 21 12 2 2" xfId="35497" xr:uid="{00073EA3-FACD-4686-9EC8-D41CCB3DC5E3}"/>
    <cellStyle name="Notiz 21 12 3" xfId="35496" xr:uid="{95272819-1148-4A78-A23E-C330D9621BE3}"/>
    <cellStyle name="Notiz 21 13" xfId="16061" xr:uid="{B9D979F9-0D4F-46D6-9B61-A5DB6A861787}"/>
    <cellStyle name="Notiz 21 13 2" xfId="16062" xr:uid="{B9DFDBE9-E7C0-4413-8CC5-62745AF72230}"/>
    <cellStyle name="Notiz 21 13 2 2" xfId="35499" xr:uid="{460FC510-C408-42C9-80C3-5E74B4D829B4}"/>
    <cellStyle name="Notiz 21 13 3" xfId="35498" xr:uid="{8276090D-D4FB-4D45-9486-B4F2037DAD1F}"/>
    <cellStyle name="Notiz 21 14" xfId="16063" xr:uid="{005FC6F8-4B78-41C7-BD25-34238A810C06}"/>
    <cellStyle name="Notiz 21 14 2" xfId="16064" xr:uid="{FC010AF4-8F1C-41F6-AF6E-BC3F561D5D6B}"/>
    <cellStyle name="Notiz 21 14 2 2" xfId="35501" xr:uid="{9A7BF11A-87BE-4A41-AA33-309DA9D98673}"/>
    <cellStyle name="Notiz 21 14 3" xfId="35500" xr:uid="{C447A4D2-F67F-4F28-BDC7-3F002C24D384}"/>
    <cellStyle name="Notiz 21 15" xfId="16065" xr:uid="{72EA77FB-D2F8-472F-B40D-0DA28E3052E3}"/>
    <cellStyle name="Notiz 21 15 2" xfId="16066" xr:uid="{EB7BD282-55F4-4563-95E7-A34BC6C400A8}"/>
    <cellStyle name="Notiz 21 15 2 2" xfId="35503" xr:uid="{EA8226BC-6055-4F87-BEBB-11A4D9123B1B}"/>
    <cellStyle name="Notiz 21 15 3" xfId="35502" xr:uid="{1DB5609F-C5B2-44AB-AD28-7748AAFF4DCF}"/>
    <cellStyle name="Notiz 21 16" xfId="16067" xr:uid="{4A058AEF-7AB9-47BE-95B4-CA91E31A7DBD}"/>
    <cellStyle name="Notiz 21 16 2" xfId="16068" xr:uid="{314850C3-E313-4C20-AD41-3EF28A2C8C84}"/>
    <cellStyle name="Notiz 21 16 2 2" xfId="35505" xr:uid="{D4255A4E-2B2D-4265-A23A-09A0B80649F4}"/>
    <cellStyle name="Notiz 21 16 3" xfId="35504" xr:uid="{848C07AA-87F6-4A3E-9AD6-B12ABF1970C8}"/>
    <cellStyle name="Notiz 21 17" xfId="16069" xr:uid="{87474FF4-7EF2-49A1-A4D9-18FAC00BBD94}"/>
    <cellStyle name="Notiz 21 17 2" xfId="16070" xr:uid="{0A9875DC-ED3C-4970-8759-5C515DE10C2D}"/>
    <cellStyle name="Notiz 21 17 2 2" xfId="35507" xr:uid="{9AFF8F92-2C09-413C-8181-A9DCDC15C6DE}"/>
    <cellStyle name="Notiz 21 17 3" xfId="35506" xr:uid="{A12B8C4B-D684-4764-83DF-BD57B64F36FF}"/>
    <cellStyle name="Notiz 21 18" xfId="16071" xr:uid="{97AA1F25-FA57-4DFF-B954-B81F3CAE2724}"/>
    <cellStyle name="Notiz 21 18 2" xfId="16072" xr:uid="{7D770CF8-FA33-478B-8361-D38B9C01322C}"/>
    <cellStyle name="Notiz 21 18 2 2" xfId="35509" xr:uid="{65852BFB-E067-4C46-8999-8A8A1188A4D4}"/>
    <cellStyle name="Notiz 21 18 3" xfId="35508" xr:uid="{5FA7851A-AAA4-4554-A32E-A0D1EB36D45E}"/>
    <cellStyle name="Notiz 21 19" xfId="16073" xr:uid="{1B75B9F6-8A52-48F3-9AE5-B651B8531611}"/>
    <cellStyle name="Notiz 21 19 2" xfId="16074" xr:uid="{993ABE9C-16C7-4895-8A0A-14D13798893E}"/>
    <cellStyle name="Notiz 21 19 2 2" xfId="35511" xr:uid="{AD7D8229-E301-4097-9FC3-7D8E75806F97}"/>
    <cellStyle name="Notiz 21 19 3" xfId="35510" xr:uid="{83DF3820-8E1A-47E5-BC70-B9AB6C62E1B6}"/>
    <cellStyle name="Notiz 21 2" xfId="16075" xr:uid="{31520478-2AE9-47C0-80AD-F5D688EEFD4A}"/>
    <cellStyle name="Notiz 21 2 2" xfId="16076" xr:uid="{A0225407-2D45-4BDB-9D2F-AEF3AE729610}"/>
    <cellStyle name="Notiz 21 2 2 2" xfId="35513" xr:uid="{C877584A-0704-46B2-A577-9D3890F696B1}"/>
    <cellStyle name="Notiz 21 2 2 2 2" xfId="40984" xr:uid="{5885A176-01C0-41CF-B4ED-9819E065FB9E}"/>
    <cellStyle name="Notiz 21 2 2 3" xfId="41843" xr:uid="{B2A51AFC-CCE2-4DE1-8C77-036E7CE18A98}"/>
    <cellStyle name="Notiz 21 2 2 4" xfId="40077" xr:uid="{2B33AD71-D8F2-47CE-BCFC-49AC4AD7AC2C}"/>
    <cellStyle name="Notiz 21 2 3" xfId="35512" xr:uid="{F80E578C-F8EC-483A-AB46-081030E20626}"/>
    <cellStyle name="Notiz 21 2 3 2" xfId="40542" xr:uid="{6F23EE27-160F-43A5-B7ED-52FF55BD5335}"/>
    <cellStyle name="Notiz 21 2 4" xfId="41402" xr:uid="{1996DC33-D85D-4875-8BF1-5A724E76B58E}"/>
    <cellStyle name="Notiz 21 2 5" xfId="39525" xr:uid="{35A6A81D-DD3C-42E9-96F2-BE59E4EA281F}"/>
    <cellStyle name="Notiz 21 20" xfId="16077" xr:uid="{F58380A3-F65A-4FEA-B879-2E88126C3058}"/>
    <cellStyle name="Notiz 21 20 2" xfId="16078" xr:uid="{6D506D95-4F33-4998-BD44-665A2A8D2974}"/>
    <cellStyle name="Notiz 21 20 2 2" xfId="35515" xr:uid="{51648710-75D1-4421-AFEF-EEC2D98B6900}"/>
    <cellStyle name="Notiz 21 20 3" xfId="35514" xr:uid="{8D628A01-7B9C-461E-A216-E43739B0ADCB}"/>
    <cellStyle name="Notiz 21 21" xfId="16079" xr:uid="{9FA878A3-10CF-4F1A-9F8E-166563B337B5}"/>
    <cellStyle name="Notiz 21 21 2" xfId="16080" xr:uid="{1C12A791-2D81-462E-AEFB-35796C9FF9D8}"/>
    <cellStyle name="Notiz 21 21 2 2" xfId="35517" xr:uid="{94E48358-FFDC-40FB-8465-E46FCD3FC38F}"/>
    <cellStyle name="Notiz 21 21 3" xfId="35516" xr:uid="{3B73B812-CA9B-4E40-B68E-99827C76C1F4}"/>
    <cellStyle name="Notiz 21 22" xfId="16081" xr:uid="{30254C7D-3B40-4F41-A1F9-AC0D2F3080AF}"/>
    <cellStyle name="Notiz 21 22 2" xfId="35518" xr:uid="{2AD6B09A-6C9A-40EB-9A15-B32AFA7AD19F}"/>
    <cellStyle name="Notiz 21 23" xfId="16082" xr:uid="{0E944EA0-B1E4-4FD2-BBA9-09327DA1B358}"/>
    <cellStyle name="Notiz 21 23 2" xfId="35519" xr:uid="{89E16F16-A7DB-477E-BC36-BF325C8BB1DB}"/>
    <cellStyle name="Notiz 21 24" xfId="35491" xr:uid="{EFDFFA9F-9B82-4F9A-A34E-4B1492ECF5B1}"/>
    <cellStyle name="Notiz 21 25" xfId="39524" xr:uid="{058DFE8D-CE87-4BDC-954F-BCDEDD09285B}"/>
    <cellStyle name="Notiz 21 26" xfId="16054" xr:uid="{9ACA75F4-2111-41D7-9A67-CEE6878D49C1}"/>
    <cellStyle name="Notiz 21 3" xfId="16083" xr:uid="{22FA6E7E-6343-42BE-868C-DC6E5270098A}"/>
    <cellStyle name="Notiz 21 3 2" xfId="16084" xr:uid="{0761EA3C-4122-47F9-824A-A85DBD3FB948}"/>
    <cellStyle name="Notiz 21 3 2 2" xfId="35521" xr:uid="{19A37EE9-319C-443B-A0F6-5809E151DAC0}"/>
    <cellStyle name="Notiz 21 3 2 3" xfId="40983" xr:uid="{E837AFE2-306F-4F4D-94C3-3A0ABB6A9F4B}"/>
    <cellStyle name="Notiz 21 3 3" xfId="35520" xr:uid="{F014D545-4E8B-4E5E-9A03-0BBC9388C649}"/>
    <cellStyle name="Notiz 21 3 3 2" xfId="41842" xr:uid="{0A1A9DB2-B5F0-47CF-9138-8BA8C792343A}"/>
    <cellStyle name="Notiz 21 3 4" xfId="40076" xr:uid="{D3F85FAD-1891-49C5-A160-83C0D5FABC31}"/>
    <cellStyle name="Notiz 21 4" xfId="16085" xr:uid="{1ED0FAD3-6C86-4CEA-92E9-8697E1CAA853}"/>
    <cellStyle name="Notiz 21 4 2" xfId="16086" xr:uid="{69BAF570-0211-408A-A24A-B78DAAC8F8BA}"/>
    <cellStyle name="Notiz 21 4 2 2" xfId="35523" xr:uid="{B28986ED-8F22-493D-8447-87BF6C8C79D1}"/>
    <cellStyle name="Notiz 21 4 3" xfId="35522" xr:uid="{AFCBAC63-0567-4FB9-9A82-25C16090E1F2}"/>
    <cellStyle name="Notiz 21 4 4" xfId="40541" xr:uid="{62B9C2B6-0173-4289-AD55-A68B9E99BE0C}"/>
    <cellStyle name="Notiz 21 5" xfId="16087" xr:uid="{D2ACF695-7E23-4530-8F9F-C73BAAB12A07}"/>
    <cellStyle name="Notiz 21 5 2" xfId="16088" xr:uid="{30351E9A-61B1-4B63-A20A-91B92235A9AB}"/>
    <cellStyle name="Notiz 21 5 2 2" xfId="35525" xr:uid="{D60CC877-5477-4524-8E0A-3EE7EBD40309}"/>
    <cellStyle name="Notiz 21 5 3" xfId="35524" xr:uid="{D6CF946E-EFF6-41DC-8E8B-E771836DC221}"/>
    <cellStyle name="Notiz 21 5 4" xfId="41401" xr:uid="{55C2B779-683C-4683-9C96-E729539B1AE1}"/>
    <cellStyle name="Notiz 21 6" xfId="16089" xr:uid="{1662F915-3015-4788-B920-3D5061932A28}"/>
    <cellStyle name="Notiz 21 6 2" xfId="16090" xr:uid="{1E2367BF-46F3-433C-986D-C86E01CCC8B9}"/>
    <cellStyle name="Notiz 21 6 2 2" xfId="35527" xr:uid="{61EE2B19-11D4-474F-B5AA-1E987717D80A}"/>
    <cellStyle name="Notiz 21 6 3" xfId="35526" xr:uid="{519F4233-6DB9-4928-9A65-D2BD2E8C9312}"/>
    <cellStyle name="Notiz 21 7" xfId="16091" xr:uid="{296CF7AF-64B1-436E-8EF2-AE0370F8D241}"/>
    <cellStyle name="Notiz 21 7 2" xfId="16092" xr:uid="{1D4218A0-CADC-4623-8B35-2CE98C412029}"/>
    <cellStyle name="Notiz 21 7 2 2" xfId="35529" xr:uid="{B6E74344-70E5-47C8-8EBF-7A1EBED22343}"/>
    <cellStyle name="Notiz 21 7 3" xfId="35528" xr:uid="{3859FB25-4C4A-475A-BC62-8B18B872924C}"/>
    <cellStyle name="Notiz 21 8" xfId="16093" xr:uid="{6EE47374-8154-40B4-9899-FCFBD403BA6C}"/>
    <cellStyle name="Notiz 21 8 2" xfId="16094" xr:uid="{44801DAD-7693-4538-9784-23745F5D12CF}"/>
    <cellStyle name="Notiz 21 8 2 2" xfId="35531" xr:uid="{9B15264C-7F44-43B2-8446-E1E2E321CA87}"/>
    <cellStyle name="Notiz 21 8 3" xfId="35530" xr:uid="{745CC56E-F715-471B-9F74-58B5B7BBE79B}"/>
    <cellStyle name="Notiz 21 9" xfId="16095" xr:uid="{211969E9-E148-4B28-A543-FC4649B078FF}"/>
    <cellStyle name="Notiz 21 9 2" xfId="16096" xr:uid="{7ECC71AA-B712-4C96-92F5-5AB8F5632D58}"/>
    <cellStyle name="Notiz 21 9 2 2" xfId="35533" xr:uid="{EF2627E6-BEEF-4753-8D30-8A699BBEBC92}"/>
    <cellStyle name="Notiz 21 9 3" xfId="35532" xr:uid="{1F460960-E014-421F-B83F-C8A8938315EF}"/>
    <cellStyle name="Notiz 22" xfId="76" xr:uid="{3AEF5B4C-570C-4CA6-86B5-3C3CA697BC92}"/>
    <cellStyle name="Notiz 22 10" xfId="16098" xr:uid="{6F71EA17-D528-426E-8BD5-4602C2D5DBD0}"/>
    <cellStyle name="Notiz 22 10 2" xfId="16099" xr:uid="{560B3FD1-D4BE-46B3-BE39-9D1DAFF72DD1}"/>
    <cellStyle name="Notiz 22 10 2 2" xfId="35536" xr:uid="{CA6EA8A2-8B86-47B9-8244-4CF5B4446989}"/>
    <cellStyle name="Notiz 22 10 3" xfId="35535" xr:uid="{A920A4B9-BEE1-4F4E-AEF6-1291CE22B21F}"/>
    <cellStyle name="Notiz 22 11" xfId="16100" xr:uid="{6B0A58BC-62ED-42FD-B656-8800B071E9E5}"/>
    <cellStyle name="Notiz 22 11 2" xfId="16101" xr:uid="{E5E51183-2C3D-49D9-8AE8-F7DADF9D35F6}"/>
    <cellStyle name="Notiz 22 11 2 2" xfId="35538" xr:uid="{E2204FD5-F4C7-46B7-9870-0B3619048462}"/>
    <cellStyle name="Notiz 22 11 3" xfId="35537" xr:uid="{6E914B85-9D03-468A-BE66-7F12BEEDEF00}"/>
    <cellStyle name="Notiz 22 12" xfId="16102" xr:uid="{4AA4AFBA-1084-4048-85C1-C43899A45A76}"/>
    <cellStyle name="Notiz 22 12 2" xfId="16103" xr:uid="{218D4A55-3359-443E-830A-42B5E1664F50}"/>
    <cellStyle name="Notiz 22 12 2 2" xfId="35540" xr:uid="{3E1BA103-F11A-4AAA-BDD7-BEC93E711EB0}"/>
    <cellStyle name="Notiz 22 12 3" xfId="35539" xr:uid="{FA2D5EEE-F38F-4EEA-8895-48FC07294772}"/>
    <cellStyle name="Notiz 22 13" xfId="16104" xr:uid="{092ADC88-E5C3-4205-B017-ABD6552C72F8}"/>
    <cellStyle name="Notiz 22 13 2" xfId="16105" xr:uid="{F924F0BD-01A4-462E-9B3F-3A21C8B33806}"/>
    <cellStyle name="Notiz 22 13 2 2" xfId="35542" xr:uid="{D80651C2-ED0B-4C07-9706-91177EFC5722}"/>
    <cellStyle name="Notiz 22 13 3" xfId="35541" xr:uid="{A9B7CC8F-C52E-4AD8-80B6-D28EA2AECD8A}"/>
    <cellStyle name="Notiz 22 14" xfId="16106" xr:uid="{8F7ADD10-2053-4848-802D-C5E4FA440736}"/>
    <cellStyle name="Notiz 22 14 2" xfId="16107" xr:uid="{ED981AA0-856D-40C3-9581-B511082E3B90}"/>
    <cellStyle name="Notiz 22 14 2 2" xfId="35544" xr:uid="{FC1ECD03-D5FE-4247-A3AA-5B0427406CF7}"/>
    <cellStyle name="Notiz 22 14 3" xfId="35543" xr:uid="{F8479886-FEE9-4ECA-B9AE-6138A7DCC832}"/>
    <cellStyle name="Notiz 22 15" xfId="16108" xr:uid="{BAA219F5-00AC-4E42-A6BE-DA55EF34DADE}"/>
    <cellStyle name="Notiz 22 15 2" xfId="16109" xr:uid="{FA5FD3D9-34BB-4CC1-817C-CF0DCF397FD5}"/>
    <cellStyle name="Notiz 22 15 2 2" xfId="35546" xr:uid="{A0A34987-9509-4539-9AE6-84F94920AF8D}"/>
    <cellStyle name="Notiz 22 15 3" xfId="35545" xr:uid="{03751579-3F30-4737-9C76-FD61ED59E2B2}"/>
    <cellStyle name="Notiz 22 16" xfId="16110" xr:uid="{F0D36D22-35B2-4FAB-A132-2D4487003E41}"/>
    <cellStyle name="Notiz 22 16 2" xfId="16111" xr:uid="{8FB6CE17-4F6E-4067-9FFE-A534537F494C}"/>
    <cellStyle name="Notiz 22 16 2 2" xfId="35548" xr:uid="{8C7C4873-0D33-44B6-892B-6D0BE5D1D5B3}"/>
    <cellStyle name="Notiz 22 16 3" xfId="35547" xr:uid="{53A38826-185A-4F00-95DA-3AB74809EAD1}"/>
    <cellStyle name="Notiz 22 17" xfId="16112" xr:uid="{3C415A74-E540-472D-8030-BDCA300C5BBB}"/>
    <cellStyle name="Notiz 22 17 2" xfId="16113" xr:uid="{EA05D8DE-0664-48AC-AD67-92AE3E11E2FC}"/>
    <cellStyle name="Notiz 22 17 2 2" xfId="35550" xr:uid="{5A3E770C-E42B-47C7-9C58-7B12309717E6}"/>
    <cellStyle name="Notiz 22 17 3" xfId="35549" xr:uid="{B3659025-5129-4547-9C53-D813F697905F}"/>
    <cellStyle name="Notiz 22 18" xfId="16114" xr:uid="{3F4D2B14-7493-4637-8FC0-10A7875C1E0E}"/>
    <cellStyle name="Notiz 22 18 2" xfId="16115" xr:uid="{F6B38275-5B34-4F48-875D-8B5AFCFFEF24}"/>
    <cellStyle name="Notiz 22 18 2 2" xfId="35552" xr:uid="{43B55124-8155-44F7-BB03-D36D239155B5}"/>
    <cellStyle name="Notiz 22 18 3" xfId="35551" xr:uid="{16B193EC-EE25-4815-90A4-159C173A9C9A}"/>
    <cellStyle name="Notiz 22 19" xfId="16116" xr:uid="{405ED7BA-1A4D-4352-8DF2-1AD3FDA2AA8A}"/>
    <cellStyle name="Notiz 22 19 2" xfId="16117" xr:uid="{E992913B-07A3-453A-8063-C5C0B77A60A5}"/>
    <cellStyle name="Notiz 22 19 2 2" xfId="35554" xr:uid="{219786FD-AEA3-4783-88FA-89CADB0F8D52}"/>
    <cellStyle name="Notiz 22 19 3" xfId="35553" xr:uid="{5AA46F77-51E4-47A8-8139-9E05039B3885}"/>
    <cellStyle name="Notiz 22 2" xfId="16118" xr:uid="{25FCF232-59AD-4AC7-9FE3-D8349B9BD64E}"/>
    <cellStyle name="Notiz 22 2 2" xfId="16119" xr:uid="{1FB5F78D-F6C1-4512-8F3A-86B4D3033DF7}"/>
    <cellStyle name="Notiz 22 2 2 2" xfId="35556" xr:uid="{888D18B7-AA44-4A00-BEA9-61A61BE5CE5A}"/>
    <cellStyle name="Notiz 22 2 2 2 2" xfId="40986" xr:uid="{0E10D4D7-04A3-44F6-9975-5B18AA189E88}"/>
    <cellStyle name="Notiz 22 2 2 3" xfId="41845" xr:uid="{A4C9733F-21E2-47EA-AB4D-8ECC7A81EC0E}"/>
    <cellStyle name="Notiz 22 2 2 4" xfId="40079" xr:uid="{8B04DDE0-891A-488A-AC4C-2671601941BD}"/>
    <cellStyle name="Notiz 22 2 3" xfId="35555" xr:uid="{CDBDADA5-9852-4622-B85D-5D43335720E8}"/>
    <cellStyle name="Notiz 22 2 3 2" xfId="40544" xr:uid="{22652D82-406A-4AD9-99ED-77987BC863D3}"/>
    <cellStyle name="Notiz 22 2 4" xfId="41404" xr:uid="{B1D76EB6-703C-4626-8031-66295EA024D4}"/>
    <cellStyle name="Notiz 22 2 5" xfId="39527" xr:uid="{949C92C3-616A-42CA-8D33-DDB9B4FE096C}"/>
    <cellStyle name="Notiz 22 20" xfId="16120" xr:uid="{2BE48860-9D80-4534-8DEC-89677314FB0F}"/>
    <cellStyle name="Notiz 22 20 2" xfId="16121" xr:uid="{119ACA9C-9476-4FF9-86C4-CAEA12BF33BB}"/>
    <cellStyle name="Notiz 22 20 2 2" xfId="35558" xr:uid="{20BE9DAD-C32F-43D2-A346-7855FF948E29}"/>
    <cellStyle name="Notiz 22 20 3" xfId="35557" xr:uid="{9D0EF12B-E7A4-467A-A797-E7F490BB618E}"/>
    <cellStyle name="Notiz 22 21" xfId="16122" xr:uid="{26CA4CC2-FBA6-4901-A3B5-ED6A0BC41815}"/>
    <cellStyle name="Notiz 22 21 2" xfId="16123" xr:uid="{90DB5D08-345E-4E03-BF7A-097EF310CA8D}"/>
    <cellStyle name="Notiz 22 21 2 2" xfId="35560" xr:uid="{56CA4D4F-A658-4A27-9F68-EB6870FC52F6}"/>
    <cellStyle name="Notiz 22 21 3" xfId="35559" xr:uid="{85334A39-9603-44F7-9FD7-B2BAA4A8992D}"/>
    <cellStyle name="Notiz 22 22" xfId="16124" xr:uid="{1381EFC1-E065-4E5D-9643-453A55709EE0}"/>
    <cellStyle name="Notiz 22 22 2" xfId="35561" xr:uid="{BE5E2F89-283B-45EA-86F7-83C3700E3094}"/>
    <cellStyle name="Notiz 22 23" xfId="16125" xr:uid="{9EE102DB-0205-4B67-A43E-B709BD6939CC}"/>
    <cellStyle name="Notiz 22 23 2" xfId="35562" xr:uid="{0605CFD5-7E9C-4D6B-8152-C2457710CFC5}"/>
    <cellStyle name="Notiz 22 24" xfId="35534" xr:uid="{030AB770-7137-451E-994F-422035480F9A}"/>
    <cellStyle name="Notiz 22 25" xfId="39526" xr:uid="{FE072FB4-E6BA-471C-9935-124D710DC2B6}"/>
    <cellStyle name="Notiz 22 26" xfId="16097" xr:uid="{FC468EB0-EF97-4E9F-A704-A3722E1ED629}"/>
    <cellStyle name="Notiz 22 3" xfId="16126" xr:uid="{4544B730-3B60-44FB-A12D-457BE404A95B}"/>
    <cellStyle name="Notiz 22 3 2" xfId="16127" xr:uid="{CA7C2500-FCB1-48C5-ADC8-CCBD9F525198}"/>
    <cellStyle name="Notiz 22 3 2 2" xfId="35564" xr:uid="{EB4F10CA-B23F-4599-AB3F-E1CEAF92AA45}"/>
    <cellStyle name="Notiz 22 3 2 3" xfId="40985" xr:uid="{DFD56AB9-1A35-4BAF-BD93-429AE7C469AA}"/>
    <cellStyle name="Notiz 22 3 3" xfId="35563" xr:uid="{EE1D5032-760A-402F-ABE9-33D1F124235C}"/>
    <cellStyle name="Notiz 22 3 3 2" xfId="41844" xr:uid="{FC19E4B5-3CC6-4B7F-8DFB-85B1104403E9}"/>
    <cellStyle name="Notiz 22 3 4" xfId="40078" xr:uid="{9691122D-34FA-4486-B0B2-B35A6FF9F27C}"/>
    <cellStyle name="Notiz 22 4" xfId="16128" xr:uid="{BC66514E-24F3-4C7B-895E-A9CDCD6FBD64}"/>
    <cellStyle name="Notiz 22 4 2" xfId="16129" xr:uid="{73F73290-6E37-4F77-A2AE-FC7DD5FD33A2}"/>
    <cellStyle name="Notiz 22 4 2 2" xfId="35566" xr:uid="{FE74FCD6-1D4C-4DBD-BAFF-AEE6AD8EBBD1}"/>
    <cellStyle name="Notiz 22 4 3" xfId="35565" xr:uid="{1445317F-75D3-4E74-97C7-7A5D138B7317}"/>
    <cellStyle name="Notiz 22 4 4" xfId="40543" xr:uid="{2D95B3B6-9934-4894-A626-E1F0447DD838}"/>
    <cellStyle name="Notiz 22 5" xfId="16130" xr:uid="{CA3817AF-0B39-494E-ACC6-848B0E81C979}"/>
    <cellStyle name="Notiz 22 5 2" xfId="16131" xr:uid="{12B41398-1518-417F-97C2-DB81F908F2B7}"/>
    <cellStyle name="Notiz 22 5 2 2" xfId="35568" xr:uid="{FC3CA1E3-BBD2-4D3E-8C70-60F6ADBF0658}"/>
    <cellStyle name="Notiz 22 5 3" xfId="35567" xr:uid="{13F44349-40CA-4A5A-A643-445E3FCF98D0}"/>
    <cellStyle name="Notiz 22 5 4" xfId="41403" xr:uid="{24C4301E-86EC-49AB-90F3-9852F076E117}"/>
    <cellStyle name="Notiz 22 6" xfId="16132" xr:uid="{6A5E31B3-ACB3-4E4A-B8F6-7B6A0B64ECA6}"/>
    <cellStyle name="Notiz 22 6 2" xfId="16133" xr:uid="{D389AAA1-BEBC-4AEF-AC42-5F40B5C0DEFF}"/>
    <cellStyle name="Notiz 22 6 2 2" xfId="35570" xr:uid="{ACE2BD5D-3B3A-4DCD-8267-E65422F7E679}"/>
    <cellStyle name="Notiz 22 6 3" xfId="35569" xr:uid="{E8C9733F-A3FE-4F69-BA7B-DBF59435EEC5}"/>
    <cellStyle name="Notiz 22 7" xfId="16134" xr:uid="{C48BA33B-B107-42CA-84C5-65BFA170E32A}"/>
    <cellStyle name="Notiz 22 7 2" xfId="16135" xr:uid="{05C72332-6D29-4580-A42A-2FA22A99E4D4}"/>
    <cellStyle name="Notiz 22 7 2 2" xfId="35572" xr:uid="{743BA2B8-A2B7-41D6-AADA-6F3B9B0EC0B7}"/>
    <cellStyle name="Notiz 22 7 3" xfId="35571" xr:uid="{489A4694-8D2C-40BA-A51B-84ADA65022D0}"/>
    <cellStyle name="Notiz 22 8" xfId="16136" xr:uid="{ADDC9899-210C-4FAC-B9B3-078F0C6AFF2B}"/>
    <cellStyle name="Notiz 22 8 2" xfId="16137" xr:uid="{0651E2A8-3618-4E05-A9FD-0ADE0FBA9B57}"/>
    <cellStyle name="Notiz 22 8 2 2" xfId="35574" xr:uid="{860C7DAA-6459-4470-A2EE-05A2E981F20C}"/>
    <cellStyle name="Notiz 22 8 3" xfId="35573" xr:uid="{EE9B83C3-29A2-42E5-B6DF-A80E77BAB75E}"/>
    <cellStyle name="Notiz 22 9" xfId="16138" xr:uid="{8013F9F8-459D-4FC2-9EBE-9FCE5D8D7DCE}"/>
    <cellStyle name="Notiz 22 9 2" xfId="16139" xr:uid="{9A8FF2E7-5961-4A64-B9BD-29FF5587E1E8}"/>
    <cellStyle name="Notiz 22 9 2 2" xfId="35576" xr:uid="{78DB916F-6DB2-4059-9B27-3EC062912838}"/>
    <cellStyle name="Notiz 22 9 3" xfId="35575" xr:uid="{BE00B643-C97D-4483-A5AC-F6F15A71A6B0}"/>
    <cellStyle name="Notiz 23" xfId="77" xr:uid="{62585BB2-84DD-41D9-9BCA-0E2D0DB92BAA}"/>
    <cellStyle name="Notiz 23 10" xfId="16141" xr:uid="{8FEE667D-FC58-4F18-8330-4B4476B91A1B}"/>
    <cellStyle name="Notiz 23 10 2" xfId="16142" xr:uid="{166DA90E-A7D8-4F6E-9FA5-4C3CF649E001}"/>
    <cellStyle name="Notiz 23 10 2 2" xfId="35579" xr:uid="{6FAA86E9-10E5-4DE8-9D5B-7F2A0D61CDC6}"/>
    <cellStyle name="Notiz 23 10 3" xfId="35578" xr:uid="{056D2999-F01F-43EF-98A2-5B476874C7C1}"/>
    <cellStyle name="Notiz 23 11" xfId="16143" xr:uid="{81D5CAAE-C65B-4C49-8990-675139D1B0B6}"/>
    <cellStyle name="Notiz 23 11 2" xfId="16144" xr:uid="{179DC44C-F8F7-4C06-B9D7-5207E0411C65}"/>
    <cellStyle name="Notiz 23 11 2 2" xfId="35581" xr:uid="{6C85D412-9CB4-44CD-BC1E-BFAAE8DBFBC7}"/>
    <cellStyle name="Notiz 23 11 3" xfId="35580" xr:uid="{8B5B0942-1D49-462F-8799-E1A00208182E}"/>
    <cellStyle name="Notiz 23 12" xfId="16145" xr:uid="{1CE9FF64-6A75-4F6D-8187-51E6C8B4177F}"/>
    <cellStyle name="Notiz 23 12 2" xfId="16146" xr:uid="{474578A7-8624-44E2-8123-3E090BE456B7}"/>
    <cellStyle name="Notiz 23 12 2 2" xfId="35583" xr:uid="{980823AB-D514-4530-AFF0-D431C090D823}"/>
    <cellStyle name="Notiz 23 12 3" xfId="35582" xr:uid="{9B120931-268B-457D-9604-01C377A2C71F}"/>
    <cellStyle name="Notiz 23 13" xfId="16147" xr:uid="{70930E10-7DB3-487B-B7B5-90E04A57A3D9}"/>
    <cellStyle name="Notiz 23 13 2" xfId="16148" xr:uid="{A774BB2F-B7DE-4A12-B126-718FE8F98052}"/>
    <cellStyle name="Notiz 23 13 2 2" xfId="35585" xr:uid="{92860B0B-1706-4071-99F3-B558D3CC4090}"/>
    <cellStyle name="Notiz 23 13 3" xfId="35584" xr:uid="{F134881D-05DE-44B7-AA1D-9E7D60DB8190}"/>
    <cellStyle name="Notiz 23 14" xfId="16149" xr:uid="{34A0D9BF-11E7-4ABE-A607-9E2CA8932EFA}"/>
    <cellStyle name="Notiz 23 14 2" xfId="16150" xr:uid="{31880092-FC5A-45BC-8890-E80A74033210}"/>
    <cellStyle name="Notiz 23 14 2 2" xfId="35587" xr:uid="{4D4BD56C-E6F2-4DC1-9C38-C5794AD0556F}"/>
    <cellStyle name="Notiz 23 14 3" xfId="35586" xr:uid="{BF0BD4D8-387C-425F-831F-B1D1D0590AD4}"/>
    <cellStyle name="Notiz 23 15" xfId="16151" xr:uid="{458C893C-032D-4965-9298-4F6ED2D3AA89}"/>
    <cellStyle name="Notiz 23 15 2" xfId="16152" xr:uid="{F0F04983-1629-4D90-B321-309140E3949A}"/>
    <cellStyle name="Notiz 23 15 2 2" xfId="35589" xr:uid="{7DC0997C-F440-4B99-A829-69CDE0857B7A}"/>
    <cellStyle name="Notiz 23 15 3" xfId="35588" xr:uid="{27798D68-E875-483D-92D8-29957589572D}"/>
    <cellStyle name="Notiz 23 16" xfId="16153" xr:uid="{FC1D2714-9B2D-4F4A-AF03-D2EE38475AF8}"/>
    <cellStyle name="Notiz 23 16 2" xfId="16154" xr:uid="{E0200C55-6370-4B15-95B8-87D5D5031F2F}"/>
    <cellStyle name="Notiz 23 16 2 2" xfId="35591" xr:uid="{39435913-A96B-46A0-988D-2393887EFA04}"/>
    <cellStyle name="Notiz 23 16 3" xfId="35590" xr:uid="{FB1B3874-E9C5-4F6E-A114-AE9AD14F709B}"/>
    <cellStyle name="Notiz 23 17" xfId="16155" xr:uid="{08DDAFF5-A5F5-4A84-8D80-1F200EAEAA68}"/>
    <cellStyle name="Notiz 23 17 2" xfId="16156" xr:uid="{0215D801-7B56-4D87-9740-03B67E5FE68D}"/>
    <cellStyle name="Notiz 23 17 2 2" xfId="35593" xr:uid="{13768885-15CA-4B1E-B74C-0650E37729A4}"/>
    <cellStyle name="Notiz 23 17 3" xfId="35592" xr:uid="{7D76B16E-E916-43D2-B6F4-2151757FC7FC}"/>
    <cellStyle name="Notiz 23 18" xfId="16157" xr:uid="{3F41FBE3-B45B-4B8C-8B8C-72278D647CDA}"/>
    <cellStyle name="Notiz 23 18 2" xfId="16158" xr:uid="{895A0023-B955-49A3-AA8A-E08FECC4BF27}"/>
    <cellStyle name="Notiz 23 18 2 2" xfId="35595" xr:uid="{95CF2935-BB0B-4A45-84BE-F623B04C6C58}"/>
    <cellStyle name="Notiz 23 18 3" xfId="35594" xr:uid="{76589593-4C12-4A0A-A9D8-D10AC06EA02A}"/>
    <cellStyle name="Notiz 23 19" xfId="16159" xr:uid="{92D45586-268C-4590-9CA6-F3267D78C1CB}"/>
    <cellStyle name="Notiz 23 19 2" xfId="16160" xr:uid="{5D21A72E-42BB-4F38-89CF-AC476D53115B}"/>
    <cellStyle name="Notiz 23 19 2 2" xfId="35597" xr:uid="{FCAD61CC-0648-43F6-8E65-CCDE3944A0E5}"/>
    <cellStyle name="Notiz 23 19 3" xfId="35596" xr:uid="{FCE8268B-2B79-4713-9479-EB7960EC8A1F}"/>
    <cellStyle name="Notiz 23 2" xfId="16161" xr:uid="{319EDC2D-AA21-46FD-8329-3DCB4112D6B5}"/>
    <cellStyle name="Notiz 23 2 2" xfId="16162" xr:uid="{A879CAD1-07FB-4E23-8C63-11A28164A11A}"/>
    <cellStyle name="Notiz 23 2 2 2" xfId="35599" xr:uid="{76B659D1-D0F2-4F8A-B243-58A922910346}"/>
    <cellStyle name="Notiz 23 2 2 2 2" xfId="40988" xr:uid="{5714EF27-C789-406D-ABE5-B363CB60258D}"/>
    <cellStyle name="Notiz 23 2 2 3" xfId="41847" xr:uid="{C3E28499-651C-4197-9A4D-E59ACFF6B011}"/>
    <cellStyle name="Notiz 23 2 2 4" xfId="40081" xr:uid="{381634BB-0182-44A4-943B-468EE225A773}"/>
    <cellStyle name="Notiz 23 2 3" xfId="35598" xr:uid="{4C75C621-26CC-41D6-83B5-5AB83869186F}"/>
    <cellStyle name="Notiz 23 2 3 2" xfId="40546" xr:uid="{4FFD60EA-0416-40ED-A589-2FD14026298D}"/>
    <cellStyle name="Notiz 23 2 4" xfId="41406" xr:uid="{7A96ED37-A437-44BE-A2FB-6188135B74A5}"/>
    <cellStyle name="Notiz 23 2 5" xfId="39529" xr:uid="{E16E8923-365E-44EB-B7EA-08C877F1BBE9}"/>
    <cellStyle name="Notiz 23 20" xfId="16163" xr:uid="{C66D1992-9948-4269-BF62-4DEF2F15B8DC}"/>
    <cellStyle name="Notiz 23 20 2" xfId="16164" xr:uid="{E0C7DB4F-7D68-46A6-A88B-D9D01630DD38}"/>
    <cellStyle name="Notiz 23 20 2 2" xfId="35601" xr:uid="{C37E4E7B-7C1A-4A86-9E65-271960EDFFC9}"/>
    <cellStyle name="Notiz 23 20 3" xfId="35600" xr:uid="{E074488B-2748-48D8-9B9A-E6C7378DBD8F}"/>
    <cellStyle name="Notiz 23 21" xfId="16165" xr:uid="{0719D40D-D52F-478C-B276-32BD6788BF40}"/>
    <cellStyle name="Notiz 23 21 2" xfId="16166" xr:uid="{75F064BA-BFF4-4D3A-A3B4-3A75D61925C2}"/>
    <cellStyle name="Notiz 23 21 2 2" xfId="35603" xr:uid="{7BBB5174-20A2-4491-AD88-19AB2B2C085C}"/>
    <cellStyle name="Notiz 23 21 3" xfId="35602" xr:uid="{641FAC5A-5047-4962-B51D-DE34218E167F}"/>
    <cellStyle name="Notiz 23 22" xfId="16167" xr:uid="{D72586E3-DA29-4759-B537-D1BE59188985}"/>
    <cellStyle name="Notiz 23 22 2" xfId="35604" xr:uid="{7BCE517D-0DC1-4E24-8AA2-7E573FDD2863}"/>
    <cellStyle name="Notiz 23 23" xfId="16168" xr:uid="{68483DDF-D2B0-4739-B1AD-7D230CD1F289}"/>
    <cellStyle name="Notiz 23 23 2" xfId="35605" xr:uid="{2D62A1B3-888C-467F-BCB3-585334727B55}"/>
    <cellStyle name="Notiz 23 24" xfId="35577" xr:uid="{2724F1C5-B20C-4E20-9154-8501058DF4D3}"/>
    <cellStyle name="Notiz 23 25" xfId="39528" xr:uid="{FE104C32-F476-4E0E-84DB-7000255BCBCA}"/>
    <cellStyle name="Notiz 23 26" xfId="16140" xr:uid="{7DBD2751-453F-4C66-9A31-5D635A960361}"/>
    <cellStyle name="Notiz 23 3" xfId="16169" xr:uid="{359C49D8-7707-4B01-A778-0069A5F5975B}"/>
    <cellStyle name="Notiz 23 3 2" xfId="16170" xr:uid="{7AB1D415-4006-4A12-9CE3-F216172E6B4C}"/>
    <cellStyle name="Notiz 23 3 2 2" xfId="35607" xr:uid="{C12A32CF-25C6-4B07-9249-D8FA6B49A4EE}"/>
    <cellStyle name="Notiz 23 3 2 3" xfId="40987" xr:uid="{E084EB6B-0626-45D8-BEEF-BD40ACDBCDB4}"/>
    <cellStyle name="Notiz 23 3 3" xfId="35606" xr:uid="{CCA74F07-B5E6-4C74-8169-1CD281490D8F}"/>
    <cellStyle name="Notiz 23 3 3 2" xfId="41846" xr:uid="{557DB692-5E60-466A-BA99-44C5F700F02F}"/>
    <cellStyle name="Notiz 23 3 4" xfId="40080" xr:uid="{DD4E826F-0D39-4DAF-9620-24799E08BAA1}"/>
    <cellStyle name="Notiz 23 4" xfId="16171" xr:uid="{63358A84-0035-47A1-B7A2-F47952ECD008}"/>
    <cellStyle name="Notiz 23 4 2" xfId="16172" xr:uid="{D504FC4A-0DAC-4D3A-98F0-559DE8F3244F}"/>
    <cellStyle name="Notiz 23 4 2 2" xfId="35609" xr:uid="{8B771A29-E4E6-4ABF-8963-80A68B7DEB43}"/>
    <cellStyle name="Notiz 23 4 3" xfId="35608" xr:uid="{FE360200-2E04-4208-AAA6-CB779F52011E}"/>
    <cellStyle name="Notiz 23 4 4" xfId="40545" xr:uid="{2557ABB2-7FBA-4387-B678-ED8FEF4D0592}"/>
    <cellStyle name="Notiz 23 5" xfId="16173" xr:uid="{CC592CF6-7F0A-4C46-BC43-D3B28DD36CCE}"/>
    <cellStyle name="Notiz 23 5 2" xfId="16174" xr:uid="{CC654DAA-FADB-4A0B-8A51-7C16FFA86625}"/>
    <cellStyle name="Notiz 23 5 2 2" xfId="35611" xr:uid="{606FA746-B4CE-438D-A3F7-EB7CDFD4D122}"/>
    <cellStyle name="Notiz 23 5 3" xfId="35610" xr:uid="{DDFDC58B-3AE2-49FA-86DC-4905C14F70F3}"/>
    <cellStyle name="Notiz 23 5 4" xfId="41405" xr:uid="{D3F23423-2C5D-4D01-B9DB-1DBE16B0E262}"/>
    <cellStyle name="Notiz 23 6" xfId="16175" xr:uid="{EB20990D-4737-43AE-810B-5660139FF755}"/>
    <cellStyle name="Notiz 23 6 2" xfId="16176" xr:uid="{0270925C-D262-417B-8977-EF0D2E67E3DB}"/>
    <cellStyle name="Notiz 23 6 2 2" xfId="35613" xr:uid="{A06CA915-A177-45DE-BFA0-D372CC6D239C}"/>
    <cellStyle name="Notiz 23 6 3" xfId="35612" xr:uid="{6E28FCC1-7C9A-401F-874A-E16601D28863}"/>
    <cellStyle name="Notiz 23 7" xfId="16177" xr:uid="{404B883F-F3FF-424C-9830-82AB26FD9735}"/>
    <cellStyle name="Notiz 23 7 2" xfId="16178" xr:uid="{C60B48E5-E79B-44F3-B9AC-5671A7E0BE3A}"/>
    <cellStyle name="Notiz 23 7 2 2" xfId="35615" xr:uid="{2FE8008E-EF3D-4A1E-98E1-3881B7847CF8}"/>
    <cellStyle name="Notiz 23 7 3" xfId="35614" xr:uid="{A95F802F-BB9D-4CC7-89AD-BFEA4C2A058F}"/>
    <cellStyle name="Notiz 23 8" xfId="16179" xr:uid="{7688DE7E-ED16-41FB-B488-FA2A1532DA23}"/>
    <cellStyle name="Notiz 23 8 2" xfId="16180" xr:uid="{3A5982D4-3BDB-4884-9AA8-00FBEAB2B3A2}"/>
    <cellStyle name="Notiz 23 8 2 2" xfId="35617" xr:uid="{20DDF0AA-FDB5-4949-B241-8903A4F85D30}"/>
    <cellStyle name="Notiz 23 8 3" xfId="35616" xr:uid="{B5A10390-EF48-456D-B6E4-C04B7087166B}"/>
    <cellStyle name="Notiz 23 9" xfId="16181" xr:uid="{BA39FA2D-BAF6-4617-A7A0-FE7F1779AEB5}"/>
    <cellStyle name="Notiz 23 9 2" xfId="16182" xr:uid="{5476918B-39E9-40C8-AB8F-793B9DED810C}"/>
    <cellStyle name="Notiz 23 9 2 2" xfId="35619" xr:uid="{492326DD-F9D3-4432-86EA-9D71DFDA0FDB}"/>
    <cellStyle name="Notiz 23 9 3" xfId="35618" xr:uid="{C9B80E14-C457-4549-B1A8-15E3A7860C1A}"/>
    <cellStyle name="Notiz 24" xfId="78" xr:uid="{530D84FD-18F5-4713-A357-DC26C7E9A56C}"/>
    <cellStyle name="Notiz 24 10" xfId="16184" xr:uid="{70272B4B-D94B-4082-8668-F36B4B5C57AE}"/>
    <cellStyle name="Notiz 24 10 2" xfId="16185" xr:uid="{AEC5506D-C9CD-48C0-9B66-3ECF84FE8F05}"/>
    <cellStyle name="Notiz 24 10 2 2" xfId="35622" xr:uid="{0B13A266-2447-40BA-9BF5-699505CAE76A}"/>
    <cellStyle name="Notiz 24 10 3" xfId="35621" xr:uid="{D6DC2493-892B-469D-8DC7-D44B639338AB}"/>
    <cellStyle name="Notiz 24 11" xfId="16186" xr:uid="{05556779-54F1-40C0-891C-21F6E5E12C17}"/>
    <cellStyle name="Notiz 24 11 2" xfId="16187" xr:uid="{0DFA47F8-7B57-4C94-8B1A-B65C0493EDAA}"/>
    <cellStyle name="Notiz 24 11 2 2" xfId="35624" xr:uid="{52841509-45C4-48C6-8177-4B58BB2C9277}"/>
    <cellStyle name="Notiz 24 11 3" xfId="35623" xr:uid="{46C38290-0EF7-4976-BF48-B113C40BC905}"/>
    <cellStyle name="Notiz 24 12" xfId="16188" xr:uid="{0CDE8D9A-B83E-4916-AEEB-60F4B7310D9F}"/>
    <cellStyle name="Notiz 24 12 2" xfId="16189" xr:uid="{D05104FA-3449-484F-B3B2-C9DC66C81898}"/>
    <cellStyle name="Notiz 24 12 2 2" xfId="35626" xr:uid="{843B0CE4-5134-4D12-BFFA-0B701C3EDEB1}"/>
    <cellStyle name="Notiz 24 12 3" xfId="35625" xr:uid="{269B24E9-8C9E-46D8-AF7B-CFF2365C7453}"/>
    <cellStyle name="Notiz 24 13" xfId="16190" xr:uid="{7ADE3079-E0FA-47D4-9E6A-D3DF502276CB}"/>
    <cellStyle name="Notiz 24 13 2" xfId="16191" xr:uid="{FC2C42A9-032E-416D-92E3-E468B567F32E}"/>
    <cellStyle name="Notiz 24 13 2 2" xfId="35628" xr:uid="{23910950-AD25-4724-B33B-4C1750098974}"/>
    <cellStyle name="Notiz 24 13 3" xfId="35627" xr:uid="{A964B576-ADB2-4D90-8AB1-AF86A7A04AB0}"/>
    <cellStyle name="Notiz 24 14" xfId="16192" xr:uid="{7A22A029-111E-4E88-82D7-64290FB141C4}"/>
    <cellStyle name="Notiz 24 14 2" xfId="16193" xr:uid="{370D7350-200A-459F-A622-C1FF6699BAC3}"/>
    <cellStyle name="Notiz 24 14 2 2" xfId="35630" xr:uid="{C8645453-5DAE-4929-9986-4857639180E9}"/>
    <cellStyle name="Notiz 24 14 3" xfId="35629" xr:uid="{FFE2A687-6DBC-4B86-AB33-1E275269C380}"/>
    <cellStyle name="Notiz 24 15" xfId="16194" xr:uid="{97AE890C-801C-4348-BECF-A76ADD5900A2}"/>
    <cellStyle name="Notiz 24 15 2" xfId="16195" xr:uid="{817C5187-044D-468B-8196-DFF40A23B343}"/>
    <cellStyle name="Notiz 24 15 2 2" xfId="35632" xr:uid="{B112B91A-3A21-4C69-97E7-E5B9F651DBD7}"/>
    <cellStyle name="Notiz 24 15 3" xfId="35631" xr:uid="{CAFF0A64-A185-4C08-B74F-B303C48AEF9B}"/>
    <cellStyle name="Notiz 24 16" xfId="16196" xr:uid="{F0D62E04-3938-4375-AC8B-052561BE5AE4}"/>
    <cellStyle name="Notiz 24 16 2" xfId="16197" xr:uid="{EB53EF41-9B0E-4EC7-A91C-0C6CA95D4232}"/>
    <cellStyle name="Notiz 24 16 2 2" xfId="35634" xr:uid="{64021E22-ABF6-4608-873F-86EBA607511E}"/>
    <cellStyle name="Notiz 24 16 3" xfId="35633" xr:uid="{CA5C7F42-BA35-432B-A4FB-BC72991F31EE}"/>
    <cellStyle name="Notiz 24 17" xfId="16198" xr:uid="{2E21783A-204D-465D-B2E7-2CA615D13CBA}"/>
    <cellStyle name="Notiz 24 17 2" xfId="16199" xr:uid="{0DCC3EAB-CB35-46D2-854F-18A5E9401E7E}"/>
    <cellStyle name="Notiz 24 17 2 2" xfId="35636" xr:uid="{D06CBEE9-A61D-424A-88E4-2F45B6F92955}"/>
    <cellStyle name="Notiz 24 17 3" xfId="35635" xr:uid="{3E9CFB9F-A0E4-48A4-A6AB-FB127AD6D5EC}"/>
    <cellStyle name="Notiz 24 18" xfId="16200" xr:uid="{1AF03858-A7B7-435C-AAB5-E25967FD4D77}"/>
    <cellStyle name="Notiz 24 18 2" xfId="16201" xr:uid="{DE188C60-3A8A-485B-ACA9-3AB2CCF47A80}"/>
    <cellStyle name="Notiz 24 18 2 2" xfId="35638" xr:uid="{B0A54EC2-1616-4D20-B6E7-95C9DE053703}"/>
    <cellStyle name="Notiz 24 18 3" xfId="35637" xr:uid="{E516B560-B991-4032-A485-02552B573CD4}"/>
    <cellStyle name="Notiz 24 19" xfId="16202" xr:uid="{51FCE2C7-AF11-452F-90A3-7C67D499B679}"/>
    <cellStyle name="Notiz 24 19 2" xfId="16203" xr:uid="{146C1AC2-7143-4D2A-93DF-007E52BEBF01}"/>
    <cellStyle name="Notiz 24 19 2 2" xfId="35640" xr:uid="{04FA4B8A-E2F9-470A-A239-C2F0E66A50BF}"/>
    <cellStyle name="Notiz 24 19 3" xfId="35639" xr:uid="{3884705B-CC8A-4366-9359-B662FE48F0EE}"/>
    <cellStyle name="Notiz 24 2" xfId="16204" xr:uid="{7E556D20-497C-4FFC-B99B-83676BB1A92D}"/>
    <cellStyle name="Notiz 24 2 2" xfId="16205" xr:uid="{4E030CE5-C750-4ED0-AE74-5E5F7D37CFBF}"/>
    <cellStyle name="Notiz 24 2 2 2" xfId="35642" xr:uid="{24D265E1-2D22-4EF7-A3C6-AAD39C2BEA7A}"/>
    <cellStyle name="Notiz 24 2 2 2 2" xfId="40990" xr:uid="{839DBF49-0ADD-421F-9972-AC056C5C346C}"/>
    <cellStyle name="Notiz 24 2 2 3" xfId="41849" xr:uid="{0810DD4A-DA67-4DBC-B508-220196379223}"/>
    <cellStyle name="Notiz 24 2 2 4" xfId="40083" xr:uid="{FA6B77E0-75D3-4445-807B-76033BE105BF}"/>
    <cellStyle name="Notiz 24 2 3" xfId="35641" xr:uid="{4877A598-27E2-4BFA-B65F-4DF114A17D70}"/>
    <cellStyle name="Notiz 24 2 3 2" xfId="40548" xr:uid="{35B86F46-9063-421A-88D7-6EE21E000747}"/>
    <cellStyle name="Notiz 24 2 4" xfId="41408" xr:uid="{DD03C602-259A-48D1-99C4-165FEC46A2CA}"/>
    <cellStyle name="Notiz 24 2 5" xfId="39531" xr:uid="{332490C5-C902-4636-809C-5452CC3CE19C}"/>
    <cellStyle name="Notiz 24 20" xfId="16206" xr:uid="{DAB4A8CD-9267-4615-8CA9-DA9BDE5C9673}"/>
    <cellStyle name="Notiz 24 20 2" xfId="16207" xr:uid="{212D9019-41A3-4C96-A298-5533E0F2B064}"/>
    <cellStyle name="Notiz 24 20 2 2" xfId="35644" xr:uid="{D34284FE-DC75-4F22-BE24-D46EA8FA85AF}"/>
    <cellStyle name="Notiz 24 20 3" xfId="35643" xr:uid="{81A03F52-5273-43D6-A156-D151023DEF52}"/>
    <cellStyle name="Notiz 24 21" xfId="16208" xr:uid="{F39F1696-C1DF-45EF-9171-C80140749BEF}"/>
    <cellStyle name="Notiz 24 21 2" xfId="16209" xr:uid="{41667041-3469-4F60-A0A9-8861098FFE81}"/>
    <cellStyle name="Notiz 24 21 2 2" xfId="35646" xr:uid="{081C1C9F-432A-47EA-9501-9E0F7F6573D8}"/>
    <cellStyle name="Notiz 24 21 3" xfId="35645" xr:uid="{CC73913E-EE09-481F-A1A3-BDB61EA8FE9C}"/>
    <cellStyle name="Notiz 24 22" xfId="16210" xr:uid="{D9A5001F-C3DB-4875-AAB6-0202BBFF1E10}"/>
    <cellStyle name="Notiz 24 22 2" xfId="35647" xr:uid="{BC0F572F-A5F8-4DF7-B4FA-8EBD3810310A}"/>
    <cellStyle name="Notiz 24 23" xfId="16211" xr:uid="{F7F70B81-F568-42F4-9D4E-52B428F05B8D}"/>
    <cellStyle name="Notiz 24 23 2" xfId="35648" xr:uid="{C17EEDF2-551B-4EE5-B8E2-C9C0FEE099E9}"/>
    <cellStyle name="Notiz 24 24" xfId="35620" xr:uid="{771CB98C-9A6A-4FDA-8AF3-223E99D10CE3}"/>
    <cellStyle name="Notiz 24 25" xfId="39530" xr:uid="{CA4F003A-F450-4FCC-83ED-A2BC22B046C4}"/>
    <cellStyle name="Notiz 24 26" xfId="16183" xr:uid="{515B5350-3B21-4747-9F2F-9E502AF01578}"/>
    <cellStyle name="Notiz 24 3" xfId="16212" xr:uid="{69F6C3EB-E134-4F60-B5D5-DB4B3285C6DA}"/>
    <cellStyle name="Notiz 24 3 2" xfId="16213" xr:uid="{6EA43642-0BFA-4B37-A30E-92860E6EBD34}"/>
    <cellStyle name="Notiz 24 3 2 2" xfId="35650" xr:uid="{00DCD895-6658-40EC-8924-598AE776EFE1}"/>
    <cellStyle name="Notiz 24 3 2 3" xfId="40989" xr:uid="{E22F20B2-897D-48A2-A5F4-9768B129ADA0}"/>
    <cellStyle name="Notiz 24 3 3" xfId="35649" xr:uid="{261802B4-5D6E-4CEB-81BA-4AD0A5C82642}"/>
    <cellStyle name="Notiz 24 3 3 2" xfId="41848" xr:uid="{A993B879-5090-4746-B2DC-B049B0ABE2B8}"/>
    <cellStyle name="Notiz 24 3 4" xfId="40082" xr:uid="{835731EC-F6A7-4BD2-BC83-C55BA22DAEB4}"/>
    <cellStyle name="Notiz 24 4" xfId="16214" xr:uid="{A248F527-C148-48EE-A90A-175410BA3444}"/>
    <cellStyle name="Notiz 24 4 2" xfId="16215" xr:uid="{3AC870CC-0DCE-4A06-8E40-67C814BD94FC}"/>
    <cellStyle name="Notiz 24 4 2 2" xfId="35652" xr:uid="{3D84BAA1-2360-45DE-A5EE-BA8A99ECCCFF}"/>
    <cellStyle name="Notiz 24 4 3" xfId="35651" xr:uid="{EEEE831A-8622-4FCF-ACD4-954363DFD14F}"/>
    <cellStyle name="Notiz 24 4 4" xfId="40547" xr:uid="{BE3AD707-0554-44DA-8D86-86073F5F6F28}"/>
    <cellStyle name="Notiz 24 5" xfId="16216" xr:uid="{BF5A5239-8AB7-4EC2-B2C9-6889E2B5453F}"/>
    <cellStyle name="Notiz 24 5 2" xfId="16217" xr:uid="{D9FE665D-40C4-4E06-A51C-F32852BA0CCA}"/>
    <cellStyle name="Notiz 24 5 2 2" xfId="35654" xr:uid="{48D19019-FF6B-4464-AE0D-65450DA296FB}"/>
    <cellStyle name="Notiz 24 5 3" xfId="35653" xr:uid="{79C86AD8-DC8D-4A93-84E0-DAAA6D160DAA}"/>
    <cellStyle name="Notiz 24 5 4" xfId="41407" xr:uid="{12F1F32F-50B5-40CD-BBD7-F93E00DEBA00}"/>
    <cellStyle name="Notiz 24 6" xfId="16218" xr:uid="{0E429673-5998-472B-9C9E-DF07DE64919F}"/>
    <cellStyle name="Notiz 24 6 2" xfId="16219" xr:uid="{DCE9DAB9-8454-4FDF-946C-1E3FDAAFA674}"/>
    <cellStyle name="Notiz 24 6 2 2" xfId="35656" xr:uid="{0DE06964-6ECB-4C6A-B4FB-176002EA1D1D}"/>
    <cellStyle name="Notiz 24 6 3" xfId="35655" xr:uid="{E7D3D9D6-1AF2-4557-9A36-78ACC369C626}"/>
    <cellStyle name="Notiz 24 7" xfId="16220" xr:uid="{56BD1DE2-B62E-4E99-A48B-4D6FF8465C7F}"/>
    <cellStyle name="Notiz 24 7 2" xfId="16221" xr:uid="{EDE99548-1448-4CEE-9764-369767DC971D}"/>
    <cellStyle name="Notiz 24 7 2 2" xfId="35658" xr:uid="{8BECAD9C-2C36-45BB-87ED-5E26BC37B078}"/>
    <cellStyle name="Notiz 24 7 3" xfId="35657" xr:uid="{F2B9FC3A-BC54-4D3C-9B7B-D92143692C5F}"/>
    <cellStyle name="Notiz 24 8" xfId="16222" xr:uid="{0574C0E6-BC6F-4E0E-A29B-35ABFAA31886}"/>
    <cellStyle name="Notiz 24 8 2" xfId="16223" xr:uid="{FC1DCC3E-BD6A-4B51-A78F-72395722548D}"/>
    <cellStyle name="Notiz 24 8 2 2" xfId="35660" xr:uid="{B52DC104-1CEB-4028-93DA-650BC5218463}"/>
    <cellStyle name="Notiz 24 8 3" xfId="35659" xr:uid="{B8751D0C-B2AC-4072-9233-90B0BB152155}"/>
    <cellStyle name="Notiz 24 9" xfId="16224" xr:uid="{296190F1-BD85-422D-A0A5-9AB8D4E276FC}"/>
    <cellStyle name="Notiz 24 9 2" xfId="16225" xr:uid="{3A7B5C94-2DDA-469A-B15D-A07ED00114D5}"/>
    <cellStyle name="Notiz 24 9 2 2" xfId="35662" xr:uid="{1E4C496B-E98C-47D4-B7AE-698EF3EAFEF5}"/>
    <cellStyle name="Notiz 24 9 3" xfId="35661" xr:uid="{D692A71F-AB95-4C8F-BA4A-46084801D0F9}"/>
    <cellStyle name="Notiz 25" xfId="79" xr:uid="{A957BFE6-60FF-48B5-91A2-40955A0B86AD}"/>
    <cellStyle name="Notiz 25 10" xfId="16227" xr:uid="{CCD33505-2C9D-45CC-82E7-2298291B069B}"/>
    <cellStyle name="Notiz 25 10 2" xfId="16228" xr:uid="{F2ED0CB9-113A-4FD0-9548-48220F4F9E47}"/>
    <cellStyle name="Notiz 25 10 2 2" xfId="35665" xr:uid="{CE7B4A82-DE35-4557-BEC6-981349979533}"/>
    <cellStyle name="Notiz 25 10 3" xfId="35664" xr:uid="{57220382-3B81-4332-88BB-9CA7DE33E583}"/>
    <cellStyle name="Notiz 25 11" xfId="16229" xr:uid="{312CF17C-0A7F-418F-ADFA-A21C334C732C}"/>
    <cellStyle name="Notiz 25 11 2" xfId="16230" xr:uid="{A98BA806-4EDB-4DE2-823E-899B47F7AFAE}"/>
    <cellStyle name="Notiz 25 11 2 2" xfId="35667" xr:uid="{C316AC6D-EF2E-40B8-B10B-38F2F3D81BC4}"/>
    <cellStyle name="Notiz 25 11 3" xfId="35666" xr:uid="{00E91CD5-E041-4151-BC3B-1BDB7BC883A8}"/>
    <cellStyle name="Notiz 25 12" xfId="16231" xr:uid="{9E5942F2-0160-42A9-8821-7270DBBD6634}"/>
    <cellStyle name="Notiz 25 12 2" xfId="16232" xr:uid="{55BD4512-DF4E-4E7E-AF63-F89620A3A542}"/>
    <cellStyle name="Notiz 25 12 2 2" xfId="35669" xr:uid="{5E2EFD6A-F5F0-406B-893E-CF4F0DECE2CE}"/>
    <cellStyle name="Notiz 25 12 3" xfId="35668" xr:uid="{CD1E3B8B-6397-4ACD-A3A0-31420C3551A1}"/>
    <cellStyle name="Notiz 25 13" xfId="16233" xr:uid="{F0DAD9C8-CE7B-4638-8FC5-5C4F5B454BF4}"/>
    <cellStyle name="Notiz 25 13 2" xfId="16234" xr:uid="{F538290A-5203-4AD7-AFD6-5F6A1BC46F46}"/>
    <cellStyle name="Notiz 25 13 2 2" xfId="35671" xr:uid="{5C02EA70-2038-43EA-8C90-F56BFC84771B}"/>
    <cellStyle name="Notiz 25 13 3" xfId="35670" xr:uid="{5AD9A33F-813B-422F-B165-71840DABD946}"/>
    <cellStyle name="Notiz 25 14" xfId="16235" xr:uid="{3B415E49-D3F2-4175-A665-457B1DAE6715}"/>
    <cellStyle name="Notiz 25 14 2" xfId="16236" xr:uid="{30AFBF9A-38F9-45AA-B60B-E33E9C201CA5}"/>
    <cellStyle name="Notiz 25 14 2 2" xfId="35673" xr:uid="{D0CF97AB-0C12-4964-9E2F-77FE56DD5438}"/>
    <cellStyle name="Notiz 25 14 3" xfId="35672" xr:uid="{7B1E40B0-C8BB-4A51-A365-6953343D0986}"/>
    <cellStyle name="Notiz 25 15" xfId="16237" xr:uid="{B0CBCFB8-04B1-46C8-A906-BDE5E9A38A21}"/>
    <cellStyle name="Notiz 25 15 2" xfId="16238" xr:uid="{5D0FB660-7CFC-4996-A263-B0168D9263F7}"/>
    <cellStyle name="Notiz 25 15 2 2" xfId="35675" xr:uid="{618C11F4-C579-410D-AD4F-173670386CF6}"/>
    <cellStyle name="Notiz 25 15 3" xfId="35674" xr:uid="{6E0681DC-7B2B-485F-9287-D1AB9815E6BF}"/>
    <cellStyle name="Notiz 25 16" xfId="16239" xr:uid="{87E38E02-C9D2-4019-911C-6FF75D12A9BA}"/>
    <cellStyle name="Notiz 25 16 2" xfId="16240" xr:uid="{91F3614E-B78E-40F0-A509-4A0D2BD9FBB3}"/>
    <cellStyle name="Notiz 25 16 2 2" xfId="35677" xr:uid="{51B5220A-09F3-44DB-BFDE-78252D6D22C7}"/>
    <cellStyle name="Notiz 25 16 3" xfId="35676" xr:uid="{E2B827FE-9534-49DE-A0DE-03B2183FF682}"/>
    <cellStyle name="Notiz 25 17" xfId="16241" xr:uid="{AB9F4B96-6B85-47C5-A469-C5EB728787F5}"/>
    <cellStyle name="Notiz 25 17 2" xfId="16242" xr:uid="{79253ED8-973E-4CD5-9AFE-54E81D6FCDFD}"/>
    <cellStyle name="Notiz 25 17 2 2" xfId="35679" xr:uid="{6EEC3032-CF9D-43D2-8009-5BD9AC1661B0}"/>
    <cellStyle name="Notiz 25 17 3" xfId="35678" xr:uid="{E3301BA7-45B3-49EB-8044-C326F5EC5976}"/>
    <cellStyle name="Notiz 25 18" xfId="16243" xr:uid="{4E6E68B1-96C9-4DC4-8014-EC561B9F9446}"/>
    <cellStyle name="Notiz 25 18 2" xfId="16244" xr:uid="{9C6FBBF0-7B33-47EF-AB03-998B0675210E}"/>
    <cellStyle name="Notiz 25 18 2 2" xfId="35681" xr:uid="{7A9B432A-7942-4F89-B2D8-A5FC9E81B020}"/>
    <cellStyle name="Notiz 25 18 3" xfId="35680" xr:uid="{A4A1912F-934F-43FA-A311-0DF2B5C6B911}"/>
    <cellStyle name="Notiz 25 19" xfId="16245" xr:uid="{DC0D06FB-F128-455E-B9D0-7FF47337F82F}"/>
    <cellStyle name="Notiz 25 19 2" xfId="16246" xr:uid="{D4145FDA-109F-411F-A4CE-1F367AC86731}"/>
    <cellStyle name="Notiz 25 19 2 2" xfId="35683" xr:uid="{185D5009-9351-463E-8D1F-656D80CDB260}"/>
    <cellStyle name="Notiz 25 19 3" xfId="35682" xr:uid="{4DCCBFD3-148B-448D-AAB3-B7E1C8B5F6DD}"/>
    <cellStyle name="Notiz 25 2" xfId="16247" xr:uid="{DB2F15E2-8E49-4D7B-B074-E0A431905079}"/>
    <cellStyle name="Notiz 25 2 2" xfId="16248" xr:uid="{ADF69400-237A-4FDD-9155-D7386776C915}"/>
    <cellStyle name="Notiz 25 2 2 2" xfId="35685" xr:uid="{CE536113-8E83-48C8-AF84-0347D44521D4}"/>
    <cellStyle name="Notiz 25 2 2 2 2" xfId="40992" xr:uid="{E7B48CCF-9F32-4D9E-8C95-A389A3FEAB49}"/>
    <cellStyle name="Notiz 25 2 2 3" xfId="41851" xr:uid="{2A20E974-A7FF-4C9B-994A-C4534BBFDEB5}"/>
    <cellStyle name="Notiz 25 2 2 4" xfId="40085" xr:uid="{884CA595-E5EF-4205-A1B4-8D8C332DA1FA}"/>
    <cellStyle name="Notiz 25 2 3" xfId="35684" xr:uid="{1D8E8F7D-21AD-4B93-9D28-6CFB64B2DAEC}"/>
    <cellStyle name="Notiz 25 2 3 2" xfId="40550" xr:uid="{BAE6A980-55FA-4F9C-AECA-8421D5119DCC}"/>
    <cellStyle name="Notiz 25 2 4" xfId="41410" xr:uid="{8CD2CE11-86B2-426A-BECB-42CCE7B7D4FC}"/>
    <cellStyle name="Notiz 25 2 5" xfId="39533" xr:uid="{3C5F216C-F5FC-4ECB-975E-79080D3BBA2F}"/>
    <cellStyle name="Notiz 25 20" xfId="16249" xr:uid="{8BC3727D-2600-45F6-8BBA-933068890E40}"/>
    <cellStyle name="Notiz 25 20 2" xfId="16250" xr:uid="{D81E5561-E48B-45FF-B29D-7D6CD8F47E6A}"/>
    <cellStyle name="Notiz 25 20 2 2" xfId="35687" xr:uid="{CC2B83A5-115E-4D9D-B884-5BE1F70FFB41}"/>
    <cellStyle name="Notiz 25 20 3" xfId="35686" xr:uid="{A02CF4FA-2335-4FE8-BC8B-98BC8E08A9CC}"/>
    <cellStyle name="Notiz 25 21" xfId="16251" xr:uid="{99BA4088-B685-4BBA-9B36-B721296EADEA}"/>
    <cellStyle name="Notiz 25 21 2" xfId="16252" xr:uid="{17CD0644-C33B-41B9-AFE2-1FB61C048549}"/>
    <cellStyle name="Notiz 25 21 2 2" xfId="35689" xr:uid="{34824DBB-F164-43DB-B615-F849819765E6}"/>
    <cellStyle name="Notiz 25 21 3" xfId="35688" xr:uid="{236A8963-8A37-436F-B1B7-E8D57B37346A}"/>
    <cellStyle name="Notiz 25 22" xfId="16253" xr:uid="{5E6B6BB5-D690-4D1E-A3FF-F31C7AFC0B29}"/>
    <cellStyle name="Notiz 25 22 2" xfId="35690" xr:uid="{861739CE-8C93-4294-B192-53C8529EB7E1}"/>
    <cellStyle name="Notiz 25 23" xfId="16254" xr:uid="{06552F21-49D6-4D87-9FDB-2E66A8F9DDAF}"/>
    <cellStyle name="Notiz 25 23 2" xfId="35691" xr:uid="{A8CECA50-204B-45FA-819D-A321CCB7284E}"/>
    <cellStyle name="Notiz 25 24" xfId="35663" xr:uid="{0C266CE3-44C3-442E-B124-919BD01C0A8B}"/>
    <cellStyle name="Notiz 25 25" xfId="39532" xr:uid="{89A2D054-A823-4392-BBCC-361750C762DC}"/>
    <cellStyle name="Notiz 25 26" xfId="16226" xr:uid="{B002A963-BF07-44E6-8750-CC58176AED41}"/>
    <cellStyle name="Notiz 25 3" xfId="16255" xr:uid="{3230F212-85D0-4403-89DC-A791529FB4A5}"/>
    <cellStyle name="Notiz 25 3 2" xfId="16256" xr:uid="{260EAF04-EE1C-4580-AD02-64F00D242B80}"/>
    <cellStyle name="Notiz 25 3 2 2" xfId="35693" xr:uid="{CEE80B7F-F736-4D4C-B296-6723C00BEAAB}"/>
    <cellStyle name="Notiz 25 3 2 3" xfId="40991" xr:uid="{0255B545-C7C1-47B3-B77D-5DD10D89EB93}"/>
    <cellStyle name="Notiz 25 3 3" xfId="35692" xr:uid="{64B76F90-79CC-4DB6-8D1B-710A1A299A6E}"/>
    <cellStyle name="Notiz 25 3 3 2" xfId="41850" xr:uid="{C5E96575-5B3C-45A0-9539-6FA8293323EA}"/>
    <cellStyle name="Notiz 25 3 4" xfId="40084" xr:uid="{32553122-4ACB-489F-846B-B1E6259B617E}"/>
    <cellStyle name="Notiz 25 4" xfId="16257" xr:uid="{064400F0-8A0C-4A52-A3F5-0C449739133A}"/>
    <cellStyle name="Notiz 25 4 2" xfId="16258" xr:uid="{129C5A58-90AD-49E6-883B-08B15055004C}"/>
    <cellStyle name="Notiz 25 4 2 2" xfId="35695" xr:uid="{1F5A0CD0-C7DF-41A8-A548-873B5BA14757}"/>
    <cellStyle name="Notiz 25 4 3" xfId="35694" xr:uid="{D781C56C-4222-465B-8E70-DBED43AE4837}"/>
    <cellStyle name="Notiz 25 4 4" xfId="40549" xr:uid="{D8075CD9-27BF-44C1-8021-65870ED4CF15}"/>
    <cellStyle name="Notiz 25 5" xfId="16259" xr:uid="{22AB3A8F-7B0A-4E20-B2A2-D84563ABCE33}"/>
    <cellStyle name="Notiz 25 5 2" xfId="16260" xr:uid="{B15CB4BA-DD3B-4BDB-BB32-63F9A285D60C}"/>
    <cellStyle name="Notiz 25 5 2 2" xfId="35697" xr:uid="{BC850D0A-DF28-41C4-9C84-E059A425E76E}"/>
    <cellStyle name="Notiz 25 5 3" xfId="35696" xr:uid="{97C172F9-C86F-4CDA-B30A-C2D8A921D5F5}"/>
    <cellStyle name="Notiz 25 5 4" xfId="41409" xr:uid="{7021F5EE-AC8A-4569-A09A-01EFD8911AA1}"/>
    <cellStyle name="Notiz 25 6" xfId="16261" xr:uid="{D64B527F-5BD9-4ACB-8B65-93A0B055BF17}"/>
    <cellStyle name="Notiz 25 6 2" xfId="16262" xr:uid="{F33FF90A-5210-4B22-95A3-9D676731DFAA}"/>
    <cellStyle name="Notiz 25 6 2 2" xfId="35699" xr:uid="{F192A62A-24D6-4355-AD30-38F82941B96F}"/>
    <cellStyle name="Notiz 25 6 3" xfId="35698" xr:uid="{E0D25687-27D1-4AA0-ABA2-16D6FD2E8189}"/>
    <cellStyle name="Notiz 25 7" xfId="16263" xr:uid="{0DC7D858-A2B5-4EE4-A518-3A993A6BA44C}"/>
    <cellStyle name="Notiz 25 7 2" xfId="16264" xr:uid="{74DE3001-5307-4198-9323-0DAABADEEEB6}"/>
    <cellStyle name="Notiz 25 7 2 2" xfId="35701" xr:uid="{09E31FC8-A68C-4D6A-B94F-F9F4B54B7C74}"/>
    <cellStyle name="Notiz 25 7 3" xfId="35700" xr:uid="{C0B5A21C-5CE5-4AC7-90CF-042755706FAA}"/>
    <cellStyle name="Notiz 25 8" xfId="16265" xr:uid="{A4153F67-45BB-45D6-91FE-95467349BBF9}"/>
    <cellStyle name="Notiz 25 8 2" xfId="16266" xr:uid="{2C858B3B-729D-4BA6-B64F-75EE3E73EB34}"/>
    <cellStyle name="Notiz 25 8 2 2" xfId="35703" xr:uid="{6FD7E3EF-8867-42BA-859C-A6C336BE37E1}"/>
    <cellStyle name="Notiz 25 8 3" xfId="35702" xr:uid="{8256067A-9377-4EC7-96B0-8F6DF5580EFF}"/>
    <cellStyle name="Notiz 25 9" xfId="16267" xr:uid="{76B6CD15-7C05-40C2-A518-103D7691C48A}"/>
    <cellStyle name="Notiz 25 9 2" xfId="16268" xr:uid="{6A773397-26EF-417A-8C3F-8EDF862C9C83}"/>
    <cellStyle name="Notiz 25 9 2 2" xfId="35705" xr:uid="{66DBA49C-03DE-444C-B68F-87BF6EAAD655}"/>
    <cellStyle name="Notiz 25 9 3" xfId="35704" xr:uid="{07DCE2DC-1459-41A2-9445-4A64912E84D8}"/>
    <cellStyle name="Notiz 26" xfId="80" xr:uid="{79AABBFD-C8DD-4EA1-8554-121DA883D86F}"/>
    <cellStyle name="Notiz 26 10" xfId="16270" xr:uid="{43E587FD-7F18-4823-AE74-806EEFCE0B9E}"/>
    <cellStyle name="Notiz 26 10 2" xfId="16271" xr:uid="{B569835C-1B0F-499F-8B22-5EE6D98D53AC}"/>
    <cellStyle name="Notiz 26 10 2 2" xfId="35708" xr:uid="{46670CD1-BD43-4E58-9B1F-D466C829122B}"/>
    <cellStyle name="Notiz 26 10 3" xfId="35707" xr:uid="{1B428E17-A00C-4309-9325-B4674B0B03A3}"/>
    <cellStyle name="Notiz 26 11" xfId="16272" xr:uid="{6719E763-7CFD-4D02-AE26-D239B4CB8F10}"/>
    <cellStyle name="Notiz 26 11 2" xfId="16273" xr:uid="{73370E9E-83D9-4380-8EC9-58BD6E4AED9B}"/>
    <cellStyle name="Notiz 26 11 2 2" xfId="35710" xr:uid="{39615627-8CB0-4A64-87EC-44C6DE30C8DA}"/>
    <cellStyle name="Notiz 26 11 3" xfId="35709" xr:uid="{3C51F395-4757-464E-B23F-F5DFB4666D44}"/>
    <cellStyle name="Notiz 26 12" xfId="16274" xr:uid="{9962E167-054F-490F-B5E1-7A3C8B220B47}"/>
    <cellStyle name="Notiz 26 12 2" xfId="16275" xr:uid="{7E7356E1-ADED-4421-8955-E128156EF38F}"/>
    <cellStyle name="Notiz 26 12 2 2" xfId="35712" xr:uid="{6E360C31-2865-4384-BE7F-BABCE3B5226D}"/>
    <cellStyle name="Notiz 26 12 3" xfId="35711" xr:uid="{7DD8A29E-1244-4E91-BCC3-BFD0E6F3438B}"/>
    <cellStyle name="Notiz 26 13" xfId="16276" xr:uid="{7C7FE63A-3571-4625-8993-AF5F3D8DA5C6}"/>
    <cellStyle name="Notiz 26 13 2" xfId="16277" xr:uid="{DD01C059-D22E-4A36-AB22-D6411B01D723}"/>
    <cellStyle name="Notiz 26 13 2 2" xfId="35714" xr:uid="{39513284-B4CF-451A-A6A3-FB26748168CE}"/>
    <cellStyle name="Notiz 26 13 3" xfId="35713" xr:uid="{6E22A8AD-AA4D-4582-8398-BDCED1045787}"/>
    <cellStyle name="Notiz 26 14" xfId="16278" xr:uid="{A95A20EB-22F4-4542-8CE2-E2B7839EABD8}"/>
    <cellStyle name="Notiz 26 14 2" xfId="16279" xr:uid="{552FA9B0-9D1B-4149-A61B-53A2159F480E}"/>
    <cellStyle name="Notiz 26 14 2 2" xfId="35716" xr:uid="{56B9D51E-9C36-4AC0-9D68-55CE689E0A5D}"/>
    <cellStyle name="Notiz 26 14 3" xfId="35715" xr:uid="{550D10AD-EA48-47AC-90FD-53991A60127C}"/>
    <cellStyle name="Notiz 26 15" xfId="16280" xr:uid="{87492FA1-5FF1-4E59-B4EF-B0AC2382B1F5}"/>
    <cellStyle name="Notiz 26 15 2" xfId="16281" xr:uid="{8283A33E-75DF-4D2F-BECF-E48546A7F643}"/>
    <cellStyle name="Notiz 26 15 2 2" xfId="35718" xr:uid="{528E668F-0B74-4D46-89FE-3BBC2991F521}"/>
    <cellStyle name="Notiz 26 15 3" xfId="35717" xr:uid="{FA4B003A-0109-4C26-8847-5ED52E6D5157}"/>
    <cellStyle name="Notiz 26 16" xfId="16282" xr:uid="{4276407D-AD41-47DA-9538-7CB56CC9C29E}"/>
    <cellStyle name="Notiz 26 16 2" xfId="16283" xr:uid="{7E736DC3-7648-450E-B25D-2546CE05FF3B}"/>
    <cellStyle name="Notiz 26 16 2 2" xfId="35720" xr:uid="{27D56C0D-064D-44CF-8C3A-7CEAC7E76C1B}"/>
    <cellStyle name="Notiz 26 16 3" xfId="35719" xr:uid="{84F11ACB-0936-402E-A239-B15024CF1F87}"/>
    <cellStyle name="Notiz 26 17" xfId="16284" xr:uid="{C34D3D40-79AB-4A19-AA45-CD211E451B48}"/>
    <cellStyle name="Notiz 26 17 2" xfId="16285" xr:uid="{4FFC62F8-3140-47F7-B380-842C2385BABB}"/>
    <cellStyle name="Notiz 26 17 2 2" xfId="35722" xr:uid="{613DD7A1-784E-4B50-91BE-6FD0D33479FB}"/>
    <cellStyle name="Notiz 26 17 3" xfId="35721" xr:uid="{25543D8C-A525-4AC7-9CA3-82FDE364C21C}"/>
    <cellStyle name="Notiz 26 18" xfId="16286" xr:uid="{9CD83DBC-5530-4054-82DA-8073AAA1A2B9}"/>
    <cellStyle name="Notiz 26 18 2" xfId="16287" xr:uid="{05C78F71-91B2-429D-975D-B527D2507F23}"/>
    <cellStyle name="Notiz 26 18 2 2" xfId="35724" xr:uid="{5EB362A5-C1E4-4485-AF4D-944C326410E6}"/>
    <cellStyle name="Notiz 26 18 3" xfId="35723" xr:uid="{24A33C96-2733-446F-A082-812AE73C255F}"/>
    <cellStyle name="Notiz 26 19" xfId="16288" xr:uid="{B1AA471A-D534-4D3C-A97C-05BF52046E81}"/>
    <cellStyle name="Notiz 26 19 2" xfId="16289" xr:uid="{09708E43-D961-437C-8709-7FD8D3E4FC94}"/>
    <cellStyle name="Notiz 26 19 2 2" xfId="35726" xr:uid="{D25CFFA2-49CD-4F8C-94BB-1A3F85BD7387}"/>
    <cellStyle name="Notiz 26 19 3" xfId="35725" xr:uid="{753F43C5-E83A-4D18-9522-7776BEEB8739}"/>
    <cellStyle name="Notiz 26 2" xfId="16290" xr:uid="{2652ABDD-7B2F-4845-8ABF-2D2698B2AD11}"/>
    <cellStyle name="Notiz 26 2 2" xfId="16291" xr:uid="{D0EE33B0-B09D-4806-BB0E-88A43DC0C018}"/>
    <cellStyle name="Notiz 26 2 2 2" xfId="35728" xr:uid="{031D94D6-1648-4E53-AD83-7F9DBAB87EA5}"/>
    <cellStyle name="Notiz 26 2 2 2 2" xfId="40994" xr:uid="{BD9BDE91-6813-4393-BB3D-79684457918F}"/>
    <cellStyle name="Notiz 26 2 2 3" xfId="41853" xr:uid="{D253FD78-5CF6-450B-9CE7-E8914E309A55}"/>
    <cellStyle name="Notiz 26 2 2 4" xfId="40087" xr:uid="{FD41220F-CF30-4E37-A251-36C296EA4C78}"/>
    <cellStyle name="Notiz 26 2 3" xfId="35727" xr:uid="{4819862C-19CC-4CC2-80F6-39478A7B04D7}"/>
    <cellStyle name="Notiz 26 2 3 2" xfId="40552" xr:uid="{2C02F462-B649-4864-AA25-BDEC1E6AACFA}"/>
    <cellStyle name="Notiz 26 2 4" xfId="41412" xr:uid="{0B64278F-A94B-400D-A6DA-5F0A989AF8C8}"/>
    <cellStyle name="Notiz 26 2 5" xfId="39535" xr:uid="{C5518BCF-34D9-4C31-95B5-661D67A90A69}"/>
    <cellStyle name="Notiz 26 20" xfId="16292" xr:uid="{608E831B-D80D-4005-8F17-27126FD539F2}"/>
    <cellStyle name="Notiz 26 20 2" xfId="16293" xr:uid="{F85F622B-6DF3-4E97-94D8-A823F2A25DD3}"/>
    <cellStyle name="Notiz 26 20 2 2" xfId="35730" xr:uid="{5DBDA8D6-9B11-4277-9E09-EBFCE47A763B}"/>
    <cellStyle name="Notiz 26 20 3" xfId="35729" xr:uid="{BB8EBFB3-4464-4999-B2E3-942D507CBDCE}"/>
    <cellStyle name="Notiz 26 21" xfId="16294" xr:uid="{7EDED62D-5E16-4629-8FF3-A30545F6E9CC}"/>
    <cellStyle name="Notiz 26 21 2" xfId="16295" xr:uid="{CF31CB74-9024-4972-94E9-F1D6091CAAED}"/>
    <cellStyle name="Notiz 26 21 2 2" xfId="35732" xr:uid="{47259FFA-E952-4D8E-8AC2-A590116F5FE1}"/>
    <cellStyle name="Notiz 26 21 3" xfId="35731" xr:uid="{60971E0D-8096-4FB0-BCEB-DC95F0943FA4}"/>
    <cellStyle name="Notiz 26 22" xfId="16296" xr:uid="{38DDD2B1-F8C1-4BA4-9C58-DC9FCAAE2E95}"/>
    <cellStyle name="Notiz 26 22 2" xfId="35733" xr:uid="{6D47457A-6D69-4782-8DBF-5432621E6A80}"/>
    <cellStyle name="Notiz 26 23" xfId="16297" xr:uid="{77EE096E-C970-4B87-B0EA-C3D89ACC8136}"/>
    <cellStyle name="Notiz 26 23 2" xfId="35734" xr:uid="{00B29AF9-25B3-4B2F-AE52-D05F14AF86B6}"/>
    <cellStyle name="Notiz 26 24" xfId="35706" xr:uid="{BA38A835-CED1-4031-BA7D-5C060CE4FC2C}"/>
    <cellStyle name="Notiz 26 25" xfId="39534" xr:uid="{7F1B8294-BDFE-4CA7-87A9-15F14638B549}"/>
    <cellStyle name="Notiz 26 26" xfId="16269" xr:uid="{6134AC39-8BBF-434B-9C27-8F495172F71A}"/>
    <cellStyle name="Notiz 26 3" xfId="16298" xr:uid="{539E963B-BE51-4733-B339-2F170CEAB6D4}"/>
    <cellStyle name="Notiz 26 3 2" xfId="16299" xr:uid="{F1852BB0-C856-4E54-8A7C-7FB9BB782991}"/>
    <cellStyle name="Notiz 26 3 2 2" xfId="35736" xr:uid="{A22CC3FB-FFAA-4DB3-A900-A11FD70C76B5}"/>
    <cellStyle name="Notiz 26 3 2 3" xfId="40993" xr:uid="{820FE11B-4B43-425F-ABB1-DC3C2EF0FE91}"/>
    <cellStyle name="Notiz 26 3 3" xfId="35735" xr:uid="{B11F831F-C5E8-49FE-8889-CD16DE65CB2F}"/>
    <cellStyle name="Notiz 26 3 3 2" xfId="41852" xr:uid="{A69CA9BA-5EB4-487A-85E1-B4CD695408D6}"/>
    <cellStyle name="Notiz 26 3 4" xfId="40086" xr:uid="{045A0475-C57B-4A20-9FB2-E9F4F6578256}"/>
    <cellStyle name="Notiz 26 4" xfId="16300" xr:uid="{BA51957E-9038-4BA0-9421-DE6BD50AF7CC}"/>
    <cellStyle name="Notiz 26 4 2" xfId="16301" xr:uid="{B09D2712-16D4-41E8-889C-D6C989A2E95E}"/>
    <cellStyle name="Notiz 26 4 2 2" xfId="35738" xr:uid="{BF237E59-F546-44ED-A09F-2F11B56EDB92}"/>
    <cellStyle name="Notiz 26 4 3" xfId="35737" xr:uid="{7F623DFA-95F6-4359-B89E-C4FE8E863815}"/>
    <cellStyle name="Notiz 26 4 4" xfId="40551" xr:uid="{61B94874-818E-4D59-8FB9-7B31831F8345}"/>
    <cellStyle name="Notiz 26 5" xfId="16302" xr:uid="{D32A42E0-A04B-42D8-87AE-6EA8BE79A0B4}"/>
    <cellStyle name="Notiz 26 5 2" xfId="16303" xr:uid="{B380855E-0BF1-43E2-AFE4-DDF0B768FA00}"/>
    <cellStyle name="Notiz 26 5 2 2" xfId="35740" xr:uid="{68C4E615-A064-4D65-AE38-CF1AAD0967E6}"/>
    <cellStyle name="Notiz 26 5 3" xfId="35739" xr:uid="{DFCD64F3-C8FC-49FA-9629-462F7EF36F1E}"/>
    <cellStyle name="Notiz 26 5 4" xfId="41411" xr:uid="{640EA383-5684-48D0-B448-30307392A6CE}"/>
    <cellStyle name="Notiz 26 6" xfId="16304" xr:uid="{01B7659C-E4EE-4FD5-AD73-DA78AFDCCB0C}"/>
    <cellStyle name="Notiz 26 6 2" xfId="16305" xr:uid="{B7092A02-6DFC-49F2-B239-A33017B4DDC0}"/>
    <cellStyle name="Notiz 26 6 2 2" xfId="35742" xr:uid="{51B89787-2DFF-42A2-BD12-F61A66E78769}"/>
    <cellStyle name="Notiz 26 6 3" xfId="35741" xr:uid="{F977DC8A-44FB-4332-B674-2D2C61FB7A52}"/>
    <cellStyle name="Notiz 26 7" xfId="16306" xr:uid="{53911099-D3E1-4DFD-A47A-03AF8699A488}"/>
    <cellStyle name="Notiz 26 7 2" xfId="16307" xr:uid="{28E198BA-7BDC-48B8-8884-07845E5760A3}"/>
    <cellStyle name="Notiz 26 7 2 2" xfId="35744" xr:uid="{5123B6D3-951B-4783-AE97-3608CE9E4B5A}"/>
    <cellStyle name="Notiz 26 7 3" xfId="35743" xr:uid="{A910E1BE-80D1-4E90-8BDF-BC9648BD568A}"/>
    <cellStyle name="Notiz 26 8" xfId="16308" xr:uid="{6ED7B1ED-7966-4493-813C-1EAAA75968CB}"/>
    <cellStyle name="Notiz 26 8 2" xfId="16309" xr:uid="{792382EF-FBC2-4C39-A384-1D799C5C6699}"/>
    <cellStyle name="Notiz 26 8 2 2" xfId="35746" xr:uid="{B53F0410-2235-46C0-85C8-C4CBCF922FCB}"/>
    <cellStyle name="Notiz 26 8 3" xfId="35745" xr:uid="{D9A43039-0E28-457E-8506-CE2E446CC521}"/>
    <cellStyle name="Notiz 26 9" xfId="16310" xr:uid="{3041712C-300A-4391-9690-EC92CEE353A5}"/>
    <cellStyle name="Notiz 26 9 2" xfId="16311" xr:uid="{05A48147-B3C1-4940-B581-041582F382FC}"/>
    <cellStyle name="Notiz 26 9 2 2" xfId="35748" xr:uid="{FF6E48D8-63D4-4D28-AD86-7355A67ECE27}"/>
    <cellStyle name="Notiz 26 9 3" xfId="35747" xr:uid="{C7FB51B7-34D3-4BFC-A612-17043D037F5D}"/>
    <cellStyle name="Notiz 27" xfId="81" xr:uid="{75B2DE1E-7A48-4FEE-8DA0-3CE64BC1C7CD}"/>
    <cellStyle name="Notiz 27 10" xfId="16313" xr:uid="{FA23E63F-F3BD-4716-895D-EE57D845C716}"/>
    <cellStyle name="Notiz 27 10 2" xfId="16314" xr:uid="{C9385C82-63C1-42FB-955B-63A81DC6B07F}"/>
    <cellStyle name="Notiz 27 10 2 2" xfId="35751" xr:uid="{BB9C6512-4DC6-4E5C-ABF5-909615666EDA}"/>
    <cellStyle name="Notiz 27 10 3" xfId="35750" xr:uid="{8A4E6290-C870-4CDD-9AE5-946A04847AEC}"/>
    <cellStyle name="Notiz 27 11" xfId="16315" xr:uid="{C8E55DC2-57EB-450E-854E-62102C412561}"/>
    <cellStyle name="Notiz 27 11 2" xfId="16316" xr:uid="{21FF9083-BFEC-4129-B278-8E1B2A4A2912}"/>
    <cellStyle name="Notiz 27 11 2 2" xfId="35753" xr:uid="{80F5B93F-C38F-40E9-8D94-499CE9DCFBAC}"/>
    <cellStyle name="Notiz 27 11 3" xfId="35752" xr:uid="{5D2E73C8-970F-4960-AE6C-EC17E3CFE53D}"/>
    <cellStyle name="Notiz 27 12" xfId="16317" xr:uid="{88872832-887C-4AFA-BB1F-87BB76CD61E7}"/>
    <cellStyle name="Notiz 27 12 2" xfId="16318" xr:uid="{941EF50F-8CBD-4DBA-AB70-CDD2953A246D}"/>
    <cellStyle name="Notiz 27 12 2 2" xfId="35755" xr:uid="{4DA4BA2F-650D-4856-9B87-5D6E8C4880FB}"/>
    <cellStyle name="Notiz 27 12 3" xfId="35754" xr:uid="{759524B2-4718-4DBB-9B59-FBC401E6275C}"/>
    <cellStyle name="Notiz 27 13" xfId="16319" xr:uid="{366495B4-3B3E-4A1F-8362-2042CC55747A}"/>
    <cellStyle name="Notiz 27 13 2" xfId="16320" xr:uid="{A3F97F43-E5EF-48BB-A494-610315908E49}"/>
    <cellStyle name="Notiz 27 13 2 2" xfId="35757" xr:uid="{A9491221-9612-4807-8A71-79067FB1862C}"/>
    <cellStyle name="Notiz 27 13 3" xfId="35756" xr:uid="{DB651243-7DE1-49F1-A8C1-4E694E9B9568}"/>
    <cellStyle name="Notiz 27 14" xfId="16321" xr:uid="{9C678A57-0E41-4E90-9695-1DED35F63E8C}"/>
    <cellStyle name="Notiz 27 14 2" xfId="16322" xr:uid="{E25EDE6C-81AB-4E81-AB45-B37AEC8FD4B8}"/>
    <cellStyle name="Notiz 27 14 2 2" xfId="35759" xr:uid="{2499FF2F-3A1D-4FDB-8D9E-1016CA9C4E25}"/>
    <cellStyle name="Notiz 27 14 3" xfId="35758" xr:uid="{6885AF7C-BA91-4160-9BB4-7A3CC106FB43}"/>
    <cellStyle name="Notiz 27 15" xfId="16323" xr:uid="{F68A5144-C0A5-4980-80F7-D4507A002F53}"/>
    <cellStyle name="Notiz 27 15 2" xfId="16324" xr:uid="{AB283676-F108-4849-A410-A1010A3DAF2C}"/>
    <cellStyle name="Notiz 27 15 2 2" xfId="35761" xr:uid="{6FE543B0-DB82-4063-985C-855AAF4A9113}"/>
    <cellStyle name="Notiz 27 15 3" xfId="35760" xr:uid="{E60156C1-DE27-4E44-A83E-DE28C0D73C44}"/>
    <cellStyle name="Notiz 27 16" xfId="16325" xr:uid="{0AFB67E0-4C62-4224-AB45-390D4B02CED2}"/>
    <cellStyle name="Notiz 27 16 2" xfId="16326" xr:uid="{F75DE22C-FAEF-4B6C-8D9D-5746F30171C7}"/>
    <cellStyle name="Notiz 27 16 2 2" xfId="35763" xr:uid="{F2C2C42F-F9A9-4588-9F8E-0C15062C10AF}"/>
    <cellStyle name="Notiz 27 16 3" xfId="35762" xr:uid="{527A2B31-F7C6-4199-80CA-1E131912CE64}"/>
    <cellStyle name="Notiz 27 17" xfId="16327" xr:uid="{438ACEC8-508D-4F3D-9615-6EA9DACA9C25}"/>
    <cellStyle name="Notiz 27 17 2" xfId="16328" xr:uid="{5262FCAB-1735-4C9A-A69C-1733009C6DAE}"/>
    <cellStyle name="Notiz 27 17 2 2" xfId="35765" xr:uid="{0527D3A8-10A0-4BFF-A114-680F9A8CBEF6}"/>
    <cellStyle name="Notiz 27 17 3" xfId="35764" xr:uid="{C192DD1F-7A9F-422E-B2E9-700F050DCFB5}"/>
    <cellStyle name="Notiz 27 18" xfId="16329" xr:uid="{E58F1FD1-89A1-4581-89F1-61FDB6E2D432}"/>
    <cellStyle name="Notiz 27 18 2" xfId="16330" xr:uid="{42ADB822-80F2-4ABC-9A81-CFDC25B4B420}"/>
    <cellStyle name="Notiz 27 18 2 2" xfId="35767" xr:uid="{5B777236-7254-4D12-97EA-D9A73AF8B314}"/>
    <cellStyle name="Notiz 27 18 3" xfId="35766" xr:uid="{1DB6080D-5A08-4004-BCC4-681C4D610D97}"/>
    <cellStyle name="Notiz 27 19" xfId="16331" xr:uid="{A5DC93C8-E774-4B25-B6B8-DCD46765C1E8}"/>
    <cellStyle name="Notiz 27 19 2" xfId="16332" xr:uid="{5286054D-23B7-4BCF-A57D-4E84CE800472}"/>
    <cellStyle name="Notiz 27 19 2 2" xfId="35769" xr:uid="{89D200E2-0617-4D6C-BBCD-AEF3FFF3C3C0}"/>
    <cellStyle name="Notiz 27 19 3" xfId="35768" xr:uid="{C9606813-4C93-4862-92C0-D675684EA7DE}"/>
    <cellStyle name="Notiz 27 2" xfId="16333" xr:uid="{BC8375DC-A19C-4986-BF7C-C691AF9FD956}"/>
    <cellStyle name="Notiz 27 2 2" xfId="16334" xr:uid="{2D038D15-9D38-4A50-A567-E3454C590358}"/>
    <cellStyle name="Notiz 27 2 2 2" xfId="35771" xr:uid="{4147FF23-EB5D-4688-B654-D62AE377C5ED}"/>
    <cellStyle name="Notiz 27 2 2 2 2" xfId="40996" xr:uid="{715EA262-8D9D-4808-B4D2-A8583DC83604}"/>
    <cellStyle name="Notiz 27 2 2 3" xfId="41855" xr:uid="{A6CA015D-6B20-499F-985D-8E9A8EF17DD3}"/>
    <cellStyle name="Notiz 27 2 2 4" xfId="40089" xr:uid="{532E7CF8-B80D-4502-A31B-EACE29225A4D}"/>
    <cellStyle name="Notiz 27 2 3" xfId="35770" xr:uid="{69628FCE-D255-47DA-9E08-FF2E26B27AE2}"/>
    <cellStyle name="Notiz 27 2 3 2" xfId="40554" xr:uid="{CCFBEA50-9818-4043-9A51-F0B4A40D25B8}"/>
    <cellStyle name="Notiz 27 2 4" xfId="41414" xr:uid="{CCFF74E5-F1B0-4A36-8EE5-8B954472E676}"/>
    <cellStyle name="Notiz 27 2 5" xfId="39537" xr:uid="{82BF3C72-77BE-437F-80F2-C0DB8D5D9591}"/>
    <cellStyle name="Notiz 27 20" xfId="16335" xr:uid="{9146B9A7-4A7A-4E5D-A42D-F32B7E0D1F20}"/>
    <cellStyle name="Notiz 27 20 2" xfId="16336" xr:uid="{52787DCF-DF41-4884-9109-D61345CDD3EE}"/>
    <cellStyle name="Notiz 27 20 2 2" xfId="35773" xr:uid="{CF3398B4-2F82-4FC9-B355-12D77BD041FD}"/>
    <cellStyle name="Notiz 27 20 3" xfId="35772" xr:uid="{082F4370-14C6-4AF9-B35F-06FE56449823}"/>
    <cellStyle name="Notiz 27 21" xfId="16337" xr:uid="{42566F69-BFFE-4913-BDFD-96E47BC6CB02}"/>
    <cellStyle name="Notiz 27 21 2" xfId="16338" xr:uid="{CAA7F217-5EC4-4F91-99F5-BBC910FACB90}"/>
    <cellStyle name="Notiz 27 21 2 2" xfId="35775" xr:uid="{8076787F-9E1E-446C-9686-70902CD5792F}"/>
    <cellStyle name="Notiz 27 21 3" xfId="35774" xr:uid="{E9FDFEC3-5BAD-4269-A133-72AB86CC1DD2}"/>
    <cellStyle name="Notiz 27 22" xfId="16339" xr:uid="{EC93477D-D7D7-4ADE-8C74-1697F6CA4D70}"/>
    <cellStyle name="Notiz 27 22 2" xfId="35776" xr:uid="{988375B2-2996-4118-ADA1-26ABA96EF085}"/>
    <cellStyle name="Notiz 27 23" xfId="16340" xr:uid="{50DCDABA-9372-4812-831E-EC92A17850C8}"/>
    <cellStyle name="Notiz 27 23 2" xfId="35777" xr:uid="{9FB59FF4-7103-4526-8D41-42F48B33A1F3}"/>
    <cellStyle name="Notiz 27 24" xfId="35749" xr:uid="{DE9DE9A7-3AA1-4AF8-8A05-94BA33344CD8}"/>
    <cellStyle name="Notiz 27 25" xfId="39536" xr:uid="{82346D78-DDC8-4520-919B-5493FBF516A0}"/>
    <cellStyle name="Notiz 27 26" xfId="16312" xr:uid="{C0FD8DAE-F15A-43DE-A566-8F59BF25D980}"/>
    <cellStyle name="Notiz 27 3" xfId="16341" xr:uid="{7D185545-67FA-4ED5-9655-477F78AC7D4C}"/>
    <cellStyle name="Notiz 27 3 2" xfId="16342" xr:uid="{250F9751-20D4-4772-8A2C-D7CED4331238}"/>
    <cellStyle name="Notiz 27 3 2 2" xfId="35779" xr:uid="{49ABA1E9-7699-4BC6-8DE2-FA381082388D}"/>
    <cellStyle name="Notiz 27 3 2 3" xfId="40995" xr:uid="{D0EEB4B5-5E7D-42B0-85B2-6151C4B5F074}"/>
    <cellStyle name="Notiz 27 3 3" xfId="35778" xr:uid="{3E6E9023-533B-43C3-B4AE-9E169DF7A117}"/>
    <cellStyle name="Notiz 27 3 3 2" xfId="41854" xr:uid="{1566A192-9143-479F-81AF-58C6E8D20119}"/>
    <cellStyle name="Notiz 27 3 4" xfId="40088" xr:uid="{87BCDDAB-5D4B-4240-BC85-21BC9D6D01B5}"/>
    <cellStyle name="Notiz 27 4" xfId="16343" xr:uid="{4E907943-DA6D-4BEA-94D0-E5D526AA5665}"/>
    <cellStyle name="Notiz 27 4 2" xfId="16344" xr:uid="{CE8B2AC9-B581-4E5B-8791-CE7A58E79B8F}"/>
    <cellStyle name="Notiz 27 4 2 2" xfId="35781" xr:uid="{732F6DC6-F6B9-4AA7-9028-3CED532799BD}"/>
    <cellStyle name="Notiz 27 4 3" xfId="35780" xr:uid="{4D648F4B-3728-4A69-AEF8-8BC56649D282}"/>
    <cellStyle name="Notiz 27 4 4" xfId="40553" xr:uid="{B198FBD0-867A-42EB-8FAA-BE5FD549EC65}"/>
    <cellStyle name="Notiz 27 5" xfId="16345" xr:uid="{5BE5DE67-847F-499C-8D9B-DA86CB89EBD3}"/>
    <cellStyle name="Notiz 27 5 2" xfId="16346" xr:uid="{17428C5C-410A-4094-BE43-C3DB5977ACD3}"/>
    <cellStyle name="Notiz 27 5 2 2" xfId="35783" xr:uid="{6CCABDE7-EAC6-425B-AFE8-1E5A3C9461D5}"/>
    <cellStyle name="Notiz 27 5 3" xfId="35782" xr:uid="{474D5D94-1B50-43EB-9685-97A94C10873F}"/>
    <cellStyle name="Notiz 27 5 4" xfId="41413" xr:uid="{57727668-37E6-4D32-9E9D-E3F55376EDD9}"/>
    <cellStyle name="Notiz 27 6" xfId="16347" xr:uid="{31A87B8F-31AE-43FA-B559-B56073F22275}"/>
    <cellStyle name="Notiz 27 6 2" xfId="16348" xr:uid="{254FE933-F6C7-4D3D-9BCA-B069548DB26A}"/>
    <cellStyle name="Notiz 27 6 2 2" xfId="35785" xr:uid="{94792870-0895-4B08-B301-67CA2DCF1215}"/>
    <cellStyle name="Notiz 27 6 3" xfId="35784" xr:uid="{E2FD2268-F89C-4799-9046-DE99D093CE3A}"/>
    <cellStyle name="Notiz 27 7" xfId="16349" xr:uid="{D1FDE7DD-0EAD-49EF-B7B5-884F623AF99E}"/>
    <cellStyle name="Notiz 27 7 2" xfId="16350" xr:uid="{B12BD60B-1408-489E-A0EC-A6C766130802}"/>
    <cellStyle name="Notiz 27 7 2 2" xfId="35787" xr:uid="{CE0B6350-0342-496B-AB4B-A7D9F9FC6405}"/>
    <cellStyle name="Notiz 27 7 3" xfId="35786" xr:uid="{0C71BF91-D651-4D57-A25B-B91A5B7A83D0}"/>
    <cellStyle name="Notiz 27 8" xfId="16351" xr:uid="{1ADFED56-6F5C-41BC-9452-3A1502F3F790}"/>
    <cellStyle name="Notiz 27 8 2" xfId="16352" xr:uid="{5057283D-5ED0-407D-9E50-AA52DEA814EA}"/>
    <cellStyle name="Notiz 27 8 2 2" xfId="35789" xr:uid="{FC540F0B-0478-4F31-B726-2CC329A19DDF}"/>
    <cellStyle name="Notiz 27 8 3" xfId="35788" xr:uid="{0C74DA19-0102-491D-A184-8C40E5D4B68E}"/>
    <cellStyle name="Notiz 27 9" xfId="16353" xr:uid="{38D05515-1D09-4A35-AE73-E7EA5DADDF8E}"/>
    <cellStyle name="Notiz 27 9 2" xfId="16354" xr:uid="{FDBEE86C-65B0-4EE8-BFF6-6112563EE794}"/>
    <cellStyle name="Notiz 27 9 2 2" xfId="35791" xr:uid="{DB7BEE19-BCA7-42E6-B294-FBB7C8BDA260}"/>
    <cellStyle name="Notiz 27 9 3" xfId="35790" xr:uid="{A84EDBC4-F6E6-42C2-8359-426B354BF966}"/>
    <cellStyle name="Notiz 28" xfId="82" xr:uid="{F7E0BD7A-2AF2-4097-ABC1-162141F5E173}"/>
    <cellStyle name="Notiz 28 10" xfId="16356" xr:uid="{0AF2C6B5-EC22-4A5C-BF7D-0025CC0B9714}"/>
    <cellStyle name="Notiz 28 10 2" xfId="16357" xr:uid="{79773C7E-5EA7-454A-BE3D-43EB060CAC3F}"/>
    <cellStyle name="Notiz 28 10 2 2" xfId="35794" xr:uid="{D3DB358F-AB88-46B0-89B0-C913B9AD1C6B}"/>
    <cellStyle name="Notiz 28 10 3" xfId="35793" xr:uid="{2E2C03C6-511A-4365-B385-88DC16EB5C97}"/>
    <cellStyle name="Notiz 28 11" xfId="16358" xr:uid="{22726493-5043-4A11-8A11-C07F0ECF4125}"/>
    <cellStyle name="Notiz 28 11 2" xfId="16359" xr:uid="{2424220E-69E0-44AE-8BF3-AC04FECDB874}"/>
    <cellStyle name="Notiz 28 11 2 2" xfId="35796" xr:uid="{681DCD62-5772-4612-B9F9-9CEC16DBF299}"/>
    <cellStyle name="Notiz 28 11 3" xfId="35795" xr:uid="{90BD0F15-DBF8-43C5-92CD-782DDCCF34BE}"/>
    <cellStyle name="Notiz 28 12" xfId="16360" xr:uid="{D9AD9A15-5DA7-48B0-9EA1-A391960ED384}"/>
    <cellStyle name="Notiz 28 12 2" xfId="16361" xr:uid="{886CF998-89E4-41EB-96FF-92E5E74D9F40}"/>
    <cellStyle name="Notiz 28 12 2 2" xfId="35798" xr:uid="{9E0541F7-D297-4811-A9DC-9167C8B60331}"/>
    <cellStyle name="Notiz 28 12 3" xfId="35797" xr:uid="{BF72DD25-6A17-4DBC-8D25-2624D49BE9AA}"/>
    <cellStyle name="Notiz 28 13" xfId="16362" xr:uid="{58D65C1D-5F3C-4CAC-A11C-81808D06BCBB}"/>
    <cellStyle name="Notiz 28 13 2" xfId="16363" xr:uid="{4CB0F07E-4C3A-4ABA-BE38-4DB8D5EA5550}"/>
    <cellStyle name="Notiz 28 13 2 2" xfId="35800" xr:uid="{0EDC2A18-1CD4-48DC-99E6-49FF842F5317}"/>
    <cellStyle name="Notiz 28 13 3" xfId="35799" xr:uid="{845BA136-1D95-41D3-BF9B-0CB37062F78B}"/>
    <cellStyle name="Notiz 28 14" xfId="16364" xr:uid="{5F07250A-0E01-4CEC-B0B4-F3D04460A507}"/>
    <cellStyle name="Notiz 28 14 2" xfId="16365" xr:uid="{A55FE76D-A3CA-45E0-9A17-82C33EF1AA3D}"/>
    <cellStyle name="Notiz 28 14 2 2" xfId="35802" xr:uid="{59BA0FC3-BEC8-4F60-997C-C7981F031DE5}"/>
    <cellStyle name="Notiz 28 14 3" xfId="35801" xr:uid="{6ADB3656-9242-4F23-B3C9-AC3E9D7FF73C}"/>
    <cellStyle name="Notiz 28 15" xfId="16366" xr:uid="{9C9DF452-B756-4D37-B9D9-381230AD1D19}"/>
    <cellStyle name="Notiz 28 15 2" xfId="16367" xr:uid="{505E06DB-8A09-435F-BE11-3C0958E4F53C}"/>
    <cellStyle name="Notiz 28 15 2 2" xfId="35804" xr:uid="{826CE4F5-0E1D-4778-9E7D-FE49D67FEFFC}"/>
    <cellStyle name="Notiz 28 15 3" xfId="35803" xr:uid="{4634145C-E63F-46A9-8C01-2F8DD002B992}"/>
    <cellStyle name="Notiz 28 16" xfId="16368" xr:uid="{88130170-9799-49D0-A043-CD03209FA64F}"/>
    <cellStyle name="Notiz 28 16 2" xfId="16369" xr:uid="{18CE2540-E05C-42F8-8FE0-66C041C219C1}"/>
    <cellStyle name="Notiz 28 16 2 2" xfId="35806" xr:uid="{06514D30-AEBF-4493-ACFD-4718756A6051}"/>
    <cellStyle name="Notiz 28 16 3" xfId="35805" xr:uid="{67A0D6E0-BE4D-4E29-A340-DAFB2AA9E906}"/>
    <cellStyle name="Notiz 28 17" xfId="16370" xr:uid="{6136D54C-5DA6-45E3-9FB3-C2BA34799EA8}"/>
    <cellStyle name="Notiz 28 17 2" xfId="16371" xr:uid="{6C92685F-2640-402B-A43B-FA0B44B2FE10}"/>
    <cellStyle name="Notiz 28 17 2 2" xfId="35808" xr:uid="{4837BF08-4001-479F-800D-C2DEADB722F4}"/>
    <cellStyle name="Notiz 28 17 3" xfId="35807" xr:uid="{0EAEDF4B-3F4F-491A-A541-4FDCF899B923}"/>
    <cellStyle name="Notiz 28 18" xfId="16372" xr:uid="{92B8E1A7-65BC-4CD1-9945-277ADBE3DCE7}"/>
    <cellStyle name="Notiz 28 18 2" xfId="16373" xr:uid="{42B45B19-9937-4B73-8D70-0620AF96507E}"/>
    <cellStyle name="Notiz 28 18 2 2" xfId="35810" xr:uid="{AFB15983-F6A8-4BC8-BAE9-6112716779F3}"/>
    <cellStyle name="Notiz 28 18 3" xfId="35809" xr:uid="{899CCCCE-8BB0-453F-999F-E046B25C7AA4}"/>
    <cellStyle name="Notiz 28 19" xfId="16374" xr:uid="{540479CC-2EDB-49A6-80F7-D0728DFF010A}"/>
    <cellStyle name="Notiz 28 19 2" xfId="16375" xr:uid="{25834BC9-4362-466D-8722-CE729ACC8834}"/>
    <cellStyle name="Notiz 28 19 2 2" xfId="35812" xr:uid="{C0F04294-4706-4264-8649-9B2613728029}"/>
    <cellStyle name="Notiz 28 19 3" xfId="35811" xr:uid="{E01B291A-4862-4D9A-A873-A5F3FB6743B5}"/>
    <cellStyle name="Notiz 28 2" xfId="16376" xr:uid="{AF699F5E-235B-4EBD-88FB-CF6D70C35A6C}"/>
    <cellStyle name="Notiz 28 2 2" xfId="16377" xr:uid="{93CC52AF-271F-4D54-95E7-944BC39FA857}"/>
    <cellStyle name="Notiz 28 2 2 2" xfId="35814" xr:uid="{4EAA0897-6E4B-4306-940E-E9DFD6030DA6}"/>
    <cellStyle name="Notiz 28 2 2 2 2" xfId="40998" xr:uid="{DBF20984-E3E3-4EAB-8B05-8EF0C7B5D2CB}"/>
    <cellStyle name="Notiz 28 2 2 3" xfId="41857" xr:uid="{A1EE97C5-96F2-47A9-A43C-6D1DBE327B8A}"/>
    <cellStyle name="Notiz 28 2 2 4" xfId="40091" xr:uid="{38A7E8C9-000A-4687-8BF6-502C1BDE7924}"/>
    <cellStyle name="Notiz 28 2 3" xfId="35813" xr:uid="{2E46C859-8AEB-47E6-AAEB-A8D7BCD37828}"/>
    <cellStyle name="Notiz 28 2 3 2" xfId="40556" xr:uid="{D0D357EB-8B66-4844-8433-BCC13EFCD5EB}"/>
    <cellStyle name="Notiz 28 2 4" xfId="41416" xr:uid="{097BA80D-D4D3-4946-B48F-536B22C71E02}"/>
    <cellStyle name="Notiz 28 2 5" xfId="39539" xr:uid="{4744C765-BE57-4198-9EB9-3D913AFAAA26}"/>
    <cellStyle name="Notiz 28 20" xfId="16378" xr:uid="{C70E1560-E6BB-4D91-9FB3-14D457A7DE27}"/>
    <cellStyle name="Notiz 28 20 2" xfId="16379" xr:uid="{EA965022-10E0-4592-8B59-BD30A47D687F}"/>
    <cellStyle name="Notiz 28 20 2 2" xfId="35816" xr:uid="{C1A7B5BC-A77E-4A70-91F2-B24CF074C85F}"/>
    <cellStyle name="Notiz 28 20 3" xfId="35815" xr:uid="{030A5EB6-7988-4813-BADD-BB839B254C2C}"/>
    <cellStyle name="Notiz 28 21" xfId="16380" xr:uid="{A554E693-81ED-4163-BE0E-5AE2BE2EEB80}"/>
    <cellStyle name="Notiz 28 21 2" xfId="16381" xr:uid="{DFC0EDEE-A892-413B-9A19-5A5C4A7EE77C}"/>
    <cellStyle name="Notiz 28 21 2 2" xfId="35818" xr:uid="{689B0018-AA76-47D8-BF52-4605843060F7}"/>
    <cellStyle name="Notiz 28 21 3" xfId="35817" xr:uid="{8B8E6227-C9AE-4247-9267-DD1DF64F4C4E}"/>
    <cellStyle name="Notiz 28 22" xfId="16382" xr:uid="{58E1114E-E63A-46AB-9D5F-4200B94EF5AD}"/>
    <cellStyle name="Notiz 28 22 2" xfId="35819" xr:uid="{5A2E178B-5CE7-43F4-9096-B801E89B439C}"/>
    <cellStyle name="Notiz 28 23" xfId="16383" xr:uid="{FAE3A455-E8BE-449C-9C08-B3C7D82CE8DD}"/>
    <cellStyle name="Notiz 28 23 2" xfId="35820" xr:uid="{1CEB9212-B3D3-4A95-B853-54AE45E93AF7}"/>
    <cellStyle name="Notiz 28 24" xfId="35792" xr:uid="{10F7B4D7-D366-4A2D-AF8F-29320FB307D1}"/>
    <cellStyle name="Notiz 28 25" xfId="39538" xr:uid="{34C1B5DA-112C-49BD-89D7-F5F4354023BC}"/>
    <cellStyle name="Notiz 28 26" xfId="16355" xr:uid="{B88EFEA1-BFC8-4EB1-B040-3B226355B808}"/>
    <cellStyle name="Notiz 28 3" xfId="16384" xr:uid="{F0498CD4-8B5A-4762-8D68-C32AB77F4A8B}"/>
    <cellStyle name="Notiz 28 3 2" xfId="16385" xr:uid="{4CD9594A-58D7-4E7A-9F06-86469485FAC0}"/>
    <cellStyle name="Notiz 28 3 2 2" xfId="35822" xr:uid="{6A4C1BD5-C602-473D-9CB7-457E04AD6D6D}"/>
    <cellStyle name="Notiz 28 3 2 3" xfId="40997" xr:uid="{AED54590-F022-4E27-92E5-B83F5F37AF28}"/>
    <cellStyle name="Notiz 28 3 3" xfId="35821" xr:uid="{DFB5A967-AB1E-4355-A1C0-16C4A4877EBC}"/>
    <cellStyle name="Notiz 28 3 3 2" xfId="41856" xr:uid="{E373FB1B-F805-4DC9-803C-1879871329DF}"/>
    <cellStyle name="Notiz 28 3 4" xfId="40090" xr:uid="{0D3E5C32-BCFA-4C0F-A534-3CE3549FF827}"/>
    <cellStyle name="Notiz 28 4" xfId="16386" xr:uid="{B582B630-ED59-46BE-AAFD-451A24CEBCB9}"/>
    <cellStyle name="Notiz 28 4 2" xfId="16387" xr:uid="{B8459C48-B05D-43A8-9CA1-F2FAC0394C1C}"/>
    <cellStyle name="Notiz 28 4 2 2" xfId="35824" xr:uid="{4E3711B6-63D0-4C32-BA77-CE0D8524C9CE}"/>
    <cellStyle name="Notiz 28 4 3" xfId="35823" xr:uid="{0C3B31FD-03EC-44DA-8F6B-CA5BA70BEBC6}"/>
    <cellStyle name="Notiz 28 4 4" xfId="40555" xr:uid="{4072DAF6-5278-4967-AFCD-E017F562A2D1}"/>
    <cellStyle name="Notiz 28 5" xfId="16388" xr:uid="{8F6902F1-6A3B-41CE-8EAB-9CA92E67923A}"/>
    <cellStyle name="Notiz 28 5 2" xfId="16389" xr:uid="{2D229739-1C70-4049-8BBB-5BD746395CD8}"/>
    <cellStyle name="Notiz 28 5 2 2" xfId="35826" xr:uid="{577B79DA-F589-4E5A-A1DB-51FAAA3358A9}"/>
    <cellStyle name="Notiz 28 5 3" xfId="35825" xr:uid="{A42EDF34-E991-4866-BF63-F06C951FA0A7}"/>
    <cellStyle name="Notiz 28 5 4" xfId="41415" xr:uid="{407CD613-C6C5-4ACB-874A-509F570D5F45}"/>
    <cellStyle name="Notiz 28 6" xfId="16390" xr:uid="{299378E4-8D7A-45E7-804C-DCABDC24EE9E}"/>
    <cellStyle name="Notiz 28 6 2" xfId="16391" xr:uid="{ABCE4627-121E-4FF0-9C51-6642A2574F95}"/>
    <cellStyle name="Notiz 28 6 2 2" xfId="35828" xr:uid="{D303475B-4B36-43FF-BC1D-5D0497593842}"/>
    <cellStyle name="Notiz 28 6 3" xfId="35827" xr:uid="{DF309190-7EB3-40E6-A78E-7E23FF299742}"/>
    <cellStyle name="Notiz 28 7" xfId="16392" xr:uid="{29AFBB6A-A282-404E-9994-7A56B80FED2E}"/>
    <cellStyle name="Notiz 28 7 2" xfId="16393" xr:uid="{DF7036DF-967A-426C-8983-3F852C821C81}"/>
    <cellStyle name="Notiz 28 7 2 2" xfId="35830" xr:uid="{5F626844-5FBE-4005-9F4C-B32F46485AE1}"/>
    <cellStyle name="Notiz 28 7 3" xfId="35829" xr:uid="{DFB14F4A-E7F1-4C62-B16D-5ABFA2F41A18}"/>
    <cellStyle name="Notiz 28 8" xfId="16394" xr:uid="{132EEA26-BEA9-4E3B-AE6E-7811847E2ED1}"/>
    <cellStyle name="Notiz 28 8 2" xfId="16395" xr:uid="{56AF554E-7ECB-424C-8DC5-D6069F7E0F5F}"/>
    <cellStyle name="Notiz 28 8 2 2" xfId="35832" xr:uid="{AD152B1B-496A-4A7D-BBB8-BF45AF7173BD}"/>
    <cellStyle name="Notiz 28 8 3" xfId="35831" xr:uid="{1FBDE3CF-B702-4865-9F77-73DFA54682FC}"/>
    <cellStyle name="Notiz 28 9" xfId="16396" xr:uid="{0B7B12C2-C102-4472-85FB-15C09FBB6CFD}"/>
    <cellStyle name="Notiz 28 9 2" xfId="16397" xr:uid="{D8523177-F546-4101-977E-5DA3DBCD50C3}"/>
    <cellStyle name="Notiz 28 9 2 2" xfId="35834" xr:uid="{20C76245-6F83-430B-BC13-B2BED19ED07F}"/>
    <cellStyle name="Notiz 28 9 3" xfId="35833" xr:uid="{B0F435A9-3B9D-4A9B-8BD2-D59D373BA228}"/>
    <cellStyle name="Notiz 29" xfId="83" xr:uid="{6D52DC9B-A95E-4508-AB8F-C5D147B50837}"/>
    <cellStyle name="Notiz 29 10" xfId="16399" xr:uid="{D84E183C-0B1F-4487-99AE-B8BC0CA2D008}"/>
    <cellStyle name="Notiz 29 10 2" xfId="16400" xr:uid="{DA8AC25D-511F-4CCA-8692-DFD1028FC582}"/>
    <cellStyle name="Notiz 29 10 2 2" xfId="35837" xr:uid="{660D833F-FCC9-469B-909D-813A4771DCC9}"/>
    <cellStyle name="Notiz 29 10 3" xfId="35836" xr:uid="{CCC23C03-3F6A-43E3-B955-8A9B07138278}"/>
    <cellStyle name="Notiz 29 11" xfId="16401" xr:uid="{F7E11221-8C67-4F2F-99FB-8EAFECD370AF}"/>
    <cellStyle name="Notiz 29 11 2" xfId="16402" xr:uid="{0D298B7D-585D-4AAA-A9E3-8F386024F2B0}"/>
    <cellStyle name="Notiz 29 11 2 2" xfId="35839" xr:uid="{FE327283-3267-4667-8E20-3D4E31E1223E}"/>
    <cellStyle name="Notiz 29 11 3" xfId="35838" xr:uid="{07124B98-114E-4472-B376-3A1AC86956B9}"/>
    <cellStyle name="Notiz 29 12" xfId="16403" xr:uid="{FFAE3E29-D8D5-4930-AD14-01C31B418E7B}"/>
    <cellStyle name="Notiz 29 12 2" xfId="16404" xr:uid="{D15538D1-B7AE-4BD3-81FC-1C8E63438CD7}"/>
    <cellStyle name="Notiz 29 12 2 2" xfId="35841" xr:uid="{D5A221E6-772B-4E81-9DA1-A80B8D9F6C85}"/>
    <cellStyle name="Notiz 29 12 3" xfId="35840" xr:uid="{16582969-00E1-47F3-800B-990CFADB2E6B}"/>
    <cellStyle name="Notiz 29 13" xfId="16405" xr:uid="{475B4941-7376-4EB4-8F70-43D3DB9DAD20}"/>
    <cellStyle name="Notiz 29 13 2" xfId="16406" xr:uid="{24E2BD3C-7C6D-4FB4-9D04-6362D76AEF97}"/>
    <cellStyle name="Notiz 29 13 2 2" xfId="35843" xr:uid="{90EF24D6-55FD-4E0C-9469-C243A9B9D072}"/>
    <cellStyle name="Notiz 29 13 3" xfId="35842" xr:uid="{5CEBDF87-7E53-4323-86E2-87F120DA2CC1}"/>
    <cellStyle name="Notiz 29 14" xfId="16407" xr:uid="{7362C2E0-F048-40F1-9D91-30A202A5ABD3}"/>
    <cellStyle name="Notiz 29 14 2" xfId="16408" xr:uid="{81974432-51D2-474C-A027-1BE4CB4D4104}"/>
    <cellStyle name="Notiz 29 14 2 2" xfId="35845" xr:uid="{C8DA554F-A824-4D99-8C62-1A05D3178C6D}"/>
    <cellStyle name="Notiz 29 14 3" xfId="35844" xr:uid="{787B158B-0F20-4D1F-82C7-C4F0A3CF0287}"/>
    <cellStyle name="Notiz 29 15" xfId="16409" xr:uid="{3AA73A22-FFB2-444D-B658-04450DDE2075}"/>
    <cellStyle name="Notiz 29 15 2" xfId="16410" xr:uid="{6333EB9B-3E47-4F21-9845-F2F9F231F89D}"/>
    <cellStyle name="Notiz 29 15 2 2" xfId="35847" xr:uid="{65C320D4-9B08-4EB2-9FDC-700F7BA910A5}"/>
    <cellStyle name="Notiz 29 15 3" xfId="35846" xr:uid="{936091DC-1AB0-4350-BA28-999B6C2D8F46}"/>
    <cellStyle name="Notiz 29 16" xfId="16411" xr:uid="{B1502C51-F91D-4FDB-843D-1C8EE5F73E7E}"/>
    <cellStyle name="Notiz 29 16 2" xfId="16412" xr:uid="{A056EEBE-11EA-475B-AC7F-5F46709AA23B}"/>
    <cellStyle name="Notiz 29 16 2 2" xfId="35849" xr:uid="{0EB1E6F0-319F-4EAB-A0D0-835A67739C92}"/>
    <cellStyle name="Notiz 29 16 3" xfId="35848" xr:uid="{6431B0B7-7487-4C30-94CB-4CB157A52F23}"/>
    <cellStyle name="Notiz 29 17" xfId="16413" xr:uid="{75130419-FC5A-4B81-B0AC-C0866972F42C}"/>
    <cellStyle name="Notiz 29 17 2" xfId="16414" xr:uid="{9273AC89-0B0C-4252-A6BC-65CFA0163E7B}"/>
    <cellStyle name="Notiz 29 17 2 2" xfId="35851" xr:uid="{D8E166FA-5752-4752-90F8-C512AC8B910E}"/>
    <cellStyle name="Notiz 29 17 3" xfId="35850" xr:uid="{5DDDD59A-87B1-40FA-A107-3E7153198632}"/>
    <cellStyle name="Notiz 29 18" xfId="16415" xr:uid="{E92BF579-7B4D-4C6A-8D03-32BF191F6E67}"/>
    <cellStyle name="Notiz 29 18 2" xfId="16416" xr:uid="{CAF96242-7814-4987-8EAB-B838203681C4}"/>
    <cellStyle name="Notiz 29 18 2 2" xfId="35853" xr:uid="{266643ED-73B9-40F4-9733-AE5CA3A686CC}"/>
    <cellStyle name="Notiz 29 18 3" xfId="35852" xr:uid="{72866988-8CEC-4F95-B939-90943DD036BC}"/>
    <cellStyle name="Notiz 29 19" xfId="16417" xr:uid="{FC4C04C3-8668-40D4-A699-749A2855BBCD}"/>
    <cellStyle name="Notiz 29 19 2" xfId="16418" xr:uid="{CF47B6D1-635F-4BA9-9099-E46FF0EA2FFC}"/>
    <cellStyle name="Notiz 29 19 2 2" xfId="35855" xr:uid="{01CE2004-CB23-4842-8BB7-1FF7CF2F73CD}"/>
    <cellStyle name="Notiz 29 19 3" xfId="35854" xr:uid="{3AEE7CBD-666E-4BF1-863D-AAC216B7FB2A}"/>
    <cellStyle name="Notiz 29 2" xfId="16419" xr:uid="{45D8BDBE-94EE-402B-B2F7-20B1CA9184CF}"/>
    <cellStyle name="Notiz 29 2 2" xfId="16420" xr:uid="{7BE10142-FC0E-4B4B-846D-E658BCA7070B}"/>
    <cellStyle name="Notiz 29 2 2 2" xfId="35857" xr:uid="{3713880F-D876-46AE-9653-AFF6E3316C70}"/>
    <cellStyle name="Notiz 29 2 2 2 2" xfId="41000" xr:uid="{D28717EF-7C35-4BC7-981E-2B18FD5396CA}"/>
    <cellStyle name="Notiz 29 2 2 3" xfId="41859" xr:uid="{C190F1ED-5724-4C28-AB39-ED6CA9467CE1}"/>
    <cellStyle name="Notiz 29 2 2 4" xfId="40093" xr:uid="{913AAE0A-2406-42AE-80DA-873FD4BB1E1F}"/>
    <cellStyle name="Notiz 29 2 3" xfId="35856" xr:uid="{B0DF7F5B-960A-49DB-B50D-5822BB22E5D6}"/>
    <cellStyle name="Notiz 29 2 3 2" xfId="40558" xr:uid="{814BA612-70F5-4C5A-BFE9-5C8172546FCC}"/>
    <cellStyle name="Notiz 29 2 4" xfId="41418" xr:uid="{22788E38-6866-487F-96D5-21D38E052A0D}"/>
    <cellStyle name="Notiz 29 2 5" xfId="39541" xr:uid="{073351DA-7369-4F2F-973F-7DBA7C503AE0}"/>
    <cellStyle name="Notiz 29 20" xfId="16421" xr:uid="{4CA44A9D-F0F2-4512-AA3E-6DBEBC8734B9}"/>
    <cellStyle name="Notiz 29 20 2" xfId="16422" xr:uid="{D2D19DB2-D83D-450F-A439-B9291EB28E04}"/>
    <cellStyle name="Notiz 29 20 2 2" xfId="35859" xr:uid="{62B70A77-7847-4FBF-B974-A2ED2EE8DCC2}"/>
    <cellStyle name="Notiz 29 20 3" xfId="35858" xr:uid="{A3CD20F5-C2F3-488A-8D66-891F9A3DD484}"/>
    <cellStyle name="Notiz 29 21" xfId="16423" xr:uid="{8D824E6F-718E-4614-8847-D06119ED5884}"/>
    <cellStyle name="Notiz 29 21 2" xfId="16424" xr:uid="{71703DEA-459A-438F-AF02-965414290D28}"/>
    <cellStyle name="Notiz 29 21 2 2" xfId="35861" xr:uid="{4D0A1CE8-E5C4-46C8-9520-F96548F9903C}"/>
    <cellStyle name="Notiz 29 21 3" xfId="35860" xr:uid="{B0F89081-159A-4E4F-AAFA-E5FCA6A3535B}"/>
    <cellStyle name="Notiz 29 22" xfId="16425" xr:uid="{4C08B14D-D120-4BF0-9402-24FF39792B05}"/>
    <cellStyle name="Notiz 29 22 2" xfId="35862" xr:uid="{F84DBE97-5E0A-4366-8DFC-5DB81FA08AD3}"/>
    <cellStyle name="Notiz 29 23" xfId="16426" xr:uid="{FBEF2B04-4613-4FED-B080-0189B4555933}"/>
    <cellStyle name="Notiz 29 23 2" xfId="35863" xr:uid="{81D92D6C-0E5D-42E8-9260-6535684336C9}"/>
    <cellStyle name="Notiz 29 24" xfId="35835" xr:uid="{B12296F7-D32D-45F5-B6B3-94F1F43D17C6}"/>
    <cellStyle name="Notiz 29 25" xfId="39540" xr:uid="{1C0E86E2-B78D-40F7-9979-AE866E1F2D26}"/>
    <cellStyle name="Notiz 29 26" xfId="16398" xr:uid="{155022A4-7EEC-4BE9-8C29-557504E9074E}"/>
    <cellStyle name="Notiz 29 3" xfId="16427" xr:uid="{3DB17154-FA68-49A0-8782-C73A738ABD7F}"/>
    <cellStyle name="Notiz 29 3 2" xfId="16428" xr:uid="{7929F948-D273-44D5-A74E-89F5CA471F5A}"/>
    <cellStyle name="Notiz 29 3 2 2" xfId="35865" xr:uid="{79FE742C-EB0A-4DA4-926F-30093C4ABA4E}"/>
    <cellStyle name="Notiz 29 3 2 3" xfId="40999" xr:uid="{C1C64DFE-A1A0-4A89-B042-CEADD1E19071}"/>
    <cellStyle name="Notiz 29 3 3" xfId="35864" xr:uid="{9EC424C9-59BF-4A68-8743-2BB4EE0EC9C5}"/>
    <cellStyle name="Notiz 29 3 3 2" xfId="41858" xr:uid="{87009D49-D51D-4E45-8043-759B7CB67E4F}"/>
    <cellStyle name="Notiz 29 3 4" xfId="40092" xr:uid="{46B7232D-798E-48A5-B459-A5C1AC73A034}"/>
    <cellStyle name="Notiz 29 4" xfId="16429" xr:uid="{E0B50CA2-8A43-4A0B-AFFC-7ED47BCB81DC}"/>
    <cellStyle name="Notiz 29 4 2" xfId="16430" xr:uid="{B0D45EEA-31D3-48CC-8105-2FD0980FC8CB}"/>
    <cellStyle name="Notiz 29 4 2 2" xfId="35867" xr:uid="{46CC4DD9-21AB-4879-A339-544F54CCB2E1}"/>
    <cellStyle name="Notiz 29 4 3" xfId="35866" xr:uid="{BF3F8E3F-1DB9-43EC-B3E2-0CBEA0552852}"/>
    <cellStyle name="Notiz 29 4 4" xfId="40557" xr:uid="{C3F75D67-FBFE-456A-8E3A-5211F887D544}"/>
    <cellStyle name="Notiz 29 5" xfId="16431" xr:uid="{1272D919-12D4-401A-82A0-41B0D79E4469}"/>
    <cellStyle name="Notiz 29 5 2" xfId="16432" xr:uid="{BBABAEF8-0F98-41E3-BECC-992820C6A361}"/>
    <cellStyle name="Notiz 29 5 2 2" xfId="35869" xr:uid="{34A5011C-8BEE-4490-9CD7-730D124875F1}"/>
    <cellStyle name="Notiz 29 5 3" xfId="35868" xr:uid="{FDC70FFB-7C86-4EB9-A775-475C702FD9D1}"/>
    <cellStyle name="Notiz 29 5 4" xfId="41417" xr:uid="{188EEC88-62DB-4E39-BBB3-A46869558532}"/>
    <cellStyle name="Notiz 29 6" xfId="16433" xr:uid="{02722391-C3B2-44D8-B4F1-946CBD4E142D}"/>
    <cellStyle name="Notiz 29 6 2" xfId="16434" xr:uid="{B5FDC034-03E9-46B6-962F-4A169F4AF5C1}"/>
    <cellStyle name="Notiz 29 6 2 2" xfId="35871" xr:uid="{B3F01FE3-018D-4C03-82E0-141D6B70FF7E}"/>
    <cellStyle name="Notiz 29 6 3" xfId="35870" xr:uid="{9E5D0B01-126A-45FA-8852-E05BDCB88975}"/>
    <cellStyle name="Notiz 29 7" xfId="16435" xr:uid="{B53B7147-29EA-4A38-8B23-2741C21B790E}"/>
    <cellStyle name="Notiz 29 7 2" xfId="16436" xr:uid="{D341D0EB-06EF-4DF7-AE19-50C444AD7766}"/>
    <cellStyle name="Notiz 29 7 2 2" xfId="35873" xr:uid="{FFA43468-899B-45A0-B3EA-2DC37A943020}"/>
    <cellStyle name="Notiz 29 7 3" xfId="35872" xr:uid="{F6DA84BE-7E4F-4E8E-A436-B25477B42B6F}"/>
    <cellStyle name="Notiz 29 8" xfId="16437" xr:uid="{AEC9339E-157A-4B6E-A700-04AC496AD2A6}"/>
    <cellStyle name="Notiz 29 8 2" xfId="16438" xr:uid="{DDB05EAB-7C40-41BC-A783-5F0BA80AB569}"/>
    <cellStyle name="Notiz 29 8 2 2" xfId="35875" xr:uid="{7B355D02-59FA-41F6-A2B8-E9759F3D1E0C}"/>
    <cellStyle name="Notiz 29 8 3" xfId="35874" xr:uid="{8DAF3620-F4D1-4452-9891-637FA10CB0AB}"/>
    <cellStyle name="Notiz 29 9" xfId="16439" xr:uid="{73EF4E0C-B7AB-4414-ABFB-DB52F8C825F0}"/>
    <cellStyle name="Notiz 29 9 2" xfId="16440" xr:uid="{7298C7B3-070B-4FA9-9D75-D98889AAABCD}"/>
    <cellStyle name="Notiz 29 9 2 2" xfId="35877" xr:uid="{F3BCDED5-D6C3-4DCE-B64E-04807125EB57}"/>
    <cellStyle name="Notiz 29 9 3" xfId="35876" xr:uid="{13A85DF5-E4C9-485B-AA71-3CB4B1221722}"/>
    <cellStyle name="Notiz 3" xfId="62" xr:uid="{EFB41E3E-6E14-4DB6-8F4D-C17BBC8A2350}"/>
    <cellStyle name="Notiz 3 10" xfId="16442" xr:uid="{39082CAF-86B9-47DB-85B5-0AD5B6C7D581}"/>
    <cellStyle name="Notiz 3 10 2" xfId="16443" xr:uid="{033912B7-F205-4351-8F77-31DB890E2959}"/>
    <cellStyle name="Notiz 3 10 2 2" xfId="35880" xr:uid="{401B88D1-D946-41B1-858E-191A4AF4ADC5}"/>
    <cellStyle name="Notiz 3 10 3" xfId="35879" xr:uid="{A354D850-3757-4436-A77D-5BBA46841CCB}"/>
    <cellStyle name="Notiz 3 11" xfId="16444" xr:uid="{57C47391-8221-4825-85AF-A484B0BEF887}"/>
    <cellStyle name="Notiz 3 11 2" xfId="16445" xr:uid="{C7912571-3326-42C4-83DC-1393665B8D48}"/>
    <cellStyle name="Notiz 3 11 2 2" xfId="35882" xr:uid="{5E32DFBF-C6EE-4810-B2E7-594E5BCACDDE}"/>
    <cellStyle name="Notiz 3 11 3" xfId="35881" xr:uid="{20C977D7-63B7-4E79-B0B0-5BF2A7FF997D}"/>
    <cellStyle name="Notiz 3 12" xfId="16446" xr:uid="{563FD6EE-4F7A-4A1A-B953-50A6065B205A}"/>
    <cellStyle name="Notiz 3 12 2" xfId="16447" xr:uid="{AFEE098B-61E3-4A09-88D9-F8D4C41B066C}"/>
    <cellStyle name="Notiz 3 12 2 2" xfId="35884" xr:uid="{5540F800-DAC9-4725-A99C-67EE73C334FC}"/>
    <cellStyle name="Notiz 3 12 3" xfId="35883" xr:uid="{BA26C071-41DB-4F59-AD8B-0B9C5C4E6E7C}"/>
    <cellStyle name="Notiz 3 13" xfId="16448" xr:uid="{30CBDE7F-2490-430C-BA6B-F9CACA3F953D}"/>
    <cellStyle name="Notiz 3 13 2" xfId="16449" xr:uid="{EDA2489B-5346-4FB9-AC62-5C717B95058E}"/>
    <cellStyle name="Notiz 3 13 2 2" xfId="35886" xr:uid="{01E6E694-5789-419E-A143-92D682CFD423}"/>
    <cellStyle name="Notiz 3 13 3" xfId="35885" xr:uid="{C160B94D-BACB-4F41-83BB-F9AC65208BD0}"/>
    <cellStyle name="Notiz 3 14" xfId="16450" xr:uid="{DE8D048E-08FC-4676-8963-969C1FE0AFD1}"/>
    <cellStyle name="Notiz 3 14 2" xfId="16451" xr:uid="{FB8BC687-CDC2-4B5B-AB1D-7C86D26834D4}"/>
    <cellStyle name="Notiz 3 14 2 2" xfId="35888" xr:uid="{D15F2CF0-CE80-4BC8-AC23-68AE2F0BB0BB}"/>
    <cellStyle name="Notiz 3 14 3" xfId="35887" xr:uid="{1E254945-2658-499A-8E94-3F8FA38DBF55}"/>
    <cellStyle name="Notiz 3 15" xfId="16452" xr:uid="{8534C38A-355D-4BFA-813B-C10B88142A2A}"/>
    <cellStyle name="Notiz 3 15 2" xfId="16453" xr:uid="{A8325103-A6B1-4270-A28E-D177E43971C0}"/>
    <cellStyle name="Notiz 3 15 2 2" xfId="35890" xr:uid="{5D0E6D9B-8504-4386-9E3E-3486CE6148E9}"/>
    <cellStyle name="Notiz 3 15 3" xfId="35889" xr:uid="{B95C378B-1189-48B3-9167-4F371F8C137A}"/>
    <cellStyle name="Notiz 3 16" xfId="16454" xr:uid="{9E26A3A0-3F37-4EB3-BF62-FC4E42E8ADE4}"/>
    <cellStyle name="Notiz 3 16 2" xfId="16455" xr:uid="{52FD3EF3-E5B3-4449-B751-4F07DCC2C949}"/>
    <cellStyle name="Notiz 3 16 2 2" xfId="35892" xr:uid="{FBF47AA9-BB4E-45C1-B95D-0C3F2AAC2084}"/>
    <cellStyle name="Notiz 3 16 3" xfId="35891" xr:uid="{B88F73F1-9D7F-49E6-93BE-E82A72281364}"/>
    <cellStyle name="Notiz 3 17" xfId="16456" xr:uid="{1C6B95B2-5027-4526-91EB-830697840C10}"/>
    <cellStyle name="Notiz 3 17 2" xfId="16457" xr:uid="{6403466F-E12A-4BAE-AEEC-301A5069FA69}"/>
    <cellStyle name="Notiz 3 17 2 2" xfId="35894" xr:uid="{4C4B2914-1D62-405A-A903-8BF5D8A30FD4}"/>
    <cellStyle name="Notiz 3 17 3" xfId="35893" xr:uid="{DD9AE6F5-2715-4397-B479-0083A67F4377}"/>
    <cellStyle name="Notiz 3 18" xfId="16458" xr:uid="{8B602B99-DBBE-4A6C-89BA-4046D7D1E8A8}"/>
    <cellStyle name="Notiz 3 18 2" xfId="16459" xr:uid="{847CE40E-0F1E-4426-B817-C5BF295A0479}"/>
    <cellStyle name="Notiz 3 18 2 2" xfId="35896" xr:uid="{31FA2C6A-6E1F-4DB9-837A-61656439DD5B}"/>
    <cellStyle name="Notiz 3 18 3" xfId="35895" xr:uid="{80649B0F-6FA7-4751-83F6-756B38C70ED5}"/>
    <cellStyle name="Notiz 3 19" xfId="16460" xr:uid="{EF01CD40-4CFC-4124-BE2F-946D6BDAC291}"/>
    <cellStyle name="Notiz 3 19 2" xfId="16461" xr:uid="{382EB867-BA0A-4B43-B799-5D881FD21BEC}"/>
    <cellStyle name="Notiz 3 19 2 2" xfId="35898" xr:uid="{C67954EC-D18A-4E2B-A027-1EFF51F5A045}"/>
    <cellStyle name="Notiz 3 19 3" xfId="35897" xr:uid="{00382FBE-EE80-4E32-A976-962CA3232BC1}"/>
    <cellStyle name="Notiz 3 2" xfId="16462" xr:uid="{441E76BD-AD53-4758-9E6F-56CF678D78F9}"/>
    <cellStyle name="Notiz 3 2 10" xfId="16463" xr:uid="{6CF5042F-6E57-4C74-8D32-AA2998D4DAFA}"/>
    <cellStyle name="Notiz 3 2 10 2" xfId="16464" xr:uid="{E55FB61D-B790-4AF3-9C52-864AC6D8FBD8}"/>
    <cellStyle name="Notiz 3 2 10 2 2" xfId="35901" xr:uid="{382F7AA7-37E3-4439-B002-609B79ADF091}"/>
    <cellStyle name="Notiz 3 2 10 3" xfId="35900" xr:uid="{250950C0-4273-4C11-B4A2-F043337FE2A7}"/>
    <cellStyle name="Notiz 3 2 11" xfId="16465" xr:uid="{9E2F0134-661D-49B3-8976-A490AA70174C}"/>
    <cellStyle name="Notiz 3 2 11 2" xfId="16466" xr:uid="{EAA077F3-6508-4B84-AFF0-6F613EDAE3F0}"/>
    <cellStyle name="Notiz 3 2 11 2 2" xfId="35903" xr:uid="{E0CD72DE-DDE1-4602-86F9-74F10AFEFD9F}"/>
    <cellStyle name="Notiz 3 2 11 3" xfId="35902" xr:uid="{7B766D3A-5667-475C-BC20-7A016A607E7A}"/>
    <cellStyle name="Notiz 3 2 12" xfId="16467" xr:uid="{66151DB5-B1A1-4B4C-97BD-34714EF4115A}"/>
    <cellStyle name="Notiz 3 2 12 2" xfId="16468" xr:uid="{7FA40CB4-8F19-4130-AC1B-9BF67D897477}"/>
    <cellStyle name="Notiz 3 2 12 2 2" xfId="35905" xr:uid="{10DCFBAF-2B84-4C78-8835-E27720C4A64A}"/>
    <cellStyle name="Notiz 3 2 12 3" xfId="35904" xr:uid="{17FC4CCB-EAAB-4E01-B8A9-F58D56510658}"/>
    <cellStyle name="Notiz 3 2 13" xfId="16469" xr:uid="{F3FA64FB-95AF-47AE-AA58-9A5DE7AB7CA6}"/>
    <cellStyle name="Notiz 3 2 13 2" xfId="16470" xr:uid="{D129D740-E928-4D62-ADDF-427926AF778F}"/>
    <cellStyle name="Notiz 3 2 13 2 2" xfId="35907" xr:uid="{5A54041D-6179-440B-ACE6-FE44E998F169}"/>
    <cellStyle name="Notiz 3 2 13 3" xfId="35906" xr:uid="{406B1F68-38B3-4964-A648-7E4139B3BF74}"/>
    <cellStyle name="Notiz 3 2 14" xfId="16471" xr:uid="{E27DB4E6-7E7C-4449-91A1-F231DEBC801A}"/>
    <cellStyle name="Notiz 3 2 14 2" xfId="16472" xr:uid="{20B0C49D-2AA6-469F-B347-FBC7CAAF379C}"/>
    <cellStyle name="Notiz 3 2 14 2 2" xfId="35909" xr:uid="{22F58945-3541-4E91-BBC7-06FFEAAD41AB}"/>
    <cellStyle name="Notiz 3 2 14 3" xfId="35908" xr:uid="{3066E746-96D8-4CC7-96E5-FFFBFDF46602}"/>
    <cellStyle name="Notiz 3 2 15" xfId="16473" xr:uid="{521A4EF9-F2BB-4727-B7F4-AD4F48853885}"/>
    <cellStyle name="Notiz 3 2 15 2" xfId="16474" xr:uid="{BD44E697-F214-4245-9271-9C3FE5AE7B81}"/>
    <cellStyle name="Notiz 3 2 15 2 2" xfId="35911" xr:uid="{99BF556D-0E50-4018-A912-24D8E5B3470E}"/>
    <cellStyle name="Notiz 3 2 15 3" xfId="35910" xr:uid="{E4A5AEB5-517E-4F84-B803-482981687B9B}"/>
    <cellStyle name="Notiz 3 2 16" xfId="16475" xr:uid="{0B888E39-03F3-43F2-879D-BFA86D777901}"/>
    <cellStyle name="Notiz 3 2 16 2" xfId="16476" xr:uid="{649F9578-7ADB-4793-8FAA-0FEB94743B46}"/>
    <cellStyle name="Notiz 3 2 16 2 2" xfId="35913" xr:uid="{E1F7EB93-CAFC-4F06-A542-46C18CCA2CED}"/>
    <cellStyle name="Notiz 3 2 16 3" xfId="35912" xr:uid="{F35D6618-4D3D-46F9-9F68-FB9F81403241}"/>
    <cellStyle name="Notiz 3 2 17" xfId="16477" xr:uid="{D555EFD6-6718-4DA8-887D-B61D102432C4}"/>
    <cellStyle name="Notiz 3 2 17 2" xfId="16478" xr:uid="{45143AD2-A73D-43BC-9608-2D84959A4EDE}"/>
    <cellStyle name="Notiz 3 2 17 2 2" xfId="35915" xr:uid="{13CAECB2-3847-4AF5-B646-F1DCFDC966FC}"/>
    <cellStyle name="Notiz 3 2 17 3" xfId="35914" xr:uid="{CBB11520-3BCA-406F-B4C7-ED9E60A64FDA}"/>
    <cellStyle name="Notiz 3 2 18" xfId="16479" xr:uid="{3535795B-A228-42BA-B0CA-E3C57AFAC7F5}"/>
    <cellStyle name="Notiz 3 2 18 2" xfId="16480" xr:uid="{94B05438-ECD2-47C7-B593-1B0D11E02CEF}"/>
    <cellStyle name="Notiz 3 2 18 2 2" xfId="35917" xr:uid="{5E56003C-9CC9-4331-A3AD-C89110A7B6DA}"/>
    <cellStyle name="Notiz 3 2 18 3" xfId="35916" xr:uid="{E2283459-925E-40C8-94E3-0CB1EF56F2E5}"/>
    <cellStyle name="Notiz 3 2 19" xfId="16481" xr:uid="{6BC62545-E3B8-46E5-9696-F56234FB6CBF}"/>
    <cellStyle name="Notiz 3 2 19 2" xfId="16482" xr:uid="{D4D3D443-727A-4937-8E5B-207951E6511C}"/>
    <cellStyle name="Notiz 3 2 19 2 2" xfId="35919" xr:uid="{29314ED8-B0B4-4665-A8FE-A798BF864724}"/>
    <cellStyle name="Notiz 3 2 19 3" xfId="35918" xr:uid="{D7DF535A-1DD8-4F7A-8076-B7EB32EF2727}"/>
    <cellStyle name="Notiz 3 2 2" xfId="16483" xr:uid="{FE31D801-6BC5-4AAA-82A3-9A4BC0E8E8C2}"/>
    <cellStyle name="Notiz 3 2 2 2" xfId="16484" xr:uid="{1005BE97-6DFA-4B86-8096-FFCEF7502A5F}"/>
    <cellStyle name="Notiz 3 2 2 2 2" xfId="16485" xr:uid="{506568D0-AA12-43E5-903F-BB1C822EDDFB}"/>
    <cellStyle name="Notiz 3 2 2 2 2 2" xfId="35922" xr:uid="{F86AA6A1-58FC-4B39-960C-B26B52014D40}"/>
    <cellStyle name="Notiz 3 2 2 2 3" xfId="35921" xr:uid="{8AAF5085-21A2-4CCB-9D9A-4589DF13D88A}"/>
    <cellStyle name="Notiz 3 2 2 2 4" xfId="41002" xr:uid="{D1F1E747-6D68-4352-AC8B-9F202C40369A}"/>
    <cellStyle name="Notiz 3 2 2 3" xfId="16486" xr:uid="{611CC483-86AB-4122-8887-3692411DF1A0}"/>
    <cellStyle name="Notiz 3 2 2 3 2" xfId="35923" xr:uid="{C39511B5-5570-44EB-8F03-679C41402B90}"/>
    <cellStyle name="Notiz 3 2 2 3 3" xfId="41861" xr:uid="{050D0D4B-7935-432C-B171-F488C90D7488}"/>
    <cellStyle name="Notiz 3 2 2 4" xfId="35920" xr:uid="{EDFC2DB2-1F0C-4A21-B124-C2997C1091C2}"/>
    <cellStyle name="Notiz 3 2 2 5" xfId="40095" xr:uid="{D65EB699-2E5A-4513-864D-0B351A38E5E3}"/>
    <cellStyle name="Notiz 3 2 20" xfId="16487" xr:uid="{1776071A-0BAB-4E31-A93F-825FC8537118}"/>
    <cellStyle name="Notiz 3 2 20 2" xfId="16488" xr:uid="{22D0C019-8FB6-47B5-A65C-D39BD38D4C50}"/>
    <cellStyle name="Notiz 3 2 20 2 2" xfId="35925" xr:uid="{F5F92C61-8209-481D-B4A4-0651385279A0}"/>
    <cellStyle name="Notiz 3 2 20 3" xfId="35924" xr:uid="{454EF3A9-B86E-47D5-BD44-E03990A5F9CB}"/>
    <cellStyle name="Notiz 3 2 21" xfId="16489" xr:uid="{649411E2-BBCB-4FAF-89C5-8E26EFD6C8CB}"/>
    <cellStyle name="Notiz 3 2 21 2" xfId="16490" xr:uid="{76DE1066-0561-4586-919F-9897A6A0F4BA}"/>
    <cellStyle name="Notiz 3 2 21 2 2" xfId="35927" xr:uid="{EB7F654A-E885-405A-92F1-EC222D784358}"/>
    <cellStyle name="Notiz 3 2 21 3" xfId="35926" xr:uid="{E46798BC-27E7-4E5D-9DF8-E1AA9A81DFE3}"/>
    <cellStyle name="Notiz 3 2 22" xfId="16491" xr:uid="{8EB0314A-E8B0-4D5C-826E-797A242C9399}"/>
    <cellStyle name="Notiz 3 2 22 2" xfId="35928" xr:uid="{58359474-3901-49D7-B605-EF2EB0C16898}"/>
    <cellStyle name="Notiz 3 2 23" xfId="35899" xr:uid="{8D04341B-1807-469A-BA92-40FCD5CB776B}"/>
    <cellStyle name="Notiz 3 2 24" xfId="39543" xr:uid="{CFC85BFE-7AFD-4749-98E9-22D79CD23027}"/>
    <cellStyle name="Notiz 3 2 3" xfId="16492" xr:uid="{FD6071B8-D75E-49AB-895F-5D3333807BCD}"/>
    <cellStyle name="Notiz 3 2 3 2" xfId="16493" xr:uid="{6E237373-3E4C-4328-830C-D5F3E1E29A49}"/>
    <cellStyle name="Notiz 3 2 3 2 2" xfId="35930" xr:uid="{86F372DE-9E15-4683-AC08-A702C2C792FE}"/>
    <cellStyle name="Notiz 3 2 3 3" xfId="35929" xr:uid="{081B386C-A8D9-4A53-AB9D-4C1801B418ED}"/>
    <cellStyle name="Notiz 3 2 3 4" xfId="40560" xr:uid="{DC631CB0-327A-4B31-9264-8D5E2DDB7C91}"/>
    <cellStyle name="Notiz 3 2 4" xfId="16494" xr:uid="{4D4A8439-5E24-4508-8856-6D2854AD28D7}"/>
    <cellStyle name="Notiz 3 2 4 2" xfId="16495" xr:uid="{A2E36051-F7F5-4B7F-A14B-6CCE53FE20D5}"/>
    <cellStyle name="Notiz 3 2 4 2 2" xfId="35932" xr:uid="{BE54CBB7-8173-4BA8-A583-2FC596F35D08}"/>
    <cellStyle name="Notiz 3 2 4 3" xfId="35931" xr:uid="{561C6F3D-8BA7-49BC-B6DB-8D47289F8150}"/>
    <cellStyle name="Notiz 3 2 4 4" xfId="41420" xr:uid="{5BE5405D-2E39-4F27-8935-9F606173A85D}"/>
    <cellStyle name="Notiz 3 2 5" xfId="16496" xr:uid="{F9AA86BA-E185-403C-B335-334A3338EF2A}"/>
    <cellStyle name="Notiz 3 2 5 2" xfId="16497" xr:uid="{50F75563-82CF-4488-B217-5CFC3632EABD}"/>
    <cellStyle name="Notiz 3 2 5 2 2" xfId="35934" xr:uid="{73536CA9-9571-4882-82E7-686CB632BA2E}"/>
    <cellStyle name="Notiz 3 2 5 3" xfId="35933" xr:uid="{2EECB087-4DB9-4BE3-B853-CFE0E0928BD9}"/>
    <cellStyle name="Notiz 3 2 6" xfId="16498" xr:uid="{E5067C9F-7AE6-4387-B8AC-066D778133F3}"/>
    <cellStyle name="Notiz 3 2 6 2" xfId="16499" xr:uid="{F5A811BF-E568-4B9E-A8A9-650BE10D4973}"/>
    <cellStyle name="Notiz 3 2 6 2 2" xfId="35936" xr:uid="{FD463299-D5F1-4EE6-AB7A-0CDFA79D3BFA}"/>
    <cellStyle name="Notiz 3 2 6 3" xfId="35935" xr:uid="{97D8A129-3238-452E-BF71-CE27616CB4E4}"/>
    <cellStyle name="Notiz 3 2 7" xfId="16500" xr:uid="{2B4539C6-297B-431F-89BD-B13A31C528FD}"/>
    <cellStyle name="Notiz 3 2 7 2" xfId="16501" xr:uid="{1DBB8B40-8567-40F2-A03D-A0CB9952E903}"/>
    <cellStyle name="Notiz 3 2 7 2 2" xfId="35938" xr:uid="{CA0F4556-5B09-455A-BB98-E692EC6BAB16}"/>
    <cellStyle name="Notiz 3 2 7 3" xfId="35937" xr:uid="{EA369DAE-3D9F-418B-8437-B1EF230F7652}"/>
    <cellStyle name="Notiz 3 2 8" xfId="16502" xr:uid="{4FD6CC1A-6506-4656-BC7C-BDEC5C490D2C}"/>
    <cellStyle name="Notiz 3 2 8 2" xfId="16503" xr:uid="{B5E9ED43-631E-4A2A-982D-910AB9BDCB90}"/>
    <cellStyle name="Notiz 3 2 8 2 2" xfId="35940" xr:uid="{0A65BBE8-39B8-41CA-88C8-EAB30D3BD40E}"/>
    <cellStyle name="Notiz 3 2 8 3" xfId="35939" xr:uid="{E5BAD248-72F5-4EFE-801E-B29F2C4F1151}"/>
    <cellStyle name="Notiz 3 2 9" xfId="16504" xr:uid="{A845F982-D776-40A7-8FB7-7F9E35318E8F}"/>
    <cellStyle name="Notiz 3 2 9 2" xfId="16505" xr:uid="{CF4D590D-D50D-4A6B-93FE-1EB652EA52EC}"/>
    <cellStyle name="Notiz 3 2 9 2 2" xfId="35942" xr:uid="{E192AB76-1967-4A1E-A9A1-23245BAB3937}"/>
    <cellStyle name="Notiz 3 2 9 3" xfId="35941" xr:uid="{898BB205-84E3-4448-AC79-D8A4A4E6A715}"/>
    <cellStyle name="Notiz 3 20" xfId="16506" xr:uid="{2E0C4059-009C-4037-98BC-135A71EB7E3C}"/>
    <cellStyle name="Notiz 3 20 2" xfId="16507" xr:uid="{83672F85-0432-47C3-A1D5-3C5FDC6E0B86}"/>
    <cellStyle name="Notiz 3 20 2 2" xfId="35944" xr:uid="{B56B0B92-3D13-4CA9-82AA-8FE10BCB94C9}"/>
    <cellStyle name="Notiz 3 20 3" xfId="35943" xr:uid="{498BE3E6-6802-43D3-86A7-1057DB65E39D}"/>
    <cellStyle name="Notiz 3 21" xfId="16508" xr:uid="{A8125E8F-5C45-4285-B98F-DB03AB8EBF48}"/>
    <cellStyle name="Notiz 3 21 2" xfId="16509" xr:uid="{EFAE815C-CCF7-493B-B34E-00EBD1140C39}"/>
    <cellStyle name="Notiz 3 21 2 2" xfId="35946" xr:uid="{9E1772D0-1399-494D-AEB7-C3453EFF6E6B}"/>
    <cellStyle name="Notiz 3 21 3" xfId="35945" xr:uid="{69DB23CA-046B-4C67-B803-FA242B2D600B}"/>
    <cellStyle name="Notiz 3 22" xfId="16510" xr:uid="{4C5A6F72-EF7B-429E-9627-4A5266A905D0}"/>
    <cellStyle name="Notiz 3 22 2" xfId="16511" xr:uid="{FC99A044-F006-4B76-94EB-E0B1AC41181A}"/>
    <cellStyle name="Notiz 3 22 2 2" xfId="35948" xr:uid="{AEEE526D-402E-437C-8C85-3221FD049595}"/>
    <cellStyle name="Notiz 3 22 3" xfId="35947" xr:uid="{27594FC8-EF85-4474-951A-B0ED40A8DF05}"/>
    <cellStyle name="Notiz 3 23" xfId="16512" xr:uid="{312995C1-028B-4A77-AF05-3C6D7908E8EF}"/>
    <cellStyle name="Notiz 3 23 2" xfId="16513" xr:uid="{8928407E-FDA9-426A-8644-BE3FCB0A840A}"/>
    <cellStyle name="Notiz 3 23 2 2" xfId="35950" xr:uid="{A1927591-3B59-4C48-97F5-91CE4FB1679A}"/>
    <cellStyle name="Notiz 3 23 3" xfId="35949" xr:uid="{3296948F-AB6D-41ED-9CCC-CD5D75320E5E}"/>
    <cellStyle name="Notiz 3 24" xfId="16514" xr:uid="{81E56C93-1FE2-4763-8F59-199269979254}"/>
    <cellStyle name="Notiz 3 24 2" xfId="35951" xr:uid="{FC906E42-8EBA-4DF3-805F-808B7858EB10}"/>
    <cellStyle name="Notiz 3 25" xfId="35878" xr:uid="{695C9B0E-35B9-4FB3-8B05-B3ACA3A5D479}"/>
    <cellStyle name="Notiz 3 26" xfId="39542" xr:uid="{0F3D23D4-53B5-457C-A49A-79B28AC9BE1B}"/>
    <cellStyle name="Notiz 3 27" xfId="16441" xr:uid="{8D6ACB9D-B4A5-4D96-9CF5-9FCD703D9D3C}"/>
    <cellStyle name="Notiz 3 3" xfId="16515" xr:uid="{4C348C21-A91F-4AB7-91A1-286AD47C271E}"/>
    <cellStyle name="Notiz 3 3 10" xfId="16516" xr:uid="{281CFF45-2270-44A4-8931-0F2DBEDB99C7}"/>
    <cellStyle name="Notiz 3 3 10 2" xfId="16517" xr:uid="{F5EA4297-CFCE-4FCA-BA39-8AE2D8054094}"/>
    <cellStyle name="Notiz 3 3 10 2 2" xfId="35954" xr:uid="{A288B576-77CE-44F0-BAFB-DA4F7F78EC9A}"/>
    <cellStyle name="Notiz 3 3 10 3" xfId="35953" xr:uid="{E91ED9FC-B34A-4AE9-8A5D-3AC77053A2CC}"/>
    <cellStyle name="Notiz 3 3 11" xfId="16518" xr:uid="{C416C912-6D74-4A92-9697-28D273F41DF7}"/>
    <cellStyle name="Notiz 3 3 11 2" xfId="16519" xr:uid="{8FAAB304-83F1-4E2B-8289-DDC8456A3925}"/>
    <cellStyle name="Notiz 3 3 11 2 2" xfId="35956" xr:uid="{E6233B96-5C26-43FD-AAE1-721B1E68D051}"/>
    <cellStyle name="Notiz 3 3 11 3" xfId="35955" xr:uid="{6BBFBCFC-EB4A-45DE-AFA9-3EA73A54171D}"/>
    <cellStyle name="Notiz 3 3 12" xfId="16520" xr:uid="{CD429D86-9B6D-4DA7-8E9A-1DEFB66CC36C}"/>
    <cellStyle name="Notiz 3 3 12 2" xfId="16521" xr:uid="{49BEE38C-54B2-4952-A041-27B495DDE186}"/>
    <cellStyle name="Notiz 3 3 12 2 2" xfId="35958" xr:uid="{0A4A6806-61CF-4CC0-8D9F-C56351FDADB0}"/>
    <cellStyle name="Notiz 3 3 12 3" xfId="35957" xr:uid="{C91CC2C4-502B-451D-BB83-E0130DC8FB4F}"/>
    <cellStyle name="Notiz 3 3 13" xfId="16522" xr:uid="{F732F034-5D48-42A7-A092-B63466C00748}"/>
    <cellStyle name="Notiz 3 3 13 2" xfId="16523" xr:uid="{A0213654-7BF9-4E64-ABBF-6D822EE48825}"/>
    <cellStyle name="Notiz 3 3 13 2 2" xfId="35960" xr:uid="{90B9FB02-AA2B-4695-BE74-80B6BBEBABDA}"/>
    <cellStyle name="Notiz 3 3 13 3" xfId="35959" xr:uid="{C2AAB70E-6B3A-48C4-9DD3-7AD644BC6E69}"/>
    <cellStyle name="Notiz 3 3 14" xfId="16524" xr:uid="{F3D46D44-BA16-4BFD-AF6D-09F039C415FB}"/>
    <cellStyle name="Notiz 3 3 14 2" xfId="16525" xr:uid="{F9CB3004-6993-49F2-9D87-317E0636D300}"/>
    <cellStyle name="Notiz 3 3 14 2 2" xfId="35962" xr:uid="{E327464E-4653-4889-99DE-5E55EB167C8F}"/>
    <cellStyle name="Notiz 3 3 14 3" xfId="35961" xr:uid="{C1EBAB66-B53A-454E-BFA2-8BD709AF4D7D}"/>
    <cellStyle name="Notiz 3 3 15" xfId="16526" xr:uid="{FBB474A0-8585-47BB-A72D-7F7A5B097CCB}"/>
    <cellStyle name="Notiz 3 3 15 2" xfId="16527" xr:uid="{535F5414-4642-44C1-8B4A-427CA9182114}"/>
    <cellStyle name="Notiz 3 3 15 2 2" xfId="35964" xr:uid="{E3D08AAF-612E-4C48-B75B-E79716DEAC55}"/>
    <cellStyle name="Notiz 3 3 15 3" xfId="35963" xr:uid="{37DD0C6A-98DD-4835-AD4A-C30EF9727D01}"/>
    <cellStyle name="Notiz 3 3 16" xfId="16528" xr:uid="{0C5CB394-1156-4306-BCAD-39D186742A5D}"/>
    <cellStyle name="Notiz 3 3 16 2" xfId="16529" xr:uid="{EE54AE21-717A-4976-9E99-17BFB86205C4}"/>
    <cellStyle name="Notiz 3 3 16 2 2" xfId="35966" xr:uid="{3BD54088-DE12-4F9D-B7DA-9606EA790E05}"/>
    <cellStyle name="Notiz 3 3 16 3" xfId="35965" xr:uid="{19210E4F-C539-4E68-AECC-D568505D150D}"/>
    <cellStyle name="Notiz 3 3 17" xfId="16530" xr:uid="{5A9B8F0B-D84B-4AAC-B782-F90117407697}"/>
    <cellStyle name="Notiz 3 3 17 2" xfId="16531" xr:uid="{E4D887EB-641D-419C-8867-862AEF4F7012}"/>
    <cellStyle name="Notiz 3 3 17 2 2" xfId="35968" xr:uid="{0507A199-E319-4B12-BE5D-D5B789EBD03F}"/>
    <cellStyle name="Notiz 3 3 17 3" xfId="35967" xr:uid="{C7A4C817-4D93-47A2-9C02-E32CA512A98E}"/>
    <cellStyle name="Notiz 3 3 18" xfId="16532" xr:uid="{465161E6-3599-4EF4-BE1A-CCDB1D39422E}"/>
    <cellStyle name="Notiz 3 3 18 2" xfId="16533" xr:uid="{7E31858C-F702-4318-B270-055E9F278599}"/>
    <cellStyle name="Notiz 3 3 18 2 2" xfId="35970" xr:uid="{3D0892CE-9EC9-46BE-84E8-BA3962ABD94A}"/>
    <cellStyle name="Notiz 3 3 18 3" xfId="35969" xr:uid="{F4940A20-3F86-4EE5-98FE-F879F2B31F0F}"/>
    <cellStyle name="Notiz 3 3 19" xfId="16534" xr:uid="{378C7C44-D086-4F7D-9E7D-E8F04827C800}"/>
    <cellStyle name="Notiz 3 3 19 2" xfId="16535" xr:uid="{C538942E-D1A9-416B-9BD5-8CCCD33858C6}"/>
    <cellStyle name="Notiz 3 3 19 2 2" xfId="35972" xr:uid="{C103461E-C5F8-4C53-92A9-44DB83417D84}"/>
    <cellStyle name="Notiz 3 3 19 3" xfId="35971" xr:uid="{342C1D75-4B0B-4BC8-91F7-DD4CAE110C5C}"/>
    <cellStyle name="Notiz 3 3 2" xfId="16536" xr:uid="{6B4A70EE-0253-4FDC-B75C-E40875BB7657}"/>
    <cellStyle name="Notiz 3 3 2 2" xfId="16537" xr:uid="{107F518E-CAA4-4852-B2D4-F6D54AA1A5F1}"/>
    <cellStyle name="Notiz 3 3 2 2 2" xfId="35974" xr:uid="{095C9B36-823C-4231-9CCF-2F5FEAB05528}"/>
    <cellStyle name="Notiz 3 3 2 3" xfId="35973" xr:uid="{AF1524E1-EFF1-49B9-B026-FEEC8C89DEF3}"/>
    <cellStyle name="Notiz 3 3 2 4" xfId="41001" xr:uid="{414F86CE-A35E-4CD4-B55B-AD7F9CAA25DC}"/>
    <cellStyle name="Notiz 3 3 20" xfId="16538" xr:uid="{E2412EB5-2405-4D48-B0C4-00807A21E7A8}"/>
    <cellStyle name="Notiz 3 3 20 2" xfId="16539" xr:uid="{0A36AB1B-DBDF-48E4-86F9-D5CC1E30F471}"/>
    <cellStyle name="Notiz 3 3 20 2 2" xfId="35976" xr:uid="{C4ECC77D-E808-47C3-A1C5-40BF30B37719}"/>
    <cellStyle name="Notiz 3 3 20 3" xfId="35975" xr:uid="{87150AF0-F8AB-4771-A8BC-12715163494F}"/>
    <cellStyle name="Notiz 3 3 21" xfId="16540" xr:uid="{76C9A5E9-5CFD-4D0A-A639-F8BD7FA666F1}"/>
    <cellStyle name="Notiz 3 3 21 2" xfId="16541" xr:uid="{3CA1A51F-24B2-4CFA-8E66-F354717344E9}"/>
    <cellStyle name="Notiz 3 3 21 2 2" xfId="35978" xr:uid="{672D5912-7C27-42DA-9DA6-20EB96182264}"/>
    <cellStyle name="Notiz 3 3 21 3" xfId="35977" xr:uid="{FA39A779-2750-4B47-B9FE-36A49FBBAD2A}"/>
    <cellStyle name="Notiz 3 3 22" xfId="16542" xr:uid="{596B5177-CA7D-4467-A82D-4B916935E89A}"/>
    <cellStyle name="Notiz 3 3 22 2" xfId="35979" xr:uid="{C690039B-51D7-41D8-8AAD-1CFBEF015EFA}"/>
    <cellStyle name="Notiz 3 3 23" xfId="35952" xr:uid="{30EBB4A7-5227-4909-9C26-3FDE3AA2D9CE}"/>
    <cellStyle name="Notiz 3 3 24" xfId="40094" xr:uid="{AAA2CDF3-70E5-41F3-862F-84EBAD3DFB69}"/>
    <cellStyle name="Notiz 3 3 3" xfId="16543" xr:uid="{B922FFCF-69A0-4D3F-98B7-925F4FB0CE2B}"/>
    <cellStyle name="Notiz 3 3 3 2" xfId="16544" xr:uid="{62F51C24-E20D-4EE2-BAA5-CF5C40E34994}"/>
    <cellStyle name="Notiz 3 3 3 2 2" xfId="35981" xr:uid="{DCE07B8C-1954-4A5F-BBCD-7B2D143A11EF}"/>
    <cellStyle name="Notiz 3 3 3 3" xfId="35980" xr:uid="{35BE6AEB-47F1-43FF-8AB8-BEE1605138AC}"/>
    <cellStyle name="Notiz 3 3 3 4" xfId="41860" xr:uid="{589AEA20-56B0-43FB-A85E-41FD56C38DC9}"/>
    <cellStyle name="Notiz 3 3 4" xfId="16545" xr:uid="{B411C5E8-AAF0-40E3-94D7-458EB768B6E1}"/>
    <cellStyle name="Notiz 3 3 4 2" xfId="16546" xr:uid="{EA278672-2E20-4E71-A12D-FF649925A380}"/>
    <cellStyle name="Notiz 3 3 4 2 2" xfId="35983" xr:uid="{26C7B68A-2E25-4C2A-A53A-057F28971367}"/>
    <cellStyle name="Notiz 3 3 4 3" xfId="35982" xr:uid="{84CA9B06-7E0F-4A7B-9E85-180A4329078E}"/>
    <cellStyle name="Notiz 3 3 5" xfId="16547" xr:uid="{B7DC608C-3F90-460D-9849-BB9DC6797774}"/>
    <cellStyle name="Notiz 3 3 5 2" xfId="16548" xr:uid="{80AA1383-307A-4453-96D6-7CC4FCC3F6AD}"/>
    <cellStyle name="Notiz 3 3 5 2 2" xfId="35985" xr:uid="{10C9B349-A1FC-47E6-A19F-3D20A55116E9}"/>
    <cellStyle name="Notiz 3 3 5 3" xfId="35984" xr:uid="{CF170457-85E9-41CA-B37A-FA5259625D22}"/>
    <cellStyle name="Notiz 3 3 6" xfId="16549" xr:uid="{B3094198-6969-4190-8378-6F1C39E38F82}"/>
    <cellStyle name="Notiz 3 3 6 2" xfId="16550" xr:uid="{71C5DFB5-C2EB-43E2-8F7B-2371DDED4497}"/>
    <cellStyle name="Notiz 3 3 6 2 2" xfId="35987" xr:uid="{49D07BEF-1937-435D-AD6B-211C73B3A161}"/>
    <cellStyle name="Notiz 3 3 6 3" xfId="35986" xr:uid="{644E8869-A995-459C-9057-1B4FE6F6C538}"/>
    <cellStyle name="Notiz 3 3 7" xfId="16551" xr:uid="{0CECA1D5-5F09-497D-BA6E-E579DA8A2142}"/>
    <cellStyle name="Notiz 3 3 7 2" xfId="16552" xr:uid="{672D8B30-43D1-41F1-8DFC-1AD8EFA464D9}"/>
    <cellStyle name="Notiz 3 3 7 2 2" xfId="35989" xr:uid="{6F855A88-CECF-4A7A-828E-21E6D5D37272}"/>
    <cellStyle name="Notiz 3 3 7 3" xfId="35988" xr:uid="{6044824B-E654-4CB8-8EFC-16F982085B6F}"/>
    <cellStyle name="Notiz 3 3 8" xfId="16553" xr:uid="{CDC77281-EFA6-47D9-9982-55C45C7446D0}"/>
    <cellStyle name="Notiz 3 3 8 2" xfId="16554" xr:uid="{231C3044-4925-42DC-9C75-A87443E9E59B}"/>
    <cellStyle name="Notiz 3 3 8 2 2" xfId="35991" xr:uid="{8A34D5D9-11C8-40F0-BC81-9986BB009715}"/>
    <cellStyle name="Notiz 3 3 8 3" xfId="35990" xr:uid="{E119CD1E-1FCB-445E-9B0A-85301D12926C}"/>
    <cellStyle name="Notiz 3 3 9" xfId="16555" xr:uid="{AFF4EC4A-59AA-40B9-B783-F1C6D4E92787}"/>
    <cellStyle name="Notiz 3 3 9 2" xfId="16556" xr:uid="{5F76EB02-361F-40F9-A0C3-03EEA8ADD994}"/>
    <cellStyle name="Notiz 3 3 9 2 2" xfId="35993" xr:uid="{F860B6BD-75F7-4493-A103-E2B93D5AC19D}"/>
    <cellStyle name="Notiz 3 3 9 3" xfId="35992" xr:uid="{5985AE84-27AC-47A7-A6EF-566EB3854B03}"/>
    <cellStyle name="Notiz 3 4" xfId="16557" xr:uid="{D17BB1F1-ABFA-4A12-BA8B-CF7FCA4F66DA}"/>
    <cellStyle name="Notiz 3 4 2" xfId="16558" xr:uid="{ACDF37C0-865A-453F-AED3-F854F9729DC0}"/>
    <cellStyle name="Notiz 3 4 2 2" xfId="35995" xr:uid="{1D778097-959C-43F0-8B1A-EC532236F5EB}"/>
    <cellStyle name="Notiz 3 4 3" xfId="35994" xr:uid="{44E88D26-7435-4B18-9662-82B1A75AE60B}"/>
    <cellStyle name="Notiz 3 4 4" xfId="40559" xr:uid="{6BFAE3AE-51C0-42C5-A05E-E97D7DCF83BB}"/>
    <cellStyle name="Notiz 3 5" xfId="16559" xr:uid="{28B97F27-B8D5-4634-9A8F-30CBC53CB8B7}"/>
    <cellStyle name="Notiz 3 5 2" xfId="16560" xr:uid="{17018C7E-27B3-474C-9C1E-8C01F7366495}"/>
    <cellStyle name="Notiz 3 5 2 2" xfId="16561" xr:uid="{DC3E1CBF-B54C-44BB-8B44-21E8EDAE6B64}"/>
    <cellStyle name="Notiz 3 5 2 2 2" xfId="35998" xr:uid="{474CDF0D-5208-494F-BFB1-C28D108035F7}"/>
    <cellStyle name="Notiz 3 5 2 3" xfId="35997" xr:uid="{E2A11A57-57D8-4A6C-9C63-FA25FE4190DE}"/>
    <cellStyle name="Notiz 3 5 3" xfId="16562" xr:uid="{1A2995A4-EBB7-4C7A-894E-8865EFDA38BD}"/>
    <cellStyle name="Notiz 3 5 3 2" xfId="35999" xr:uid="{D71F6B12-511B-4649-86BF-AED2F0478A81}"/>
    <cellStyle name="Notiz 3 5 4" xfId="35996" xr:uid="{383FDE86-68D4-4DA2-9FAB-778C0445D612}"/>
    <cellStyle name="Notiz 3 5 5" xfId="41419" xr:uid="{9EA64CA3-9758-4EB2-95D3-78635D6B982A}"/>
    <cellStyle name="Notiz 3 6" xfId="16563" xr:uid="{93BF5603-A566-4128-9F7B-402499FE9138}"/>
    <cellStyle name="Notiz 3 6 2" xfId="16564" xr:uid="{F65DE967-EA5F-4263-8EE9-BF620BB3B2CC}"/>
    <cellStyle name="Notiz 3 6 2 2" xfId="36001" xr:uid="{643C05CF-2135-48C1-B1ED-F702FAD7D6D9}"/>
    <cellStyle name="Notiz 3 6 3" xfId="36000" xr:uid="{198F2A43-1095-438E-AE88-D837D6CFBB4D}"/>
    <cellStyle name="Notiz 3 7" xfId="16565" xr:uid="{1BE3FA8C-AE43-4BA4-8AFC-ECDF39BF0736}"/>
    <cellStyle name="Notiz 3 7 2" xfId="36002" xr:uid="{FD7A6516-FADF-4B4D-A4BB-827BB0F6E1B0}"/>
    <cellStyle name="Notiz 3 8" xfId="16566" xr:uid="{FD3ED322-01A7-45BC-8955-8C2F794041E7}"/>
    <cellStyle name="Notiz 3 8 2" xfId="16567" xr:uid="{092CE9B1-BEF2-4358-8917-29622BEFF86C}"/>
    <cellStyle name="Notiz 3 8 2 2" xfId="36004" xr:uid="{6856EC6D-4840-47EB-846D-C9D817ECF4F8}"/>
    <cellStyle name="Notiz 3 8 3" xfId="36003" xr:uid="{CD532F2E-641A-453E-84A8-D52DF6EF3C5A}"/>
    <cellStyle name="Notiz 3 9" xfId="16568" xr:uid="{824AA657-9A6D-45A8-A70C-05192980D00F}"/>
    <cellStyle name="Notiz 3 9 2" xfId="16569" xr:uid="{00C0E61D-BBF7-4547-AF2F-0F93BBDC0F9C}"/>
    <cellStyle name="Notiz 3 9 2 2" xfId="36006" xr:uid="{D053BBB4-9BA5-4C03-A5C8-EB3636C89330}"/>
    <cellStyle name="Notiz 3 9 3" xfId="36005" xr:uid="{0B7C7EE4-D023-4B63-AC49-2B722E0DA345}"/>
    <cellStyle name="Notiz 30" xfId="84" xr:uid="{DF8BB0F2-98C6-4E85-A191-0E19C0DBF220}"/>
    <cellStyle name="Notiz 30 10" xfId="16571" xr:uid="{C28E2497-7EA3-4320-9BED-ED46AED96E29}"/>
    <cellStyle name="Notiz 30 10 2" xfId="16572" xr:uid="{84487627-7945-4753-9F81-E80C1FD3269C}"/>
    <cellStyle name="Notiz 30 10 2 2" xfId="36009" xr:uid="{0F7C69D9-157C-4DE9-9E6C-4909A9BD3575}"/>
    <cellStyle name="Notiz 30 10 3" xfId="36008" xr:uid="{7DF55F4A-0068-4857-B5D0-E3C6AD2771FE}"/>
    <cellStyle name="Notiz 30 11" xfId="16573" xr:uid="{978B631F-E439-4914-9CD7-80F649A166DB}"/>
    <cellStyle name="Notiz 30 11 2" xfId="16574" xr:uid="{5E3CD712-870E-4B7A-90AC-F15BA5F166DB}"/>
    <cellStyle name="Notiz 30 11 2 2" xfId="36011" xr:uid="{01F26EAD-BB7C-438B-B2A6-C92943ED0728}"/>
    <cellStyle name="Notiz 30 11 3" xfId="36010" xr:uid="{3C09ADFF-9F21-47F0-9D22-E10AD95ED48A}"/>
    <cellStyle name="Notiz 30 12" xfId="16575" xr:uid="{282FAD73-94C6-4C36-AFBE-E28C60B723DB}"/>
    <cellStyle name="Notiz 30 12 2" xfId="16576" xr:uid="{7DB155A6-4ABB-41A5-8DD6-FC18D404FA52}"/>
    <cellStyle name="Notiz 30 12 2 2" xfId="36013" xr:uid="{8B266174-C9C6-4BA9-84A1-F113C67FEDF9}"/>
    <cellStyle name="Notiz 30 12 3" xfId="36012" xr:uid="{E664C3FC-0333-4551-A6CB-A1E45AF3A1CE}"/>
    <cellStyle name="Notiz 30 13" xfId="16577" xr:uid="{15B77FDD-529E-4B78-BBF0-04B6EE2C2703}"/>
    <cellStyle name="Notiz 30 13 2" xfId="16578" xr:uid="{3EFFFC33-3944-4F6E-8FC2-27A4F4C62476}"/>
    <cellStyle name="Notiz 30 13 2 2" xfId="36015" xr:uid="{60C63CE7-DCAA-4E53-BD9E-7D9163AD30B1}"/>
    <cellStyle name="Notiz 30 13 3" xfId="36014" xr:uid="{62962B92-E010-4C9A-836B-F8B16E2F328F}"/>
    <cellStyle name="Notiz 30 14" xfId="16579" xr:uid="{349507F9-FB64-4A7C-A9FD-F22FC5F5135C}"/>
    <cellStyle name="Notiz 30 14 2" xfId="16580" xr:uid="{54F2BF47-1636-4225-8C11-FD0666434690}"/>
    <cellStyle name="Notiz 30 14 2 2" xfId="36017" xr:uid="{EBAD99FD-5163-4AF0-90C4-2D0BE647A12C}"/>
    <cellStyle name="Notiz 30 14 3" xfId="36016" xr:uid="{4B163877-E9C4-4F1A-BB29-2620468CAF0D}"/>
    <cellStyle name="Notiz 30 15" xfId="16581" xr:uid="{E6B8426D-5C73-4112-BD91-E347EC850820}"/>
    <cellStyle name="Notiz 30 15 2" xfId="16582" xr:uid="{354CC03B-DBE3-46E9-950A-30821FB7C67D}"/>
    <cellStyle name="Notiz 30 15 2 2" xfId="36019" xr:uid="{BEE3E55D-7C2A-4BF2-BA67-5C1219214602}"/>
    <cellStyle name="Notiz 30 15 3" xfId="36018" xr:uid="{9D69E762-2304-4B69-A86A-7CA2A7C84A51}"/>
    <cellStyle name="Notiz 30 16" xfId="16583" xr:uid="{677EAFFE-1210-4BA1-A1CC-6B832A4E19A2}"/>
    <cellStyle name="Notiz 30 16 2" xfId="16584" xr:uid="{1CC6763B-927C-4D8C-95BF-A6B9475560EF}"/>
    <cellStyle name="Notiz 30 16 2 2" xfId="36021" xr:uid="{30A80B9C-EF3F-4ED1-940A-36D0380EB5F3}"/>
    <cellStyle name="Notiz 30 16 3" xfId="36020" xr:uid="{CDCB8CFF-65DB-482B-8972-3E41602243DE}"/>
    <cellStyle name="Notiz 30 17" xfId="16585" xr:uid="{944A86D9-B1BE-4514-AE84-5A3A3320036D}"/>
    <cellStyle name="Notiz 30 17 2" xfId="16586" xr:uid="{099936C1-423F-406C-B90D-2D0C635B73BF}"/>
    <cellStyle name="Notiz 30 17 2 2" xfId="36023" xr:uid="{057F2362-80DA-4CAB-A062-1FEF7A3B260C}"/>
    <cellStyle name="Notiz 30 17 3" xfId="36022" xr:uid="{CDA02BE9-A165-451A-9F48-9469E958396E}"/>
    <cellStyle name="Notiz 30 18" xfId="16587" xr:uid="{063CA394-BD7A-4B99-A916-BCFBAF392153}"/>
    <cellStyle name="Notiz 30 18 2" xfId="16588" xr:uid="{59111597-72A1-404E-9EF6-2CD4DA12F2DA}"/>
    <cellStyle name="Notiz 30 18 2 2" xfId="36025" xr:uid="{721E26A9-77FB-406A-8F1C-2B4BDD4D7009}"/>
    <cellStyle name="Notiz 30 18 3" xfId="36024" xr:uid="{B6A4EE74-C5FC-47D3-B540-CABCA24539DD}"/>
    <cellStyle name="Notiz 30 19" xfId="16589" xr:uid="{FDAF0E80-FDCB-41D6-BAEA-05BE345160C2}"/>
    <cellStyle name="Notiz 30 19 2" xfId="16590" xr:uid="{F24CFF48-11B4-4E88-A360-749E5A04A6DA}"/>
    <cellStyle name="Notiz 30 19 2 2" xfId="36027" xr:uid="{913DF2D3-991D-4DE6-8222-D2582F886227}"/>
    <cellStyle name="Notiz 30 19 3" xfId="36026" xr:uid="{FFA1B570-0E0B-448B-896A-8853E0D8F34E}"/>
    <cellStyle name="Notiz 30 2" xfId="16591" xr:uid="{5ABBE7ED-4B51-4EA5-93E7-8F7595E45129}"/>
    <cellStyle name="Notiz 30 2 2" xfId="16592" xr:uid="{0438A891-4973-4F9D-A3A9-76CA6480373B}"/>
    <cellStyle name="Notiz 30 2 2 2" xfId="36029" xr:uid="{57F0BCA8-033B-4DC2-A448-B3C476C2A271}"/>
    <cellStyle name="Notiz 30 2 2 2 2" xfId="41004" xr:uid="{09FB0F27-1707-4577-9116-E0F7866ABC35}"/>
    <cellStyle name="Notiz 30 2 2 3" xfId="41863" xr:uid="{1179B239-A225-4B78-B4CE-5B0F68ED7EF0}"/>
    <cellStyle name="Notiz 30 2 2 4" xfId="40097" xr:uid="{30371D34-1C41-4AD6-AEA2-C96BD9549458}"/>
    <cellStyle name="Notiz 30 2 3" xfId="36028" xr:uid="{41F2AA5D-F738-4B2C-B564-E6FCB0E9BBD1}"/>
    <cellStyle name="Notiz 30 2 3 2" xfId="40562" xr:uid="{64983D21-2350-4D77-A2AA-DE349929A7C7}"/>
    <cellStyle name="Notiz 30 2 4" xfId="41422" xr:uid="{7CE115AB-BF76-449C-8D5A-B7FDAC32C761}"/>
    <cellStyle name="Notiz 30 2 5" xfId="39545" xr:uid="{4B70E963-84A3-4A41-B551-1850D946D204}"/>
    <cellStyle name="Notiz 30 20" xfId="16593" xr:uid="{6389AE28-0868-4FC0-A862-86DADB2D7544}"/>
    <cellStyle name="Notiz 30 20 2" xfId="16594" xr:uid="{CB6B60FC-E1F4-48E0-A557-D80AD54DE5D3}"/>
    <cellStyle name="Notiz 30 20 2 2" xfId="36031" xr:uid="{37D47C58-E207-43B8-A52B-E891DD92C546}"/>
    <cellStyle name="Notiz 30 20 3" xfId="36030" xr:uid="{EA10719C-7F3D-416F-9D42-5A4949832389}"/>
    <cellStyle name="Notiz 30 21" xfId="16595" xr:uid="{3D759823-D8FD-4FE6-B8CB-D7532245A9EF}"/>
    <cellStyle name="Notiz 30 21 2" xfId="16596" xr:uid="{59C76CD2-BE0B-491A-9CF5-592C18EB010B}"/>
    <cellStyle name="Notiz 30 21 2 2" xfId="36033" xr:uid="{8371EF59-37B0-4569-8CC4-6849EF5D43FC}"/>
    <cellStyle name="Notiz 30 21 3" xfId="36032" xr:uid="{FB19CD59-9B9E-4A64-B980-BBBCCD6CF237}"/>
    <cellStyle name="Notiz 30 22" xfId="16597" xr:uid="{A66EFAB0-2424-4135-B079-96D57CFA164E}"/>
    <cellStyle name="Notiz 30 22 2" xfId="36034" xr:uid="{F7E9F7D5-F45A-464F-A6F1-44F68726D6C4}"/>
    <cellStyle name="Notiz 30 23" xfId="16598" xr:uid="{6C82AF87-005A-4CE9-864C-A785645C5B22}"/>
    <cellStyle name="Notiz 30 23 2" xfId="36035" xr:uid="{0E2DF2F4-032B-46A0-90B6-C230725E5C5D}"/>
    <cellStyle name="Notiz 30 24" xfId="36007" xr:uid="{A59002AD-D270-49A3-A101-FDD2F7989E26}"/>
    <cellStyle name="Notiz 30 25" xfId="39544" xr:uid="{35EE41B6-26E9-4227-A568-5FDE86B29BCC}"/>
    <cellStyle name="Notiz 30 26" xfId="16570" xr:uid="{14E0A75F-E97D-48BD-B256-AF3231B9C604}"/>
    <cellStyle name="Notiz 30 3" xfId="16599" xr:uid="{184A55BC-74F6-405F-AF29-C84319322185}"/>
    <cellStyle name="Notiz 30 3 2" xfId="16600" xr:uid="{DE2A4E46-28F0-4378-B20F-9AC0A627BCC0}"/>
    <cellStyle name="Notiz 30 3 2 2" xfId="36037" xr:uid="{A497CD79-ED5E-4524-8604-EC5216EDE1A8}"/>
    <cellStyle name="Notiz 30 3 2 3" xfId="41003" xr:uid="{FED0D301-FC6E-4A57-B8B4-7AEF898B8F17}"/>
    <cellStyle name="Notiz 30 3 3" xfId="36036" xr:uid="{0BA48C19-153B-4611-AB33-B757BCD37468}"/>
    <cellStyle name="Notiz 30 3 3 2" xfId="41862" xr:uid="{D6492478-AD9B-4BA5-B344-D5F04299DC39}"/>
    <cellStyle name="Notiz 30 3 4" xfId="40096" xr:uid="{B23ABE10-D480-4B7A-93FA-0197A8CBE177}"/>
    <cellStyle name="Notiz 30 4" xfId="16601" xr:uid="{05F16CBE-4BDD-40D7-B8CB-F8A7439FB6A6}"/>
    <cellStyle name="Notiz 30 4 2" xfId="16602" xr:uid="{9A980F5C-CC9C-40DB-8973-F85ED3B5C47F}"/>
    <cellStyle name="Notiz 30 4 2 2" xfId="36039" xr:uid="{121827A3-9192-4B3A-951E-90859455CA20}"/>
    <cellStyle name="Notiz 30 4 3" xfId="36038" xr:uid="{13891335-F9B7-4073-9645-1392A2467621}"/>
    <cellStyle name="Notiz 30 4 4" xfId="40561" xr:uid="{01FB40F8-9FD7-473F-A14D-BA05D5C04365}"/>
    <cellStyle name="Notiz 30 5" xfId="16603" xr:uid="{FD8C9E69-F273-4533-A8FD-D9C0A8BA4534}"/>
    <cellStyle name="Notiz 30 5 2" xfId="16604" xr:uid="{26279C53-0E20-4346-A218-B0FC20A10125}"/>
    <cellStyle name="Notiz 30 5 2 2" xfId="36041" xr:uid="{7FB12314-BA45-4E58-A26B-687A7C97B48A}"/>
    <cellStyle name="Notiz 30 5 3" xfId="36040" xr:uid="{F8A55BD1-4528-47FB-8B59-420C4E74A982}"/>
    <cellStyle name="Notiz 30 5 4" xfId="41421" xr:uid="{6E477860-0B28-4E71-864C-FE9D7E793815}"/>
    <cellStyle name="Notiz 30 6" xfId="16605" xr:uid="{96E3E4FD-A6F7-40C9-AF20-D85BE9BC3A41}"/>
    <cellStyle name="Notiz 30 6 2" xfId="16606" xr:uid="{B8792437-4FED-4E0F-86C0-F626F5792DC7}"/>
    <cellStyle name="Notiz 30 6 2 2" xfId="36043" xr:uid="{7421D8CE-A1B7-4480-979F-03C7DAD53EE0}"/>
    <cellStyle name="Notiz 30 6 3" xfId="36042" xr:uid="{1AB33B5B-188B-423C-A30A-E1EFDAE0A0A0}"/>
    <cellStyle name="Notiz 30 7" xfId="16607" xr:uid="{C32CD45F-AE05-45A7-945E-B4638CA5E0FF}"/>
    <cellStyle name="Notiz 30 7 2" xfId="16608" xr:uid="{BB92B313-CB6B-42C9-B140-58B5F7C74B9B}"/>
    <cellStyle name="Notiz 30 7 2 2" xfId="36045" xr:uid="{87F940BE-231C-49BF-9BBE-4DF05433EA8B}"/>
    <cellStyle name="Notiz 30 7 3" xfId="36044" xr:uid="{4A7A470E-E1C8-4D00-974E-99F1BFB358A1}"/>
    <cellStyle name="Notiz 30 8" xfId="16609" xr:uid="{39EEB804-8B4D-41DF-83A9-A48A2A511AA7}"/>
    <cellStyle name="Notiz 30 8 2" xfId="16610" xr:uid="{850A8BCC-3B38-4044-9A10-130C8E7E8B09}"/>
    <cellStyle name="Notiz 30 8 2 2" xfId="36047" xr:uid="{76050EBA-D012-4B8C-922D-3B69B05B58D1}"/>
    <cellStyle name="Notiz 30 8 3" xfId="36046" xr:uid="{9FB754A8-C543-47C6-97EF-85B4BE60233E}"/>
    <cellStyle name="Notiz 30 9" xfId="16611" xr:uid="{16CEDEA4-9E29-4EA0-AE95-0211BB4D2CC3}"/>
    <cellStyle name="Notiz 30 9 2" xfId="16612" xr:uid="{F430A4CD-42F3-4A95-8C41-A2C5372973D1}"/>
    <cellStyle name="Notiz 30 9 2 2" xfId="36049" xr:uid="{B79899F8-6BAA-4DE1-A623-A152F67425C4}"/>
    <cellStyle name="Notiz 30 9 3" xfId="36048" xr:uid="{EFCAD92D-15D4-460D-AD12-D4615EC61142}"/>
    <cellStyle name="Notiz 31" xfId="85" xr:uid="{3AAB3663-8230-4FDA-BC7C-14F14EAE96D0}"/>
    <cellStyle name="Notiz 31 10" xfId="16614" xr:uid="{AEA6D3CE-8799-44FD-948E-AC22D875CE36}"/>
    <cellStyle name="Notiz 31 10 2" xfId="16615" xr:uid="{78A5B866-9C2D-45A1-95E2-9FEA90BA3DD7}"/>
    <cellStyle name="Notiz 31 10 2 2" xfId="36052" xr:uid="{96AB1C1C-E1DD-40F4-9F3A-D4C48ABF9E2E}"/>
    <cellStyle name="Notiz 31 10 3" xfId="36051" xr:uid="{BAEF7B54-9F38-4A9B-9B3D-5F2A0220E765}"/>
    <cellStyle name="Notiz 31 11" xfId="16616" xr:uid="{CB60539D-C967-491B-A00C-0A6BE09B1614}"/>
    <cellStyle name="Notiz 31 11 2" xfId="16617" xr:uid="{8CB3D9D2-DE5F-4524-AE5D-824E6704EB64}"/>
    <cellStyle name="Notiz 31 11 2 2" xfId="36054" xr:uid="{1A89AF3C-CFD0-4DC0-9983-FD9FCC37D04C}"/>
    <cellStyle name="Notiz 31 11 3" xfId="36053" xr:uid="{99939842-2EDC-48BE-A347-DD7CB1FEBF09}"/>
    <cellStyle name="Notiz 31 12" xfId="16618" xr:uid="{3CF2AB1F-896C-41AE-8C4D-3FE6CE2F3168}"/>
    <cellStyle name="Notiz 31 12 2" xfId="16619" xr:uid="{BB270102-3B30-4AAD-B0E3-B95A2B00DD6D}"/>
    <cellStyle name="Notiz 31 12 2 2" xfId="36056" xr:uid="{50BFD6FB-C019-426B-B66A-16A3503F0A16}"/>
    <cellStyle name="Notiz 31 12 3" xfId="36055" xr:uid="{189F7F64-4044-4647-AE3F-847869A88672}"/>
    <cellStyle name="Notiz 31 13" xfId="16620" xr:uid="{D2A4CB10-1DAD-4A92-A600-F97C53B65ADC}"/>
    <cellStyle name="Notiz 31 13 2" xfId="16621" xr:uid="{52961842-E56F-4195-8E07-168722ED0A96}"/>
    <cellStyle name="Notiz 31 13 2 2" xfId="36058" xr:uid="{A1193E1A-90F9-4A95-8497-29231EC83422}"/>
    <cellStyle name="Notiz 31 13 3" xfId="36057" xr:uid="{6E2F966A-2E4A-4BCB-8F97-5CCB8E9FC933}"/>
    <cellStyle name="Notiz 31 14" xfId="16622" xr:uid="{387D48B4-74B5-4330-AF93-E87316AF34F7}"/>
    <cellStyle name="Notiz 31 14 2" xfId="16623" xr:uid="{99FD1271-A8BF-4C01-84CF-8C1A7C286F3F}"/>
    <cellStyle name="Notiz 31 14 2 2" xfId="36060" xr:uid="{52C9B7C6-7F6B-442B-BEAD-4612F744251F}"/>
    <cellStyle name="Notiz 31 14 3" xfId="36059" xr:uid="{F877B4AA-FDDA-4A79-BCE5-3CAC7BAF64BB}"/>
    <cellStyle name="Notiz 31 15" xfId="16624" xr:uid="{17348E62-4E2E-4236-BF8C-0A3FC1E7710F}"/>
    <cellStyle name="Notiz 31 15 2" xfId="16625" xr:uid="{6F49D180-FCE9-44C4-814B-4B0351F22979}"/>
    <cellStyle name="Notiz 31 15 2 2" xfId="36062" xr:uid="{58ECD8D9-DE36-4DDA-8E66-1C89268CDD46}"/>
    <cellStyle name="Notiz 31 15 3" xfId="36061" xr:uid="{1701C6CA-52D0-40DA-BC9A-9F06481E8D09}"/>
    <cellStyle name="Notiz 31 16" xfId="16626" xr:uid="{B339924E-4206-42C1-BCD4-C517FAE154D9}"/>
    <cellStyle name="Notiz 31 16 2" xfId="16627" xr:uid="{B358283B-470A-4F34-8E43-C67A72A498A6}"/>
    <cellStyle name="Notiz 31 16 2 2" xfId="36064" xr:uid="{2ED14BD4-966F-400B-8149-52C2B76ADCD8}"/>
    <cellStyle name="Notiz 31 16 3" xfId="36063" xr:uid="{4F032C75-1CB3-419F-8F5A-10B0048D2AF3}"/>
    <cellStyle name="Notiz 31 17" xfId="16628" xr:uid="{3F410105-9904-4D21-9ABE-C91121FAE7F6}"/>
    <cellStyle name="Notiz 31 17 2" xfId="16629" xr:uid="{B1CFD85A-0C82-4899-9E98-21E44C5D6DAD}"/>
    <cellStyle name="Notiz 31 17 2 2" xfId="36066" xr:uid="{D9738644-2D11-49CD-924A-B714660E1B5C}"/>
    <cellStyle name="Notiz 31 17 3" xfId="36065" xr:uid="{CB71AEEC-84B0-40D6-B5C4-D4697B6EAC46}"/>
    <cellStyle name="Notiz 31 18" xfId="16630" xr:uid="{A539F9AB-A349-4680-803E-38058B350806}"/>
    <cellStyle name="Notiz 31 18 2" xfId="16631" xr:uid="{1369EAC9-0FF6-44C9-A7DD-CE19D9EFB311}"/>
    <cellStyle name="Notiz 31 18 2 2" xfId="36068" xr:uid="{C76B7ED0-43D6-4254-A87A-934BFD95B93B}"/>
    <cellStyle name="Notiz 31 18 3" xfId="36067" xr:uid="{44EFDDEF-99DD-4CB8-B271-8A954C19B0DC}"/>
    <cellStyle name="Notiz 31 19" xfId="16632" xr:uid="{5DC0ED6E-F5A1-4433-8157-F3BCA4DDD657}"/>
    <cellStyle name="Notiz 31 19 2" xfId="16633" xr:uid="{1CAA8A5A-79B4-41AB-A38D-42EF1D940B50}"/>
    <cellStyle name="Notiz 31 19 2 2" xfId="36070" xr:uid="{7B9EC8EC-AA26-4A48-9B5F-2E57A8A0D881}"/>
    <cellStyle name="Notiz 31 19 3" xfId="36069" xr:uid="{29FCB128-07DB-44B2-B945-B2A774D5BB59}"/>
    <cellStyle name="Notiz 31 2" xfId="16634" xr:uid="{638605FC-796C-4A0D-8AE1-C34DDF12F3EF}"/>
    <cellStyle name="Notiz 31 2 2" xfId="16635" xr:uid="{C8B70E7E-A6DA-4B90-967D-212591F35306}"/>
    <cellStyle name="Notiz 31 2 2 2" xfId="36072" xr:uid="{AFDF01F5-7531-490F-ACD6-BE1CD0D774F7}"/>
    <cellStyle name="Notiz 31 2 2 2 2" xfId="41006" xr:uid="{5F9827A3-5340-4115-8117-CC3F6A479DED}"/>
    <cellStyle name="Notiz 31 2 2 3" xfId="41865" xr:uid="{AB270675-4CAA-4911-B35B-C4660CADF8A9}"/>
    <cellStyle name="Notiz 31 2 2 4" xfId="40099" xr:uid="{16572D3C-7228-406C-86A0-03DA715A35B7}"/>
    <cellStyle name="Notiz 31 2 3" xfId="36071" xr:uid="{B0D3F5D4-3E44-4F4E-88DA-32EC901635E1}"/>
    <cellStyle name="Notiz 31 2 3 2" xfId="40564" xr:uid="{8A1AED61-4915-428F-A2AA-F59CC5431517}"/>
    <cellStyle name="Notiz 31 2 4" xfId="41424" xr:uid="{7F7D57DD-B675-41C4-856E-14FE8E6CBE5D}"/>
    <cellStyle name="Notiz 31 2 5" xfId="39547" xr:uid="{D6AFA249-1A03-46FB-B68B-ED0078234537}"/>
    <cellStyle name="Notiz 31 20" xfId="16636" xr:uid="{E3CB5E74-2F27-48FF-A430-3A96792FA4D7}"/>
    <cellStyle name="Notiz 31 20 2" xfId="16637" xr:uid="{BC060AA7-9AFE-4451-B2B8-64977D9050D5}"/>
    <cellStyle name="Notiz 31 20 2 2" xfId="36074" xr:uid="{2FE6644B-F6A3-43B6-AE15-D9B4E032900A}"/>
    <cellStyle name="Notiz 31 20 3" xfId="36073" xr:uid="{6A4B58EE-A885-435D-B0FF-2CB08E4632EA}"/>
    <cellStyle name="Notiz 31 21" xfId="16638" xr:uid="{EF8A5055-EE4F-4C8E-ABB5-53C09635BCEB}"/>
    <cellStyle name="Notiz 31 21 2" xfId="16639" xr:uid="{548047E6-A1B4-411B-9629-1D265777EF07}"/>
    <cellStyle name="Notiz 31 21 2 2" xfId="36076" xr:uid="{752983CA-1173-4D0F-BF64-81606CC5BE8C}"/>
    <cellStyle name="Notiz 31 21 3" xfId="36075" xr:uid="{6BC87ECB-CFA3-4369-9023-519BEE8524CC}"/>
    <cellStyle name="Notiz 31 22" xfId="16640" xr:uid="{C4079534-3085-48DD-8E20-1A9FA6A17F11}"/>
    <cellStyle name="Notiz 31 22 2" xfId="36077" xr:uid="{C5AC5687-0B0D-4747-9347-E628FF82DAB7}"/>
    <cellStyle name="Notiz 31 23" xfId="16641" xr:uid="{877573B9-DEFC-492C-96BD-F67768EF180F}"/>
    <cellStyle name="Notiz 31 23 2" xfId="36078" xr:uid="{344AABBB-5B4E-4518-8978-F3311F43E419}"/>
    <cellStyle name="Notiz 31 24" xfId="36050" xr:uid="{CC7F32BD-B1E7-46DB-8A69-165CE65D8EE9}"/>
    <cellStyle name="Notiz 31 25" xfId="39546" xr:uid="{8F7672AC-F01B-4BF6-9043-FC28861F140D}"/>
    <cellStyle name="Notiz 31 26" xfId="16613" xr:uid="{4A279553-2EC5-4AC8-8F98-17EE847DDAF5}"/>
    <cellStyle name="Notiz 31 3" xfId="16642" xr:uid="{A565F0C0-D901-465E-9C30-CADA968F882C}"/>
    <cellStyle name="Notiz 31 3 2" xfId="16643" xr:uid="{E4061373-EEC8-45C7-AFB2-D983DA639BB0}"/>
    <cellStyle name="Notiz 31 3 2 2" xfId="36080" xr:uid="{57BA18DF-14F6-44C6-BC77-BC8BFC24CFF0}"/>
    <cellStyle name="Notiz 31 3 2 3" xfId="41005" xr:uid="{8FA2445B-73AB-4725-B50B-96A8346D1D96}"/>
    <cellStyle name="Notiz 31 3 3" xfId="36079" xr:uid="{0C4EFB89-8CA2-4D77-8B1C-6247C5828E34}"/>
    <cellStyle name="Notiz 31 3 3 2" xfId="41864" xr:uid="{0DEA664A-349E-4FB4-9F7B-6E950FC3BC01}"/>
    <cellStyle name="Notiz 31 3 4" xfId="40098" xr:uid="{ED4DABC7-1C87-42D0-BB49-B27BF97CD91F}"/>
    <cellStyle name="Notiz 31 4" xfId="16644" xr:uid="{FF9B9B39-101B-475B-B8B1-25E0AD3AB5CD}"/>
    <cellStyle name="Notiz 31 4 2" xfId="16645" xr:uid="{8A309C6F-8F0B-4BDC-9DB0-6928B6873CDA}"/>
    <cellStyle name="Notiz 31 4 2 2" xfId="36082" xr:uid="{950D8EF4-8807-48C6-A385-497C4D0C35DD}"/>
    <cellStyle name="Notiz 31 4 3" xfId="36081" xr:uid="{7B1507F8-3D31-47A3-A8C6-31279B69472E}"/>
    <cellStyle name="Notiz 31 4 4" xfId="40563" xr:uid="{BD178FAE-0F09-4B3F-B68D-FF13304CEBF3}"/>
    <cellStyle name="Notiz 31 5" xfId="16646" xr:uid="{814041E2-1FAF-4F07-BB04-BDC58CEBEEC0}"/>
    <cellStyle name="Notiz 31 5 2" xfId="16647" xr:uid="{D7656EDF-8F4E-461D-9D5B-BBC100D906E9}"/>
    <cellStyle name="Notiz 31 5 2 2" xfId="36084" xr:uid="{F701DFB1-7CDD-477D-88E7-D94A1EA85359}"/>
    <cellStyle name="Notiz 31 5 3" xfId="36083" xr:uid="{94465B10-E8A2-44B9-8711-C61EFC03E144}"/>
    <cellStyle name="Notiz 31 5 4" xfId="41423" xr:uid="{1DA30611-1065-47BB-90BE-B80138BE3F28}"/>
    <cellStyle name="Notiz 31 6" xfId="16648" xr:uid="{802B73E6-2B99-44F8-B1A2-851651BF0BF3}"/>
    <cellStyle name="Notiz 31 6 2" xfId="16649" xr:uid="{3C2641B4-B25B-4BCC-94E0-66F1CDD5F8AA}"/>
    <cellStyle name="Notiz 31 6 2 2" xfId="36086" xr:uid="{D2FAFBEB-4936-4B9D-89E6-8B02549AECA4}"/>
    <cellStyle name="Notiz 31 6 3" xfId="36085" xr:uid="{B0CF641A-C594-49B6-9622-E519430B5E72}"/>
    <cellStyle name="Notiz 31 7" xfId="16650" xr:uid="{CF30730A-F91D-4612-A83C-AFA159440039}"/>
    <cellStyle name="Notiz 31 7 2" xfId="16651" xr:uid="{9E2A25A2-054E-4694-AA12-4C6E2B088E71}"/>
    <cellStyle name="Notiz 31 7 2 2" xfId="36088" xr:uid="{316633AD-7F6E-42F8-81D7-6EDB42CD7896}"/>
    <cellStyle name="Notiz 31 7 3" xfId="36087" xr:uid="{E0922F88-2A27-4590-A406-621E88A0B9A3}"/>
    <cellStyle name="Notiz 31 8" xfId="16652" xr:uid="{731B1C19-E145-4271-88DD-B0841F441DB2}"/>
    <cellStyle name="Notiz 31 8 2" xfId="16653" xr:uid="{6A745265-0C50-423B-A084-087D80C95D1D}"/>
    <cellStyle name="Notiz 31 8 2 2" xfId="36090" xr:uid="{88EC11FC-ACAF-4514-8E40-9BE7BEAD9DE1}"/>
    <cellStyle name="Notiz 31 8 3" xfId="36089" xr:uid="{0CE12C4E-00A2-4E11-88B1-A9BD1383AE21}"/>
    <cellStyle name="Notiz 31 9" xfId="16654" xr:uid="{7E51D7F7-5CCA-412E-8C45-C2C23F61DDDB}"/>
    <cellStyle name="Notiz 31 9 2" xfId="16655" xr:uid="{6FAEB30D-05DF-409B-A485-918BE8586906}"/>
    <cellStyle name="Notiz 31 9 2 2" xfId="36092" xr:uid="{70774563-4435-4150-9ED9-88DE6ABA02EE}"/>
    <cellStyle name="Notiz 31 9 3" xfId="36091" xr:uid="{A5D33845-556B-458D-A722-1378491553A1}"/>
    <cellStyle name="Notiz 32" xfId="86" xr:uid="{2E113EC9-77A4-4EFE-A51A-F2BF0F033A8D}"/>
    <cellStyle name="Notiz 32 2" xfId="16657" xr:uid="{91732FB2-6444-44FE-BD53-EDF38FBCABCC}"/>
    <cellStyle name="Notiz 32 2 2" xfId="36094" xr:uid="{EB8585D0-8922-4F5D-B260-09403CD51BC8}"/>
    <cellStyle name="Notiz 32 2 2 2" xfId="41008" xr:uid="{3C8DE3E4-49BE-4829-8B2E-67F31614D4D0}"/>
    <cellStyle name="Notiz 32 2 2 3" xfId="41867" xr:uid="{DC6DC1B7-D448-4C14-A3F0-CCB9E0ED7B39}"/>
    <cellStyle name="Notiz 32 2 2 4" xfId="40101" xr:uid="{D455D218-16DE-48EA-B292-71B84D34D7A3}"/>
    <cellStyle name="Notiz 32 2 3" xfId="40566" xr:uid="{79D1B502-24DF-4B08-B90D-5A9306E4861A}"/>
    <cellStyle name="Notiz 32 2 4" xfId="41426" xr:uid="{FF3A8101-44A0-4678-A04B-8DAA3BA0805E}"/>
    <cellStyle name="Notiz 32 2 5" xfId="39549" xr:uid="{CFD91C98-3397-4A71-AF2C-501AB49EC92D}"/>
    <cellStyle name="Notiz 32 3" xfId="36093" xr:uid="{D3FCEE29-5F1C-42B2-8676-93BD17BD3D82}"/>
    <cellStyle name="Notiz 32 3 2" xfId="41007" xr:uid="{E8A5D02A-A25C-4DC8-918C-E9F8E722B7A9}"/>
    <cellStyle name="Notiz 32 3 3" xfId="41866" xr:uid="{631B1FE8-4E1B-45F9-9AA6-01044D40C97B}"/>
    <cellStyle name="Notiz 32 3 4" xfId="40100" xr:uid="{4A7E8B6D-F2E5-4819-82BB-C1834601B719}"/>
    <cellStyle name="Notiz 32 4" xfId="40565" xr:uid="{F832DDF8-B8C2-4EDA-B45A-8CA81E7EF7D5}"/>
    <cellStyle name="Notiz 32 5" xfId="41425" xr:uid="{EA18F646-69CA-417C-A01E-9E1A72B065E8}"/>
    <cellStyle name="Notiz 32 6" xfId="39548" xr:uid="{9BA008E2-8646-4A38-8585-54F8019DC1EF}"/>
    <cellStyle name="Notiz 32 7" xfId="16656" xr:uid="{90479347-900C-4283-A5BA-E2D46E681E57}"/>
    <cellStyle name="Notiz 33" xfId="87" xr:uid="{ECFD3B30-1138-4F5E-8E56-9BFCEC3A07BB}"/>
    <cellStyle name="Notiz 33 2" xfId="16659" xr:uid="{1B002808-01CC-4591-8ED4-C03014B312D6}"/>
    <cellStyle name="Notiz 33 2 2" xfId="36096" xr:uid="{3CF676F3-88E9-489F-83B6-9A1B45D6E27B}"/>
    <cellStyle name="Notiz 33 2 2 2" xfId="41010" xr:uid="{D3C64A61-0503-464D-87EC-AE7BF1844593}"/>
    <cellStyle name="Notiz 33 2 2 3" xfId="41869" xr:uid="{99EE9F67-DCA5-4A09-A034-B98E30564806}"/>
    <cellStyle name="Notiz 33 2 2 4" xfId="40103" xr:uid="{6A7B6231-D126-477B-AAB9-430D85575918}"/>
    <cellStyle name="Notiz 33 2 3" xfId="40568" xr:uid="{070C50FA-B5D8-43A3-9C9F-5101D451CA2B}"/>
    <cellStyle name="Notiz 33 2 4" xfId="41428" xr:uid="{60509A6C-A322-4D0D-84E3-70542F3B2E1F}"/>
    <cellStyle name="Notiz 33 2 5" xfId="39551" xr:uid="{58FCFC36-F3D5-401A-9915-E75D68E080D8}"/>
    <cellStyle name="Notiz 33 3" xfId="36095" xr:uid="{8E68CE52-20BB-4664-B82E-0DE5682EE3BA}"/>
    <cellStyle name="Notiz 33 3 2" xfId="41009" xr:uid="{C431FEC4-2212-4602-AC31-CBDCF0BB0BDA}"/>
    <cellStyle name="Notiz 33 3 3" xfId="41868" xr:uid="{1CAD6CE2-EEB9-42F2-99DF-F4DD0BD1A56D}"/>
    <cellStyle name="Notiz 33 3 4" xfId="40102" xr:uid="{899BD917-B867-49AA-BCF6-7EAEDF139200}"/>
    <cellStyle name="Notiz 33 4" xfId="40567" xr:uid="{94E42424-AE60-4D64-91B7-9318135B02E4}"/>
    <cellStyle name="Notiz 33 5" xfId="41427" xr:uid="{6C338B47-0850-41DC-8B61-C9A70F3CDF66}"/>
    <cellStyle name="Notiz 33 6" xfId="39550" xr:uid="{D3156EC3-5FD8-40D6-8D74-642D4F905430}"/>
    <cellStyle name="Notiz 33 7" xfId="16658" xr:uid="{6FC08B4B-3FD3-4C2B-B63D-0A4D44E6564C}"/>
    <cellStyle name="Notiz 34" xfId="88" xr:uid="{464DA558-8990-4EEE-B97B-B7F8D9466097}"/>
    <cellStyle name="Notiz 34 2" xfId="16661" xr:uid="{B17E4CFB-C260-455C-AEFD-9AA6DAEC8FE7}"/>
    <cellStyle name="Notiz 34 2 2" xfId="36098" xr:uid="{4B4088EF-FEA1-4AA1-96FF-2FF7EFC2C19F}"/>
    <cellStyle name="Notiz 34 2 2 2" xfId="41012" xr:uid="{70756007-8F7B-451E-A70F-9C84CF1B0F4D}"/>
    <cellStyle name="Notiz 34 2 2 3" xfId="41871" xr:uid="{A1399C3C-79E6-4844-A76E-2B41965259FA}"/>
    <cellStyle name="Notiz 34 2 2 4" xfId="40105" xr:uid="{5B27ACAB-0978-481D-9C77-0CBE598063FE}"/>
    <cellStyle name="Notiz 34 2 3" xfId="40570" xr:uid="{8B7DCA4E-F2CE-4814-8FA3-7D09C0E369F0}"/>
    <cellStyle name="Notiz 34 2 4" xfId="41430" xr:uid="{0E3B9D86-B9ED-4478-B999-8D426A29ED4C}"/>
    <cellStyle name="Notiz 34 2 5" xfId="39553" xr:uid="{5E069AF5-738C-45B4-A9B2-9543FE6EBD5A}"/>
    <cellStyle name="Notiz 34 3" xfId="36097" xr:uid="{ABEF9559-9FE1-4F81-941F-00EA4BA0B1DC}"/>
    <cellStyle name="Notiz 34 3 2" xfId="41011" xr:uid="{5652200E-E598-4D2E-A373-F2A5C8AF9B9E}"/>
    <cellStyle name="Notiz 34 3 3" xfId="41870" xr:uid="{212003C1-D60F-4BA0-8A0D-55C564331074}"/>
    <cellStyle name="Notiz 34 3 4" xfId="40104" xr:uid="{E1B4DF07-5CC7-4D17-9711-CDE32A076118}"/>
    <cellStyle name="Notiz 34 4" xfId="40569" xr:uid="{14CF36ED-3EFC-4BB7-9554-F26E297A54E0}"/>
    <cellStyle name="Notiz 34 5" xfId="41429" xr:uid="{1388195D-4F91-4393-A12E-EBFB38632B52}"/>
    <cellStyle name="Notiz 34 6" xfId="39552" xr:uid="{50E709BC-9686-481D-B448-DC1153F8D12A}"/>
    <cellStyle name="Notiz 34 7" xfId="16660" xr:uid="{A4D90B4B-E34E-4BC8-99AE-7A395E42F30B}"/>
    <cellStyle name="Notiz 35" xfId="89" xr:uid="{C8F30820-065F-4E3A-BBC7-6C35F8123F30}"/>
    <cellStyle name="Notiz 35 2" xfId="16663" xr:uid="{2635C9BC-74D0-4554-A82D-27C45EAD4085}"/>
    <cellStyle name="Notiz 35 2 2" xfId="36100" xr:uid="{5D95904D-4897-4DDF-9D78-B0D9DACC7042}"/>
    <cellStyle name="Notiz 35 2 2 2" xfId="41014" xr:uid="{C40F3525-5388-40E3-A5C8-38E0B6B88D01}"/>
    <cellStyle name="Notiz 35 2 2 3" xfId="41873" xr:uid="{64BFD99C-96E6-4F7F-ADB2-3085F04A7792}"/>
    <cellStyle name="Notiz 35 2 2 4" xfId="40107" xr:uid="{C8E2C775-73BE-4716-9947-0D9EF461F83D}"/>
    <cellStyle name="Notiz 35 2 3" xfId="40572" xr:uid="{88DA6845-3145-49B7-B18A-DAFC95A87B6E}"/>
    <cellStyle name="Notiz 35 2 4" xfId="41432" xr:uid="{E9E1DC9A-A14D-44BB-9CEE-CD815539A888}"/>
    <cellStyle name="Notiz 35 2 5" xfId="39555" xr:uid="{C9594C2B-D8FF-44C6-A068-D62081FE3351}"/>
    <cellStyle name="Notiz 35 3" xfId="36099" xr:uid="{869D6A59-35D3-412E-846E-F05529F2F641}"/>
    <cellStyle name="Notiz 35 3 2" xfId="41013" xr:uid="{613328C9-E3CC-42B8-9609-24E87380A139}"/>
    <cellStyle name="Notiz 35 3 3" xfId="41872" xr:uid="{03F80036-084A-439D-A939-00C6EC9725A4}"/>
    <cellStyle name="Notiz 35 3 4" xfId="40106" xr:uid="{19C28B2D-7D49-482B-BEC4-5EAD8BD089CE}"/>
    <cellStyle name="Notiz 35 4" xfId="40571" xr:uid="{77E1F5DA-BA0E-4F07-9818-572C20DE830A}"/>
    <cellStyle name="Notiz 35 5" xfId="41431" xr:uid="{A788AD9B-E44C-4A01-A77A-39ED112DC387}"/>
    <cellStyle name="Notiz 35 6" xfId="39554" xr:uid="{35690D63-A282-4A2A-B7AE-B951921CA2F2}"/>
    <cellStyle name="Notiz 35 7" xfId="16662" xr:uid="{DC75C5FE-5BA2-4694-BC78-77D3B428ED33}"/>
    <cellStyle name="Notiz 36" xfId="90" xr:uid="{D3B8E50A-7A4A-45CD-84AE-5B5F3482756D}"/>
    <cellStyle name="Notiz 36 2" xfId="16665" xr:uid="{7D022A29-1D7A-4C90-8F62-ADAE63B3F4C7}"/>
    <cellStyle name="Notiz 36 2 2" xfId="36102" xr:uid="{9E338AB8-7FD5-49F1-815D-E3FC7B6F2C72}"/>
    <cellStyle name="Notiz 36 2 2 2" xfId="41016" xr:uid="{0827D10C-84DC-4B02-BAD2-F4DD69A7346E}"/>
    <cellStyle name="Notiz 36 2 2 3" xfId="41875" xr:uid="{CDCB1518-ABA5-4577-A4E4-59C76941AB83}"/>
    <cellStyle name="Notiz 36 2 2 4" xfId="40109" xr:uid="{734D6325-8036-4E67-A5D0-F8001967438F}"/>
    <cellStyle name="Notiz 36 2 3" xfId="40574" xr:uid="{3C4A2035-21AA-4C9F-B979-926C5D10B26A}"/>
    <cellStyle name="Notiz 36 2 4" xfId="41434" xr:uid="{300F443D-AAC7-4997-B94D-8B37510A01DE}"/>
    <cellStyle name="Notiz 36 2 5" xfId="39557" xr:uid="{B6442496-314B-4F04-B2FE-8F6F4B8391B2}"/>
    <cellStyle name="Notiz 36 3" xfId="36101" xr:uid="{36C16409-7C1E-41CA-A865-652E01B148D9}"/>
    <cellStyle name="Notiz 36 3 2" xfId="41015" xr:uid="{59486ED6-53E6-4CC8-BD4F-652A72247F33}"/>
    <cellStyle name="Notiz 36 3 3" xfId="41874" xr:uid="{9D19E18E-147B-463F-89ED-59655967A8E2}"/>
    <cellStyle name="Notiz 36 3 4" xfId="40108" xr:uid="{1137E7F7-DC58-49C9-BE7B-72185F14FDD1}"/>
    <cellStyle name="Notiz 36 4" xfId="40573" xr:uid="{8120B73B-DC93-4756-A468-69B9207C0012}"/>
    <cellStyle name="Notiz 36 5" xfId="41433" xr:uid="{4514E0F8-FF65-482B-8198-E9DF5B205159}"/>
    <cellStyle name="Notiz 36 6" xfId="39556" xr:uid="{4ACA1A64-9549-4DB2-B1B8-DC6F407D2BAB}"/>
    <cellStyle name="Notiz 36 7" xfId="16664" xr:uid="{0D9C994B-0CCE-45DC-9F95-83BE345D1C4A}"/>
    <cellStyle name="Notiz 37" xfId="91" xr:uid="{A66F3D20-7FE3-4A02-A95D-24CDE8ECE01B}"/>
    <cellStyle name="Notiz 37 2" xfId="16667" xr:uid="{0876BC5A-12E7-4C12-97FE-DE8BD54790FB}"/>
    <cellStyle name="Notiz 37 2 2" xfId="36104" xr:uid="{7B0B6A30-EC3A-434D-9784-E8B3C516C9F5}"/>
    <cellStyle name="Notiz 37 2 2 2" xfId="41018" xr:uid="{E5310E91-096E-495D-8129-5E5A579CA5E1}"/>
    <cellStyle name="Notiz 37 2 2 3" xfId="41877" xr:uid="{36E56CB5-62DF-4FEA-8223-7B76C2DBAFE6}"/>
    <cellStyle name="Notiz 37 2 2 4" xfId="40111" xr:uid="{1603EF0F-3EE7-4FB5-B671-F87C958B1CB9}"/>
    <cellStyle name="Notiz 37 2 3" xfId="40576" xr:uid="{98C37ECC-47F9-4C35-B82E-AD4715991321}"/>
    <cellStyle name="Notiz 37 2 4" xfId="41436" xr:uid="{C76E88EA-5EF8-41B9-BE7B-EA199A1A0A16}"/>
    <cellStyle name="Notiz 37 2 5" xfId="39559" xr:uid="{4F367CAE-4D41-4160-9AC5-31E8C5A821DE}"/>
    <cellStyle name="Notiz 37 3" xfId="16668" xr:uid="{7CB5F93C-14A9-4DBB-AF60-E80AF065252C}"/>
    <cellStyle name="Notiz 37 3 2" xfId="36105" xr:uid="{EDD746F3-8599-4772-B9B5-3B0A95C55AB9}"/>
    <cellStyle name="Notiz 37 3 2 2" xfId="41017" xr:uid="{FD5189BE-92E9-4215-B428-D97CB6CBE952}"/>
    <cellStyle name="Notiz 37 3 3" xfId="41876" xr:uid="{585637F1-F93B-4535-BABD-5169C90BF0EF}"/>
    <cellStyle name="Notiz 37 3 4" xfId="40110" xr:uid="{C3EFC16A-482C-46B2-ACEC-ABFCB04C3FBD}"/>
    <cellStyle name="Notiz 37 4" xfId="36103" xr:uid="{B0FF22BE-199D-4D3B-B46F-49DA9840B410}"/>
    <cellStyle name="Notiz 37 4 2" xfId="40575" xr:uid="{0AA1879F-77F7-4307-B91B-2AF7BA5AC5B4}"/>
    <cellStyle name="Notiz 37 5" xfId="41435" xr:uid="{B8312011-08F9-48E6-B69B-B94F14D9F1BD}"/>
    <cellStyle name="Notiz 37 6" xfId="39558" xr:uid="{3F039613-79D4-4B49-A9BD-CCC3A65F1CE2}"/>
    <cellStyle name="Notiz 37 7" xfId="16666" xr:uid="{E1D7394E-7B09-46E9-9935-742D06C36015}"/>
    <cellStyle name="Notiz 38" xfId="92" xr:uid="{310BA386-9CB4-453C-AD13-8BD60CAE48A9}"/>
    <cellStyle name="Notiz 38 2" xfId="16670" xr:uid="{C05CCE12-0108-4B48-94A5-0E5FD00F8BEA}"/>
    <cellStyle name="Notiz 38 2 2" xfId="36107" xr:uid="{CD132887-2CCD-48BC-ABA6-046038C1C1D7}"/>
    <cellStyle name="Notiz 38 2 2 2" xfId="41020" xr:uid="{631230D2-6CA8-40C4-A0D4-4E93165A643F}"/>
    <cellStyle name="Notiz 38 2 2 3" xfId="41879" xr:uid="{02C1B7FE-7F31-426C-8A87-8D0C5A250533}"/>
    <cellStyle name="Notiz 38 2 2 4" xfId="40113" xr:uid="{989F53C2-2CAC-4551-A300-AC0043ED7CEB}"/>
    <cellStyle name="Notiz 38 2 3" xfId="40578" xr:uid="{71804ED6-3273-473D-9100-F52E16BBF724}"/>
    <cellStyle name="Notiz 38 2 4" xfId="41438" xr:uid="{1652DC06-1AD0-4DD4-B34D-FEA7151CC6BE}"/>
    <cellStyle name="Notiz 38 2 5" xfId="39561" xr:uid="{B7909140-4945-4C8D-A2D1-1E1BDACED516}"/>
    <cellStyle name="Notiz 38 3" xfId="16671" xr:uid="{D4623F86-E9C8-4996-9F39-6CFB598598AF}"/>
    <cellStyle name="Notiz 38 3 2" xfId="36108" xr:uid="{D2F95878-F2E1-4E87-AAFA-ED9EF5B9B483}"/>
    <cellStyle name="Notiz 38 3 2 2" xfId="41019" xr:uid="{32E9AFBE-2E70-400B-BD0A-F6C797A38F94}"/>
    <cellStyle name="Notiz 38 3 3" xfId="41878" xr:uid="{F6F001FC-CF4C-464A-B2E5-FAB4FAB1764F}"/>
    <cellStyle name="Notiz 38 3 4" xfId="40112" xr:uid="{286632EF-6376-4328-8633-B07EF7E58A1A}"/>
    <cellStyle name="Notiz 38 4" xfId="36106" xr:uid="{75B26853-2817-49FF-BF46-614367F4555D}"/>
    <cellStyle name="Notiz 38 4 2" xfId="40577" xr:uid="{471124F0-E30F-4EF2-B96B-19C4FDDE9100}"/>
    <cellStyle name="Notiz 38 5" xfId="41437" xr:uid="{3C051149-D452-4118-9374-246966A56EB0}"/>
    <cellStyle name="Notiz 38 6" xfId="39560" xr:uid="{91949E03-74E1-4540-99DC-15A0A07AADEC}"/>
    <cellStyle name="Notiz 38 7" xfId="16669" xr:uid="{71FAE7B4-4790-40DA-8200-3952C21B7E8C}"/>
    <cellStyle name="Notiz 39" xfId="93" xr:uid="{15B862C3-303D-47BA-BD97-79F69EB7CC56}"/>
    <cellStyle name="Notiz 39 2" xfId="16673" xr:uid="{0FEF4257-A6EE-47AD-A2FF-3A43E56F27E6}"/>
    <cellStyle name="Notiz 39 2 2" xfId="36110" xr:uid="{CA3F6C50-A403-4B75-8DA1-A72D7C70883A}"/>
    <cellStyle name="Notiz 39 2 2 2" xfId="41022" xr:uid="{5E8A09E1-B3FD-4134-9545-935AF6CFCC35}"/>
    <cellStyle name="Notiz 39 2 2 3" xfId="41881" xr:uid="{74804C08-BEA8-46E7-9264-7CD0B0293CB2}"/>
    <cellStyle name="Notiz 39 2 2 4" xfId="40115" xr:uid="{7C19CFA1-689F-4E92-BF31-8FA0D5359C4F}"/>
    <cellStyle name="Notiz 39 2 3" xfId="40580" xr:uid="{A584B6E1-E523-4477-9A2D-D82DD8FECD95}"/>
    <cellStyle name="Notiz 39 2 4" xfId="41440" xr:uid="{D047DC49-B470-4EAC-973B-C5C1CCA503FE}"/>
    <cellStyle name="Notiz 39 2 5" xfId="39563" xr:uid="{E896C044-391F-424E-B177-FBEA472E9D90}"/>
    <cellStyle name="Notiz 39 3" xfId="16674" xr:uid="{7C4EBCEF-1819-4B2D-8C24-4B76C2D7B338}"/>
    <cellStyle name="Notiz 39 3 2" xfId="36111" xr:uid="{270AC490-4565-4632-BAFD-2C2D4CBEEB2C}"/>
    <cellStyle name="Notiz 39 3 2 2" xfId="41021" xr:uid="{5EF967CC-C9C1-433A-9C7A-9EC893F649D4}"/>
    <cellStyle name="Notiz 39 3 3" xfId="41880" xr:uid="{FD823641-DD1A-4201-AFC3-06C22CE9E5D6}"/>
    <cellStyle name="Notiz 39 3 4" xfId="40114" xr:uid="{A4AA5BCB-4CE8-40AF-AF83-E4586019023C}"/>
    <cellStyle name="Notiz 39 4" xfId="36109" xr:uid="{8864408C-6DD6-46F5-A9CA-00A1BBC9FF3F}"/>
    <cellStyle name="Notiz 39 4 2" xfId="40579" xr:uid="{659EC7E9-ED8C-476D-A74C-CD05D32A84C8}"/>
    <cellStyle name="Notiz 39 5" xfId="41439" xr:uid="{D6AEC734-59C3-48A3-92EA-F27FA5BB5EBD}"/>
    <cellStyle name="Notiz 39 6" xfId="39562" xr:uid="{7445FF8F-F4C1-4CD1-B0EA-EDCDE005A2F8}"/>
    <cellStyle name="Notiz 39 7" xfId="16672" xr:uid="{22F9D5E2-6067-462D-A5CC-387EFDE95731}"/>
    <cellStyle name="Notiz 4" xfId="57" xr:uid="{C328D08B-3DC7-4062-A348-DB212B06F524}"/>
    <cellStyle name="Notiz 4 10" xfId="16676" xr:uid="{3CC309B4-D409-4D58-967D-679DB4768A39}"/>
    <cellStyle name="Notiz 4 10 2" xfId="16677" xr:uid="{5EB698A7-F318-46E9-A328-BDED96A1F9D5}"/>
    <cellStyle name="Notiz 4 10 2 2" xfId="36114" xr:uid="{7005B53B-939F-4415-8CB6-1A4E8F0A1524}"/>
    <cellStyle name="Notiz 4 10 3" xfId="36113" xr:uid="{375BF5EF-951B-411B-A7E3-C94DE9989F66}"/>
    <cellStyle name="Notiz 4 11" xfId="16678" xr:uid="{29EA68ED-243B-4D6C-A702-7493520B7861}"/>
    <cellStyle name="Notiz 4 11 2" xfId="16679" xr:uid="{B88A9C0E-F582-4207-B564-74BA7B913A06}"/>
    <cellStyle name="Notiz 4 11 2 2" xfId="36116" xr:uid="{2E47EC3F-C8D3-40BD-9F86-84B40489C31E}"/>
    <cellStyle name="Notiz 4 11 3" xfId="36115" xr:uid="{49A50BE5-4FFC-4AB8-85D1-BD66FAB70C63}"/>
    <cellStyle name="Notiz 4 12" xfId="16680" xr:uid="{A6CD5864-F089-4414-B22A-A71DF3234D0F}"/>
    <cellStyle name="Notiz 4 12 2" xfId="16681" xr:uid="{DEE75971-EF86-4CD3-922E-1FBFB09E0AC9}"/>
    <cellStyle name="Notiz 4 12 2 2" xfId="36118" xr:uid="{B8CD0301-F50F-40EB-9D83-7B4339295876}"/>
    <cellStyle name="Notiz 4 12 3" xfId="36117" xr:uid="{2E26DDAD-AC27-4F5F-B3E7-40CC1BD7BA79}"/>
    <cellStyle name="Notiz 4 13" xfId="16682" xr:uid="{B087A809-460C-40E3-94EB-503D579976C2}"/>
    <cellStyle name="Notiz 4 13 2" xfId="16683" xr:uid="{7BAAA2FF-24CC-4883-959E-7D801B61B205}"/>
    <cellStyle name="Notiz 4 13 2 2" xfId="36120" xr:uid="{A24514E9-E546-4A7F-9653-D089F2845EB0}"/>
    <cellStyle name="Notiz 4 13 3" xfId="36119" xr:uid="{9EEB8D26-82C5-4922-94CF-E52C43ACB431}"/>
    <cellStyle name="Notiz 4 14" xfId="16684" xr:uid="{E3529048-8070-4280-8991-A8DF25FC9AFF}"/>
    <cellStyle name="Notiz 4 14 2" xfId="16685" xr:uid="{3F0EF308-A33A-42FE-9F0C-F229785E3452}"/>
    <cellStyle name="Notiz 4 14 2 2" xfId="36122" xr:uid="{46652152-ECFF-4CB1-8D40-614A29E50FEF}"/>
    <cellStyle name="Notiz 4 14 3" xfId="36121" xr:uid="{D2111FE9-7D70-43E6-810C-D2C75E2CC492}"/>
    <cellStyle name="Notiz 4 15" xfId="16686" xr:uid="{F9B26885-B02C-483A-BB43-04701232F0BD}"/>
    <cellStyle name="Notiz 4 15 2" xfId="16687" xr:uid="{63A94FF9-49FD-4FC5-A214-3E4EC0A44FEA}"/>
    <cellStyle name="Notiz 4 15 2 2" xfId="36124" xr:uid="{95FD7D80-22E3-4236-BCA8-1D632A883F14}"/>
    <cellStyle name="Notiz 4 15 3" xfId="36123" xr:uid="{D7D0EB9E-043D-4558-8463-E6C88924B15E}"/>
    <cellStyle name="Notiz 4 16" xfId="16688" xr:uid="{5800E914-BA48-4150-ACF9-36A66D4D50B8}"/>
    <cellStyle name="Notiz 4 16 2" xfId="16689" xr:uid="{E47751CD-2CF6-4E29-9D07-E4512F5F0E07}"/>
    <cellStyle name="Notiz 4 16 2 2" xfId="36126" xr:uid="{EEBBB155-3096-47D7-BF93-7B68B11A41D4}"/>
    <cellStyle name="Notiz 4 16 3" xfId="36125" xr:uid="{41A4B271-7B54-4E6A-82E1-2335B1B9AEE7}"/>
    <cellStyle name="Notiz 4 17" xfId="16690" xr:uid="{41E6B0BE-016F-46A8-B891-4D41E8B232A9}"/>
    <cellStyle name="Notiz 4 17 2" xfId="16691" xr:uid="{7C594277-9CFB-473A-A1E6-9DFFF7671C43}"/>
    <cellStyle name="Notiz 4 17 2 2" xfId="36128" xr:uid="{B6ACC680-5396-45F2-AFB8-034B7876D0F2}"/>
    <cellStyle name="Notiz 4 17 3" xfId="36127" xr:uid="{B1995633-2527-4CD7-A75E-5A02A7CA92F8}"/>
    <cellStyle name="Notiz 4 18" xfId="16692" xr:uid="{7693696D-8E6B-48E2-85A5-538037933076}"/>
    <cellStyle name="Notiz 4 18 2" xfId="16693" xr:uid="{2B58464E-82A4-44E9-8A8F-BBDEDCDDDFED}"/>
    <cellStyle name="Notiz 4 18 2 2" xfId="36130" xr:uid="{E58E6946-3908-4CB5-9DF2-61B78A6A8076}"/>
    <cellStyle name="Notiz 4 18 3" xfId="36129" xr:uid="{9B3A4A48-A468-403E-BDAC-E2980E603C41}"/>
    <cellStyle name="Notiz 4 19" xfId="16694" xr:uid="{09FF0431-DB68-49D1-ABBE-A59682D7BA74}"/>
    <cellStyle name="Notiz 4 19 2" xfId="16695" xr:uid="{C67D591F-A6CE-4379-B552-DE23414AD219}"/>
    <cellStyle name="Notiz 4 19 2 2" xfId="36132" xr:uid="{D4B17CF5-2A70-40BC-845D-314361F9F4EB}"/>
    <cellStyle name="Notiz 4 19 3" xfId="36131" xr:uid="{5B7441A5-9669-4339-9BBA-8C8B697F5AE8}"/>
    <cellStyle name="Notiz 4 2" xfId="16696" xr:uid="{34B5CE5F-CE52-4056-8D70-43106BF01169}"/>
    <cellStyle name="Notiz 4 2 2" xfId="16697" xr:uid="{8B43B14C-B5FE-4E29-AF2D-1058C27DC0B1}"/>
    <cellStyle name="Notiz 4 2 2 2" xfId="16698" xr:uid="{133D87E8-6CCE-4ABE-9B99-028AC6E1EA5F}"/>
    <cellStyle name="Notiz 4 2 2 2 2" xfId="36135" xr:uid="{AF9D0C61-A052-44B3-8A48-61CE6A964BF0}"/>
    <cellStyle name="Notiz 4 2 2 2 3" xfId="41024" xr:uid="{3D2FBA86-F7CE-414A-A495-A4337C93B23A}"/>
    <cellStyle name="Notiz 4 2 2 3" xfId="36134" xr:uid="{9E099F63-691A-4C3A-8EF8-A134B3C37056}"/>
    <cellStyle name="Notiz 4 2 2 3 2" xfId="41883" xr:uid="{58DF3690-3492-4D8C-875A-EDA8B60EF2DB}"/>
    <cellStyle name="Notiz 4 2 2 4" xfId="40117" xr:uid="{06952781-FDDE-4852-8192-06E3C607D012}"/>
    <cellStyle name="Notiz 4 2 3" xfId="16699" xr:uid="{9F5E7079-75E7-4FE2-AB71-C342016AF907}"/>
    <cellStyle name="Notiz 4 2 3 2" xfId="36136" xr:uid="{418C5199-CD54-4BEB-9364-96BB1474D189}"/>
    <cellStyle name="Notiz 4 2 3 3" xfId="40582" xr:uid="{B84ACE48-A856-4B12-A94D-BECADC8A2177}"/>
    <cellStyle name="Notiz 4 2 4" xfId="36133" xr:uid="{18FD36B8-933C-4D63-BAA0-F98D4BDBD3D8}"/>
    <cellStyle name="Notiz 4 2 4 2" xfId="41442" xr:uid="{6ED8EC6A-2452-4939-9122-D54557E7ABEA}"/>
    <cellStyle name="Notiz 4 2 5" xfId="39565" xr:uid="{02C0E248-5F24-41AC-BB4C-3B302418A654}"/>
    <cellStyle name="Notiz 4 20" xfId="16700" xr:uid="{936FD275-CB5A-4AE9-88BC-3D07688B6798}"/>
    <cellStyle name="Notiz 4 20 2" xfId="16701" xr:uid="{08449946-90AA-4AA3-AFC3-FCA598BBCC6C}"/>
    <cellStyle name="Notiz 4 20 2 2" xfId="36138" xr:uid="{2D7D312F-7A21-4386-A1B5-F96D31936DFE}"/>
    <cellStyle name="Notiz 4 20 3" xfId="36137" xr:uid="{3185F7C1-1089-4234-8B59-5B610E6F03E8}"/>
    <cellStyle name="Notiz 4 21" xfId="16702" xr:uid="{DD1FA7E3-DE80-417C-9BDC-668FE8BC1FB0}"/>
    <cellStyle name="Notiz 4 21 2" xfId="16703" xr:uid="{C02515C7-42EB-436F-AD05-4C9985935280}"/>
    <cellStyle name="Notiz 4 21 2 2" xfId="36140" xr:uid="{1C833D5B-35F9-48C1-B1FA-1EC845A2CCDA}"/>
    <cellStyle name="Notiz 4 21 3" xfId="36139" xr:uid="{86122B47-8A0C-4B52-AD50-885BB0EC3320}"/>
    <cellStyle name="Notiz 4 22" xfId="16704" xr:uid="{E2BAC9CB-32C8-40FF-A3B9-2DE29A340269}"/>
    <cellStyle name="Notiz 4 22 2" xfId="36141" xr:uid="{4A7641C4-828C-48EA-8624-31510BE3EAC5}"/>
    <cellStyle name="Notiz 4 23" xfId="36112" xr:uid="{FD27B71E-E4DC-48CF-A37D-25CB5E9B9F84}"/>
    <cellStyle name="Notiz 4 24" xfId="39564" xr:uid="{3047B8CF-FBE4-4194-9095-61D512F819C2}"/>
    <cellStyle name="Notiz 4 25" xfId="16675" xr:uid="{C9B39D3C-3277-493A-8993-A8D8E74F9F13}"/>
    <cellStyle name="Notiz 4 3" xfId="16705" xr:uid="{08A7F0D4-F872-4FF5-9651-4EE93A11FE46}"/>
    <cellStyle name="Notiz 4 3 2" xfId="16706" xr:uid="{AA4DEE0E-2D42-4BBF-9853-E2300F3C96C8}"/>
    <cellStyle name="Notiz 4 3 2 2" xfId="36143" xr:uid="{9B6242EF-D064-48F3-AE8D-50238BB80C84}"/>
    <cellStyle name="Notiz 4 3 2 3" xfId="41023" xr:uid="{47735974-B27D-4778-A3FD-869698490A5D}"/>
    <cellStyle name="Notiz 4 3 3" xfId="36142" xr:uid="{68C24D3C-CA40-443C-A94F-03FF8C724210}"/>
    <cellStyle name="Notiz 4 3 3 2" xfId="41882" xr:uid="{AFF29B6A-F649-4963-B4D1-003FB8093599}"/>
    <cellStyle name="Notiz 4 3 4" xfId="40116" xr:uid="{3377E8ED-B1D3-446D-AE71-9E4578C7CD49}"/>
    <cellStyle name="Notiz 4 4" xfId="16707" xr:uid="{379DDA9D-F769-4DE4-8A64-B24C6BCBACEB}"/>
    <cellStyle name="Notiz 4 4 2" xfId="16708" xr:uid="{9255E1DF-68BD-4F1E-8865-7E53522008C6}"/>
    <cellStyle name="Notiz 4 4 2 2" xfId="36145" xr:uid="{4D54FDB3-74EA-48B3-A115-5F563F3F9565}"/>
    <cellStyle name="Notiz 4 4 3" xfId="36144" xr:uid="{57799486-4091-4545-AF03-FB3C58A1A727}"/>
    <cellStyle name="Notiz 4 4 4" xfId="40581" xr:uid="{D41717DE-2A23-439D-9259-475424636949}"/>
    <cellStyle name="Notiz 4 5" xfId="16709" xr:uid="{4479EFCE-33E1-4465-8185-440B554367E8}"/>
    <cellStyle name="Notiz 4 5 2" xfId="36146" xr:uid="{477A7E7E-DC34-4324-8A4E-2D2480ABCB35}"/>
    <cellStyle name="Notiz 4 5 3" xfId="41441" xr:uid="{745FF848-32EC-4151-B8EE-6F25F2DCC630}"/>
    <cellStyle name="Notiz 4 6" xfId="16710" xr:uid="{CA9C0F4D-E5D6-421E-8D1D-B5C13E5C8D7A}"/>
    <cellStyle name="Notiz 4 6 2" xfId="16711" xr:uid="{E9D73F98-8561-4EA0-9939-CE0E3EEA7CD3}"/>
    <cellStyle name="Notiz 4 6 2 2" xfId="36148" xr:uid="{AD05ADAA-EB8F-45DD-8FB3-D9B2FB355AA0}"/>
    <cellStyle name="Notiz 4 6 3" xfId="36147" xr:uid="{8EB5AAAF-569B-4946-80BF-7FD58DE016DE}"/>
    <cellStyle name="Notiz 4 7" xfId="16712" xr:uid="{0E793F03-4FFE-44B3-8429-885F25EF282E}"/>
    <cellStyle name="Notiz 4 7 2" xfId="16713" xr:uid="{AA60F65C-09E8-4536-9C54-E4555E27DE01}"/>
    <cellStyle name="Notiz 4 7 2 2" xfId="36150" xr:uid="{5D144642-CB1E-4007-8A91-477362580F31}"/>
    <cellStyle name="Notiz 4 7 3" xfId="36149" xr:uid="{3A3543CA-3399-4BC9-9E73-94701B9140FC}"/>
    <cellStyle name="Notiz 4 8" xfId="16714" xr:uid="{5ADDE5DF-64A0-404C-8503-180516768FD0}"/>
    <cellStyle name="Notiz 4 8 2" xfId="16715" xr:uid="{1AA39424-F471-4ADA-8E35-C207122AC069}"/>
    <cellStyle name="Notiz 4 8 2 2" xfId="36152" xr:uid="{4DEB5EE7-8874-490C-A921-A7BBD5F800ED}"/>
    <cellStyle name="Notiz 4 8 3" xfId="36151" xr:uid="{FC43B02B-8C5C-4AC9-B8EA-E4160DC5F715}"/>
    <cellStyle name="Notiz 4 9" xfId="16716" xr:uid="{371FAA18-F250-4E20-8F51-259B4D57B9F1}"/>
    <cellStyle name="Notiz 4 9 2" xfId="16717" xr:uid="{88378D92-8546-45F5-B455-C375D1418671}"/>
    <cellStyle name="Notiz 4 9 2 2" xfId="36154" xr:uid="{A2F5434F-9868-46AC-BCB6-E4BD310D1788}"/>
    <cellStyle name="Notiz 4 9 3" xfId="36153" xr:uid="{13069C52-B816-4FE5-B26B-86F736A4A3B6}"/>
    <cellStyle name="Notiz 40" xfId="112" xr:uid="{8FCBF895-25DA-4487-9CDD-C0158D6CE393}"/>
    <cellStyle name="Notiz 40 2" xfId="16719" xr:uid="{217EC49E-0A04-4831-B923-A2B0F0487056}"/>
    <cellStyle name="Notiz 40 2 2" xfId="36156" xr:uid="{F17924F1-EDEC-475E-8A50-FC0B2CE39E2C}"/>
    <cellStyle name="Notiz 40 2 2 2" xfId="41026" xr:uid="{BDCA5039-B401-4725-B095-5127DAE643D2}"/>
    <cellStyle name="Notiz 40 2 2 3" xfId="41885" xr:uid="{15688CEA-54D6-4B17-8E32-F69337686462}"/>
    <cellStyle name="Notiz 40 2 2 4" xfId="40119" xr:uid="{122DAA6F-81E2-4831-BF33-FDB22E3C52A6}"/>
    <cellStyle name="Notiz 40 2 3" xfId="40584" xr:uid="{A941C382-66EE-4E45-8C85-BB6851EFDE67}"/>
    <cellStyle name="Notiz 40 2 4" xfId="41444" xr:uid="{317A3134-E189-4388-BE03-99F5CD685F63}"/>
    <cellStyle name="Notiz 40 2 5" xfId="39567" xr:uid="{16C232AD-0DA7-4208-B75C-29E26C08140E}"/>
    <cellStyle name="Notiz 40 3" xfId="36155" xr:uid="{2F3B5C7C-9FF6-4B59-BB3C-83E5C2F5DDE1}"/>
    <cellStyle name="Notiz 40 3 2" xfId="41025" xr:uid="{5EE40784-4FFD-47B4-A0A1-6A22F66DD389}"/>
    <cellStyle name="Notiz 40 3 3" xfId="41884" xr:uid="{2C0D5F99-3046-4131-8B98-5205C980B63C}"/>
    <cellStyle name="Notiz 40 3 4" xfId="40118" xr:uid="{2B6CB6AA-42F1-4F7A-8BA1-4266BEC4D909}"/>
    <cellStyle name="Notiz 40 4" xfId="40583" xr:uid="{93BF335B-A897-48D7-9381-8109C2182C02}"/>
    <cellStyle name="Notiz 40 5" xfId="41443" xr:uid="{F549802F-30CA-45CA-8E5A-25EF6D448726}"/>
    <cellStyle name="Notiz 40 6" xfId="39566" xr:uid="{27C14BB5-E457-4370-840E-2878BD0230B7}"/>
    <cellStyle name="Notiz 40 7" xfId="16718" xr:uid="{171FAA32-F4A6-480D-A4D3-080400E82EA1}"/>
    <cellStyle name="Notiz 41" xfId="126" xr:uid="{5795FDB4-B17D-4575-9E21-B4D8CB1C712F}"/>
    <cellStyle name="Notiz 41 2" xfId="39569" xr:uid="{27C01C01-727B-4B4F-9ED2-7B799956677E}"/>
    <cellStyle name="Notiz 41 2 2" xfId="40121" xr:uid="{B6570DE0-0262-4CD4-9ABB-AAD0959AF146}"/>
    <cellStyle name="Notiz 41 2 2 2" xfId="41028" xr:uid="{4B14148B-F60B-4531-8D05-18FB563A0191}"/>
    <cellStyle name="Notiz 41 2 2 3" xfId="41887" xr:uid="{EB01C205-A07F-45CF-A255-228719BA8A9D}"/>
    <cellStyle name="Notiz 41 2 3" xfId="40586" xr:uid="{6F054980-E462-40CB-A968-5EA601BF2BF3}"/>
    <cellStyle name="Notiz 41 2 4" xfId="41446" xr:uid="{41EF3F74-D7C5-49E6-8FE3-2D072F5DAB4E}"/>
    <cellStyle name="Notiz 41 3" xfId="40120" xr:uid="{9DD10DCD-5D5B-4448-91CA-3E8E42090410}"/>
    <cellStyle name="Notiz 41 3 2" xfId="41027" xr:uid="{2FCE9E44-8A78-4824-ACC0-952311BB6C64}"/>
    <cellStyle name="Notiz 41 3 3" xfId="41886" xr:uid="{378962DF-3689-4328-8F71-ADCABF821937}"/>
    <cellStyle name="Notiz 41 4" xfId="40585" xr:uid="{14602D2F-B392-4959-87F2-101953B1FD18}"/>
    <cellStyle name="Notiz 41 5" xfId="41445" xr:uid="{3DD19C32-F957-4557-94B1-39811B8C800B}"/>
    <cellStyle name="Notiz 41 6" xfId="39568" xr:uid="{F884101F-96C4-468B-9062-E9EE658244BD}"/>
    <cellStyle name="Notiz 41 7" xfId="34783" xr:uid="{9B8BD7EB-EA64-47FE-B60E-05A626B8EF68}"/>
    <cellStyle name="Notiz 42" xfId="39570" xr:uid="{819DFD6D-7C4C-40C7-8CF5-8B9F82D0C52F}"/>
    <cellStyle name="Notiz 42 2" xfId="39571" xr:uid="{975E93A4-28AA-418C-9AD4-6247EFD20E8A}"/>
    <cellStyle name="Notiz 42 2 2" xfId="40123" xr:uid="{3ED7B9AF-B249-4D86-971D-ECF95C0710F6}"/>
    <cellStyle name="Notiz 42 2 2 2" xfId="41030" xr:uid="{934C020A-9532-4B07-A08B-D69021DA6BAE}"/>
    <cellStyle name="Notiz 42 2 2 3" xfId="41889" xr:uid="{6EDC7A0D-6716-4C67-BE01-17AA27C98FE9}"/>
    <cellStyle name="Notiz 42 2 3" xfId="40588" xr:uid="{B1B3AF12-13B6-4BC0-AB7E-65181EBC9931}"/>
    <cellStyle name="Notiz 42 2 4" xfId="41448" xr:uid="{30E2AFD0-6438-4CBA-AE3F-266C00C03F4D}"/>
    <cellStyle name="Notiz 42 3" xfId="40122" xr:uid="{2AEED602-DB33-4E30-A4DE-9C8326A3A2C7}"/>
    <cellStyle name="Notiz 42 3 2" xfId="41029" xr:uid="{0A188E6B-1D2B-4721-82C6-2E41E7DCC6A5}"/>
    <cellStyle name="Notiz 42 3 3" xfId="41888" xr:uid="{E2BC5C4F-3D95-4500-A343-90DAD4181897}"/>
    <cellStyle name="Notiz 42 4" xfId="40587" xr:uid="{B241AF79-5680-46DD-B7E7-EB6DD4D120AF}"/>
    <cellStyle name="Notiz 42 5" xfId="41447" xr:uid="{3F669475-0D42-4A03-B0E3-DE4DF2938109}"/>
    <cellStyle name="Notiz 43" xfId="39572" xr:uid="{F4C1274C-E692-4C95-B5DC-6D4394913D16}"/>
    <cellStyle name="Notiz 43 2" xfId="39573" xr:uid="{21776212-3734-4680-A418-B91386E5A241}"/>
    <cellStyle name="Notiz 43 2 2" xfId="40125" xr:uid="{2D70D251-6B2C-4D31-9DD9-1100B7711876}"/>
    <cellStyle name="Notiz 43 2 2 2" xfId="41032" xr:uid="{36484100-B8DC-4460-B41B-A3B4B2C557C6}"/>
    <cellStyle name="Notiz 43 2 2 3" xfId="41891" xr:uid="{137D5D29-E03C-41F0-A302-45BF93F751D0}"/>
    <cellStyle name="Notiz 43 2 3" xfId="40590" xr:uid="{76B0937A-DE91-46B3-839A-5F3A202EDF71}"/>
    <cellStyle name="Notiz 43 2 4" xfId="41450" xr:uid="{E6C38E36-A271-4779-8A32-FBC16569CBBD}"/>
    <cellStyle name="Notiz 43 3" xfId="40124" xr:uid="{1AE7E6A6-2C89-4C20-A63C-A62CBD5A67AE}"/>
    <cellStyle name="Notiz 43 3 2" xfId="41031" xr:uid="{9B5BE3D9-BBC3-4938-917B-979DEB3449B4}"/>
    <cellStyle name="Notiz 43 3 3" xfId="41890" xr:uid="{ADC45A13-BED5-4451-ABF9-92F4FD44A514}"/>
    <cellStyle name="Notiz 43 4" xfId="40589" xr:uid="{E6755F22-A40F-44DF-AB88-4278B2EBFA4D}"/>
    <cellStyle name="Notiz 43 5" xfId="41449" xr:uid="{6252FE70-9DC7-473C-8C04-6AB2F98C4604}"/>
    <cellStyle name="Notiz 44" xfId="39574" xr:uid="{BBE828BF-A56F-4626-BCF9-9418E71E97BF}"/>
    <cellStyle name="Notiz 44 2" xfId="39575" xr:uid="{777DC665-29D1-4F25-9074-C80EB682983B}"/>
    <cellStyle name="Notiz 44 2 2" xfId="40127" xr:uid="{E9096559-070D-4735-B5CC-80EA40F60A4A}"/>
    <cellStyle name="Notiz 44 2 2 2" xfId="41034" xr:uid="{EA46F626-153E-4F36-A80A-C2F0E7F661A3}"/>
    <cellStyle name="Notiz 44 2 2 3" xfId="41893" xr:uid="{AEA9CE4B-7F73-42C1-8ADB-39E5C20B9E05}"/>
    <cellStyle name="Notiz 44 2 3" xfId="40592" xr:uid="{58472939-D135-43C7-B535-58D8556CC9B7}"/>
    <cellStyle name="Notiz 44 2 4" xfId="41452" xr:uid="{745D4C21-A18E-4FB3-803E-C089EBC5D0CF}"/>
    <cellStyle name="Notiz 44 3" xfId="40126" xr:uid="{955E46DB-7934-4D2C-B291-674E2F92E4F7}"/>
    <cellStyle name="Notiz 44 3 2" xfId="41033" xr:uid="{E0E444DC-7B72-4AAC-9284-A49A179E4994}"/>
    <cellStyle name="Notiz 44 3 3" xfId="41892" xr:uid="{DD3F6AD9-5A59-4905-A570-A30E5E2F4F22}"/>
    <cellStyle name="Notiz 44 4" xfId="40591" xr:uid="{F64CB228-C26C-4F96-8B24-465ACDC36A13}"/>
    <cellStyle name="Notiz 44 5" xfId="41451" xr:uid="{FAF6869D-F28D-4B27-857B-31C463048DFB}"/>
    <cellStyle name="Notiz 45" xfId="39576" xr:uid="{7C5C0D09-EC34-46B4-91B5-1111F2FF0799}"/>
    <cellStyle name="Notiz 45 2" xfId="39577" xr:uid="{CD2F03A8-D689-4031-8A99-F3C0E787B3EB}"/>
    <cellStyle name="Notiz 45 2 2" xfId="40129" xr:uid="{BA755F82-0EC9-4654-9124-801E53274580}"/>
    <cellStyle name="Notiz 45 2 2 2" xfId="41036" xr:uid="{5775B389-E23F-48A3-9D86-D4CD675DD4F5}"/>
    <cellStyle name="Notiz 45 2 2 3" xfId="41895" xr:uid="{17AB7283-0541-4169-AB05-43EAEA513064}"/>
    <cellStyle name="Notiz 45 2 3" xfId="40594" xr:uid="{92F7E00F-AABC-444D-9C82-E1EBB422DAE9}"/>
    <cellStyle name="Notiz 45 2 4" xfId="41454" xr:uid="{7CE2CC6B-D571-4DB2-92E3-77A3B0E06029}"/>
    <cellStyle name="Notiz 45 3" xfId="40128" xr:uid="{3F90A25E-87AD-4C48-B5BC-8339C1860DD3}"/>
    <cellStyle name="Notiz 45 3 2" xfId="41035" xr:uid="{7951BD04-446C-4B7A-80C6-0D272EABF8BC}"/>
    <cellStyle name="Notiz 45 3 3" xfId="41894" xr:uid="{E5B824C8-8099-4F13-AEC2-25B8937D7CCA}"/>
    <cellStyle name="Notiz 45 4" xfId="40593" xr:uid="{ACEDD165-AD1B-4B4E-8F27-BC141C0E67E7}"/>
    <cellStyle name="Notiz 45 5" xfId="41453" xr:uid="{7A40E46E-336B-4C45-9464-373B63FE0EB9}"/>
    <cellStyle name="Notiz 46" xfId="39578" xr:uid="{8813585D-F63C-45E4-B461-F06D0D42FE8D}"/>
    <cellStyle name="Notiz 46 2" xfId="39579" xr:uid="{52DD4DAB-F865-4E84-A9D2-B9960E7148B2}"/>
    <cellStyle name="Notiz 46 2 2" xfId="40131" xr:uid="{EA0C20AD-FEAE-4EBB-B3CA-DA2C11DB8633}"/>
    <cellStyle name="Notiz 46 2 2 2" xfId="41038" xr:uid="{EC4142BF-B393-4977-B73D-FB1A63D1C695}"/>
    <cellStyle name="Notiz 46 2 2 3" xfId="41897" xr:uid="{5830852E-11D3-43CF-9799-555616D733D7}"/>
    <cellStyle name="Notiz 46 2 3" xfId="40596" xr:uid="{3290A0A4-6CA3-478D-825E-42483C8822EB}"/>
    <cellStyle name="Notiz 46 2 4" xfId="41456" xr:uid="{FE253752-6DE8-494B-8D75-90CFCE7E6850}"/>
    <cellStyle name="Notiz 46 3" xfId="40130" xr:uid="{935A5E56-F0DC-4733-BA94-B8D5FA5EEA2C}"/>
    <cellStyle name="Notiz 46 3 2" xfId="41037" xr:uid="{7E360520-A4B2-4A66-A9BE-C4F9ABC63F1A}"/>
    <cellStyle name="Notiz 46 3 3" xfId="41896" xr:uid="{18B0BE65-87FB-499B-AF6E-09B5A8C4ED67}"/>
    <cellStyle name="Notiz 46 4" xfId="40595" xr:uid="{14094A3A-199F-4550-859A-486CC3415688}"/>
    <cellStyle name="Notiz 46 5" xfId="41455" xr:uid="{40DB157B-E367-4E47-94EF-791CEF5089A4}"/>
    <cellStyle name="Notiz 47" xfId="39580" xr:uid="{C7619358-4230-4836-9260-4F1FCBA7EEA7}"/>
    <cellStyle name="Notiz 47 2" xfId="39581" xr:uid="{52C14B1C-BED3-49F5-8DE4-B4B6CE73B90B}"/>
    <cellStyle name="Notiz 47 2 2" xfId="40133" xr:uid="{2884C630-4E0D-4831-AB87-41AEAED926E0}"/>
    <cellStyle name="Notiz 47 2 2 2" xfId="41040" xr:uid="{947A748E-B402-47E6-874D-FC06E93841A5}"/>
    <cellStyle name="Notiz 47 2 2 3" xfId="41899" xr:uid="{EE1F2858-4C74-4497-8E5F-98514DA04072}"/>
    <cellStyle name="Notiz 47 2 3" xfId="40598" xr:uid="{BF97D090-2698-4328-A46E-B0A48554C827}"/>
    <cellStyle name="Notiz 47 2 4" xfId="41458" xr:uid="{23434AAA-6F07-4756-BCBE-AC073034AA51}"/>
    <cellStyle name="Notiz 47 3" xfId="40132" xr:uid="{733D297C-9C30-46CD-8D78-B99E47D079D5}"/>
    <cellStyle name="Notiz 47 3 2" xfId="41039" xr:uid="{D2C637D4-C104-497C-9B67-AC68F4EE1372}"/>
    <cellStyle name="Notiz 47 3 3" xfId="41898" xr:uid="{7A7A23BC-DBB5-46B1-B835-805F8A995826}"/>
    <cellStyle name="Notiz 47 4" xfId="40597" xr:uid="{06007EA0-8783-42E0-98E4-78FDB8C8B2B6}"/>
    <cellStyle name="Notiz 47 5" xfId="41457" xr:uid="{D110ADBF-9FB0-4D15-9D08-DD60A3EC52FA}"/>
    <cellStyle name="Notiz 48" xfId="39582" xr:uid="{824B3679-7B44-481D-9975-76CE5836DC59}"/>
    <cellStyle name="Notiz 48 2" xfId="39583" xr:uid="{C77021B7-1192-49D3-A7A9-9009C55626DB}"/>
    <cellStyle name="Notiz 48 2 2" xfId="40135" xr:uid="{4FFE4483-B64B-43E7-9AA8-8EC81BAC7808}"/>
    <cellStyle name="Notiz 48 2 2 2" xfId="41042" xr:uid="{C650A3C0-2919-4303-99AB-848D6867C52A}"/>
    <cellStyle name="Notiz 48 2 2 3" xfId="41901" xr:uid="{975098CC-68CE-4880-B3D1-48A53B2341D0}"/>
    <cellStyle name="Notiz 48 2 3" xfId="40600" xr:uid="{ADE13063-DD6D-462F-833E-EC236F483565}"/>
    <cellStyle name="Notiz 48 2 4" xfId="41460" xr:uid="{51BA5B46-0847-4C7D-913C-8316C6214C54}"/>
    <cellStyle name="Notiz 48 3" xfId="40134" xr:uid="{9276525D-DDC4-4AD8-BF8B-7D1A10E5AFCB}"/>
    <cellStyle name="Notiz 48 3 2" xfId="41041" xr:uid="{7DF7C055-D0AC-479A-9EDC-7CB3B00174CC}"/>
    <cellStyle name="Notiz 48 3 3" xfId="41900" xr:uid="{A47E331A-6B70-48AE-BCB4-959DAF27B3E9}"/>
    <cellStyle name="Notiz 48 4" xfId="40599" xr:uid="{2CBB9BE5-31EB-484F-9A9B-0DBE2D155A8B}"/>
    <cellStyle name="Notiz 48 5" xfId="41459" xr:uid="{8CFC2CCD-CE19-424E-B277-DF6095DEA824}"/>
    <cellStyle name="Notiz 49" xfId="39584" xr:uid="{EB15340B-B97C-42AA-9622-7816D23BE3EE}"/>
    <cellStyle name="Notiz 49 2" xfId="39585" xr:uid="{BE9EDAD5-3717-4445-85E5-0BF5AAAB9597}"/>
    <cellStyle name="Notiz 49 2 2" xfId="40137" xr:uid="{95F1775D-7C58-4D33-BB0D-F35C8B86F228}"/>
    <cellStyle name="Notiz 49 2 2 2" xfId="41044" xr:uid="{AF6DFC30-D4E7-4D20-8ECA-D84D39FF862D}"/>
    <cellStyle name="Notiz 49 2 2 3" xfId="41903" xr:uid="{2C74E68E-AEAF-4B62-8A0B-2A1FE5C2F757}"/>
    <cellStyle name="Notiz 49 2 3" xfId="40602" xr:uid="{30CAC5D3-9084-4A3D-BEB8-4ACDAD947C73}"/>
    <cellStyle name="Notiz 49 2 4" xfId="41462" xr:uid="{FD55292B-B438-40D2-A33D-FA3D045E14DF}"/>
    <cellStyle name="Notiz 49 3" xfId="40136" xr:uid="{5068B01D-79F9-4FCC-9A14-F28B6867A94D}"/>
    <cellStyle name="Notiz 49 3 2" xfId="41043" xr:uid="{E38E0FE9-BCD3-4CEE-966D-ABC7F898DEB6}"/>
    <cellStyle name="Notiz 49 3 3" xfId="41902" xr:uid="{FA618FB2-0F4E-452B-AF5B-7E5EA35CA8FB}"/>
    <cellStyle name="Notiz 49 4" xfId="40601" xr:uid="{69A7493B-6E0C-4AA0-9DBF-0888546E99C8}"/>
    <cellStyle name="Notiz 49 5" xfId="41461" xr:uid="{67860FE7-095E-454B-8DFA-5147E143E105}"/>
    <cellStyle name="Notiz 5" xfId="58" xr:uid="{0E85E483-F30A-43C0-93C1-ACB2F79D9A90}"/>
    <cellStyle name="Notiz 5 10" xfId="16721" xr:uid="{691D3B49-503F-4DAD-AA9E-D14252205B35}"/>
    <cellStyle name="Notiz 5 10 2" xfId="16722" xr:uid="{D381DBFF-B61C-496E-AD2B-32C1713BB50E}"/>
    <cellStyle name="Notiz 5 10 2 2" xfId="36159" xr:uid="{217A5665-B423-43D9-A97C-FDCEC60FD8FC}"/>
    <cellStyle name="Notiz 5 10 3" xfId="36158" xr:uid="{C9F99CA5-EC9C-4B34-9C46-85EEC1C117B0}"/>
    <cellStyle name="Notiz 5 11" xfId="16723" xr:uid="{FD3F6876-E82B-419B-A7B8-0E81CFBAA340}"/>
    <cellStyle name="Notiz 5 11 2" xfId="16724" xr:uid="{34F89E2F-3D94-409D-B70E-26B248A1B79B}"/>
    <cellStyle name="Notiz 5 11 2 2" xfId="36161" xr:uid="{D365F273-895B-4279-A1FE-F55D58871729}"/>
    <cellStyle name="Notiz 5 11 3" xfId="36160" xr:uid="{4A19132F-BC7F-4456-B40A-3D687C56E0CD}"/>
    <cellStyle name="Notiz 5 12" xfId="16725" xr:uid="{E94F6CBA-9097-4DC8-82CE-C7FC0D03E2E6}"/>
    <cellStyle name="Notiz 5 12 2" xfId="16726" xr:uid="{801C9381-C0D2-4177-BF33-559DCA9A57E7}"/>
    <cellStyle name="Notiz 5 12 2 2" xfId="36163" xr:uid="{A618609E-7DFF-4239-9E87-532E8AAC0461}"/>
    <cellStyle name="Notiz 5 12 3" xfId="36162" xr:uid="{FA051856-3557-46E5-9AE1-69822454570F}"/>
    <cellStyle name="Notiz 5 13" xfId="16727" xr:uid="{ED102660-E6C3-485E-86EB-3DBA9D37BBA6}"/>
    <cellStyle name="Notiz 5 13 2" xfId="16728" xr:uid="{F9A9483E-B697-4ACE-A370-A2062C03BE80}"/>
    <cellStyle name="Notiz 5 13 2 2" xfId="36165" xr:uid="{533A5C7A-1088-4DEC-AB4E-03CC811C481C}"/>
    <cellStyle name="Notiz 5 13 3" xfId="36164" xr:uid="{F8C96B2B-BAEF-4F2A-9A1B-6A392E2841B8}"/>
    <cellStyle name="Notiz 5 14" xfId="16729" xr:uid="{66A36B49-F6BF-4625-A5A5-A16445749240}"/>
    <cellStyle name="Notiz 5 14 2" xfId="16730" xr:uid="{D9C794D6-3B80-4B05-9306-0ABCEE28A3AB}"/>
    <cellStyle name="Notiz 5 14 2 2" xfId="36167" xr:uid="{77039A4B-9D82-434F-8FF3-A694E7B73433}"/>
    <cellStyle name="Notiz 5 14 3" xfId="36166" xr:uid="{5FD5D1FC-5494-4368-BCE8-471F18B0C5DD}"/>
    <cellStyle name="Notiz 5 15" xfId="16731" xr:uid="{E49953D2-9A80-4EED-AB28-D012D0EECD86}"/>
    <cellStyle name="Notiz 5 15 2" xfId="16732" xr:uid="{0FA41FD1-0D1F-427D-95A8-2C708293E572}"/>
    <cellStyle name="Notiz 5 15 2 2" xfId="36169" xr:uid="{0E146578-18FD-4AA1-B83F-55187744388E}"/>
    <cellStyle name="Notiz 5 15 3" xfId="36168" xr:uid="{CECB3A0F-7A8B-4D57-890E-79E4331CA1AC}"/>
    <cellStyle name="Notiz 5 16" xfId="16733" xr:uid="{149C3853-4997-4B39-AA3A-41346909483A}"/>
    <cellStyle name="Notiz 5 16 2" xfId="16734" xr:uid="{D7414B4F-11BE-4FAB-8933-E54A2F2CAB28}"/>
    <cellStyle name="Notiz 5 16 2 2" xfId="36171" xr:uid="{3E22944E-2FBC-469C-81FB-0D5B16A7D81E}"/>
    <cellStyle name="Notiz 5 16 3" xfId="36170" xr:uid="{6CEC1825-6469-415E-91FD-DAD9856B180F}"/>
    <cellStyle name="Notiz 5 17" xfId="16735" xr:uid="{80A51370-52C0-4FE2-96C3-07B94638298A}"/>
    <cellStyle name="Notiz 5 17 2" xfId="16736" xr:uid="{26761D32-5D57-4619-AA29-6BC08529B53C}"/>
    <cellStyle name="Notiz 5 17 2 2" xfId="36173" xr:uid="{61BD36A1-292E-4E47-9E6A-F04E7830744A}"/>
    <cellStyle name="Notiz 5 17 3" xfId="36172" xr:uid="{D84C862D-6169-4982-80D2-90C7ACC89DDB}"/>
    <cellStyle name="Notiz 5 18" xfId="16737" xr:uid="{E5E3EA7A-49FE-42E5-93C2-A78F54ABD614}"/>
    <cellStyle name="Notiz 5 18 2" xfId="16738" xr:uid="{F4779E97-8102-4907-9D0D-B543B6CED423}"/>
    <cellStyle name="Notiz 5 18 2 2" xfId="36175" xr:uid="{542BD55E-AC44-425D-9C7C-620BAB951231}"/>
    <cellStyle name="Notiz 5 18 3" xfId="36174" xr:uid="{2B541A55-0C05-4B62-ADF8-3C24C293FE0F}"/>
    <cellStyle name="Notiz 5 19" xfId="16739" xr:uid="{7C821E0B-69C2-4DC4-AD3A-2A976887C5B7}"/>
    <cellStyle name="Notiz 5 19 2" xfId="16740" xr:uid="{D346330A-1C3E-437C-8869-EF3BC192BFF8}"/>
    <cellStyle name="Notiz 5 19 2 2" xfId="36177" xr:uid="{03F53958-9FD9-49F0-8145-D258F8DC6969}"/>
    <cellStyle name="Notiz 5 19 3" xfId="36176" xr:uid="{25046690-5480-4076-BD2F-275E1E225485}"/>
    <cellStyle name="Notiz 5 2" xfId="16741" xr:uid="{5524AFE5-DC57-4317-976E-15256C9EEE06}"/>
    <cellStyle name="Notiz 5 2 2" xfId="16742" xr:uid="{2E5FBEB6-43A0-48DE-B490-AC361716733F}"/>
    <cellStyle name="Notiz 5 2 2 2" xfId="36179" xr:uid="{FB74A6B8-33B1-4EFC-870A-00357D5BDC14}"/>
    <cellStyle name="Notiz 5 2 2 2 2" xfId="41046" xr:uid="{D0BBB766-5F38-4B96-B5A3-9F26D61FEE09}"/>
    <cellStyle name="Notiz 5 2 2 3" xfId="41905" xr:uid="{3C1C2A72-41C7-4831-9376-4F1A46D43B92}"/>
    <cellStyle name="Notiz 5 2 2 4" xfId="40139" xr:uid="{766D231F-76B2-47D3-B7C4-2D95830BD55F}"/>
    <cellStyle name="Notiz 5 2 3" xfId="36178" xr:uid="{ED6C7800-B84A-4735-A45B-B27FEA7C71AB}"/>
    <cellStyle name="Notiz 5 2 3 2" xfId="40604" xr:uid="{188F38AC-CF00-4850-A52B-E4454C1707B4}"/>
    <cellStyle name="Notiz 5 2 4" xfId="41464" xr:uid="{BEE57107-BD57-47A6-B0E4-967E883A013F}"/>
    <cellStyle name="Notiz 5 2 5" xfId="39587" xr:uid="{3B14EE6E-404B-49BC-BB06-8D77CAAFE785}"/>
    <cellStyle name="Notiz 5 20" xfId="16743" xr:uid="{8DB32228-5C6E-4FFF-9183-2D1410092A89}"/>
    <cellStyle name="Notiz 5 20 2" xfId="16744" xr:uid="{4547F7D5-83D3-4812-AD4B-F9E8C64BA425}"/>
    <cellStyle name="Notiz 5 20 2 2" xfId="36181" xr:uid="{B262CC46-B112-4530-A143-FFC307EB2FF6}"/>
    <cellStyle name="Notiz 5 20 3" xfId="36180" xr:uid="{87161DFE-3B1F-4A0B-A483-E8E2A2288C47}"/>
    <cellStyle name="Notiz 5 21" xfId="16745" xr:uid="{F93E4389-46A7-4EC3-A8CF-3E6FC9244C7D}"/>
    <cellStyle name="Notiz 5 21 2" xfId="16746" xr:uid="{880EEA85-3E03-4514-A368-BC5339429667}"/>
    <cellStyle name="Notiz 5 21 2 2" xfId="36183" xr:uid="{EFB3BB1A-449B-4816-8C79-4FF70E27ED40}"/>
    <cellStyle name="Notiz 5 21 3" xfId="36182" xr:uid="{ADD4A7AF-B0ED-4A50-97FE-C965D1553CE7}"/>
    <cellStyle name="Notiz 5 22" xfId="16747" xr:uid="{FC021A2C-BD9A-4B77-9990-B0B6422A6090}"/>
    <cellStyle name="Notiz 5 22 2" xfId="36184" xr:uid="{71A915AE-EA69-4F62-9DCF-B25938638B8E}"/>
    <cellStyle name="Notiz 5 23" xfId="36157" xr:uid="{9578325A-BC80-40F9-95A3-4ACC10F9898E}"/>
    <cellStyle name="Notiz 5 24" xfId="39586" xr:uid="{FC87784D-A331-459C-956F-32DD61ADAD53}"/>
    <cellStyle name="Notiz 5 25" xfId="16720" xr:uid="{961429B0-E99D-4944-A434-F27A3F040B3E}"/>
    <cellStyle name="Notiz 5 3" xfId="16748" xr:uid="{2CD7E7A8-28EE-46CD-8F99-8273D15137FD}"/>
    <cellStyle name="Notiz 5 3 2" xfId="36185" xr:uid="{716249D8-77C5-4A23-837F-4143A5FB833C}"/>
    <cellStyle name="Notiz 5 3 2 2" xfId="41045" xr:uid="{6393DEBE-697E-4702-980D-3199D264C5AD}"/>
    <cellStyle name="Notiz 5 3 3" xfId="41904" xr:uid="{F09D0144-7713-4E7F-928A-86EB16D51180}"/>
    <cellStyle name="Notiz 5 3 4" xfId="40138" xr:uid="{AEEE69AA-B2FF-42EF-BD33-84C38CC6B30C}"/>
    <cellStyle name="Notiz 5 4" xfId="16749" xr:uid="{C41DDD71-6E85-4362-B219-F0D49EEC68E5}"/>
    <cellStyle name="Notiz 5 4 2" xfId="16750" xr:uid="{D8362125-1FE7-4210-BF11-9EA4601F49BC}"/>
    <cellStyle name="Notiz 5 4 2 2" xfId="36187" xr:uid="{422559BD-CF82-4988-8042-6042BF30344C}"/>
    <cellStyle name="Notiz 5 4 3" xfId="36186" xr:uid="{7DAF0D7A-344A-4FAC-AAED-5E5BA10748E7}"/>
    <cellStyle name="Notiz 5 4 4" xfId="40603" xr:uid="{ACE93B55-3024-47B5-BC1E-1FF355BB1D15}"/>
    <cellStyle name="Notiz 5 5" xfId="16751" xr:uid="{636E5331-A073-4702-B168-3A9AABDA95FB}"/>
    <cellStyle name="Notiz 5 5 2" xfId="16752" xr:uid="{691E92F9-CA50-4637-BEC6-930E1AE42EF8}"/>
    <cellStyle name="Notiz 5 5 2 2" xfId="36189" xr:uid="{E0DE3EC9-A6CB-49A7-8E9E-18803EEF8BAA}"/>
    <cellStyle name="Notiz 5 5 3" xfId="36188" xr:uid="{1899D77A-03C7-4D4D-8480-62A1ADCE86A3}"/>
    <cellStyle name="Notiz 5 5 4" xfId="41463" xr:uid="{78D136D5-659B-49C4-96D0-2C679241D4B8}"/>
    <cellStyle name="Notiz 5 6" xfId="16753" xr:uid="{BB6817B5-0730-4E6F-90BB-9407CE0870B3}"/>
    <cellStyle name="Notiz 5 6 2" xfId="16754" xr:uid="{EE2A59DB-A961-4E26-AAF8-417C5C05B88F}"/>
    <cellStyle name="Notiz 5 6 2 2" xfId="36191" xr:uid="{792146A3-B14F-4298-95BA-9DCFDE28218E}"/>
    <cellStyle name="Notiz 5 6 3" xfId="36190" xr:uid="{D674C62E-589D-459C-8999-D5EE8DA24E75}"/>
    <cellStyle name="Notiz 5 7" xfId="16755" xr:uid="{FBBF2523-E3E9-499C-925E-EA4F436BF7E8}"/>
    <cellStyle name="Notiz 5 7 2" xfId="16756" xr:uid="{31FE1B72-2756-4252-BAC9-F18950CDB119}"/>
    <cellStyle name="Notiz 5 7 2 2" xfId="36193" xr:uid="{69D29C1D-20EB-4DCD-A132-90C2F31BC0AB}"/>
    <cellStyle name="Notiz 5 7 3" xfId="36192" xr:uid="{030E4E8F-3417-4A60-B1D8-EECF2C62CBF1}"/>
    <cellStyle name="Notiz 5 8" xfId="16757" xr:uid="{B1AE2A8E-BCDC-4DFA-9BD7-E9A612DBC311}"/>
    <cellStyle name="Notiz 5 8 2" xfId="16758" xr:uid="{5E073D53-0DD3-42B1-B522-1F815B3E8B3A}"/>
    <cellStyle name="Notiz 5 8 2 2" xfId="36195" xr:uid="{5E15B080-B8AA-41AE-B6E1-CF76F24EA939}"/>
    <cellStyle name="Notiz 5 8 3" xfId="36194" xr:uid="{0B7E4D4C-C688-44BF-ADB1-896516F78F08}"/>
    <cellStyle name="Notiz 5 9" xfId="16759" xr:uid="{F816B6A8-16B5-4783-BA5E-E1C618FE0F5E}"/>
    <cellStyle name="Notiz 5 9 2" xfId="16760" xr:uid="{067C6548-DD19-4134-9665-9D3B5B568106}"/>
    <cellStyle name="Notiz 5 9 2 2" xfId="36197" xr:uid="{511F3CD9-BBD6-4566-B921-DFF697C77CF1}"/>
    <cellStyle name="Notiz 5 9 3" xfId="36196" xr:uid="{0BB3663F-F9E1-40A2-9016-E1C33F4263C3}"/>
    <cellStyle name="Notiz 50" xfId="39588" xr:uid="{3994F270-C6B9-4D45-9C55-C355C9C84E38}"/>
    <cellStyle name="Notiz 50 2" xfId="39589" xr:uid="{0FE9B566-C0AF-4084-9FE4-FA0B15C09A5A}"/>
    <cellStyle name="Notiz 50 2 2" xfId="40141" xr:uid="{19EA5DDE-65A8-4672-8855-F9B6812B9621}"/>
    <cellStyle name="Notiz 50 2 2 2" xfId="41048" xr:uid="{AD790504-81E6-4622-A4CB-7C16693D6FD0}"/>
    <cellStyle name="Notiz 50 2 2 3" xfId="41907" xr:uid="{8CEC9A34-C2F7-4E0B-9D22-1BA8246F6001}"/>
    <cellStyle name="Notiz 50 2 3" xfId="40606" xr:uid="{69674FDC-6AC5-4A17-AB95-8E38094FECB0}"/>
    <cellStyle name="Notiz 50 2 4" xfId="41466" xr:uid="{25D54A86-15AB-4194-9CDE-CE8B1CFCAE61}"/>
    <cellStyle name="Notiz 50 3" xfId="40140" xr:uid="{DED15777-0C05-4957-B09D-6707637C5D6C}"/>
    <cellStyle name="Notiz 50 3 2" xfId="41047" xr:uid="{60801D0E-CF0C-4BE4-BAF4-8C2FEF98578D}"/>
    <cellStyle name="Notiz 50 3 3" xfId="41906" xr:uid="{1C36DCC9-76D3-4D6F-95BA-FCBD9DDC5E9B}"/>
    <cellStyle name="Notiz 50 4" xfId="40605" xr:uid="{F242F6A9-EFEB-4AF4-B497-196CE684AC85}"/>
    <cellStyle name="Notiz 50 5" xfId="41465" xr:uid="{EB0C67E9-569C-4F49-9FCB-A34BCA53FD8C}"/>
    <cellStyle name="Notiz 51" xfId="39590" xr:uid="{356A1C7D-096A-4E77-89B2-EA93013A9D07}"/>
    <cellStyle name="Notiz 51 2" xfId="39591" xr:uid="{237CBC4E-216E-4667-AD36-8104E237AFC5}"/>
    <cellStyle name="Notiz 51 2 2" xfId="40143" xr:uid="{9C7F7E67-BA06-4009-9C1E-AB88A56F5842}"/>
    <cellStyle name="Notiz 51 2 2 2" xfId="41050" xr:uid="{2E53C43C-8BBA-4E30-B483-666924612219}"/>
    <cellStyle name="Notiz 51 2 2 3" xfId="41909" xr:uid="{6F0DCE60-1AC3-4496-8FB1-866BAF7DCE94}"/>
    <cellStyle name="Notiz 51 2 3" xfId="40608" xr:uid="{FD5DC044-696B-4FBD-8585-FB5E6280FEA3}"/>
    <cellStyle name="Notiz 51 2 4" xfId="41468" xr:uid="{58B9989D-3AE1-47CD-9D79-E495089A4006}"/>
    <cellStyle name="Notiz 51 3" xfId="40142" xr:uid="{A6378910-F79F-4BD0-9754-4FB58C72A89F}"/>
    <cellStyle name="Notiz 51 3 2" xfId="41049" xr:uid="{20651B70-2B78-4587-9DEB-2CC975BF3BE1}"/>
    <cellStyle name="Notiz 51 3 3" xfId="41908" xr:uid="{08FFF786-A421-4631-9526-F134E3192793}"/>
    <cellStyle name="Notiz 51 4" xfId="40607" xr:uid="{EF21BBFB-E7CF-4208-99F0-6DD103F809A3}"/>
    <cellStyle name="Notiz 51 5" xfId="41467" xr:uid="{2798D9BD-A531-44AC-BED9-D234E7E26DE6}"/>
    <cellStyle name="Notiz 52" xfId="39592" xr:uid="{DF9B7648-F3E0-4985-B21B-EA7B51D96D4F}"/>
    <cellStyle name="Notiz 52 2" xfId="39593" xr:uid="{20C632BC-8F8A-4848-92B6-D646960F35CC}"/>
    <cellStyle name="Notiz 52 2 2" xfId="40145" xr:uid="{47D2BE7C-971F-4072-A2D5-2A1933F4C00D}"/>
    <cellStyle name="Notiz 52 2 2 2" xfId="41052" xr:uid="{67671266-03F5-4888-80A1-736E39BA5057}"/>
    <cellStyle name="Notiz 52 2 2 3" xfId="41911" xr:uid="{42644DE9-22C8-4857-AF14-BF7D67CCD978}"/>
    <cellStyle name="Notiz 52 2 3" xfId="40610" xr:uid="{A3AC378B-35B5-4D1A-8374-1FD74E81857F}"/>
    <cellStyle name="Notiz 52 2 4" xfId="41470" xr:uid="{11C30420-15BE-43F9-B777-AB53D5D7E4DB}"/>
    <cellStyle name="Notiz 52 3" xfId="40144" xr:uid="{A958F11B-7B61-4E78-963F-6B090DEA2942}"/>
    <cellStyle name="Notiz 52 3 2" xfId="41051" xr:uid="{67658F6E-3656-4CB4-840B-FC3D5A1A3009}"/>
    <cellStyle name="Notiz 52 3 3" xfId="41910" xr:uid="{8227BC9B-25AE-44B9-B257-30BD1816D57F}"/>
    <cellStyle name="Notiz 52 4" xfId="40609" xr:uid="{78A0F820-B421-44A7-96CF-323F3DC56BAD}"/>
    <cellStyle name="Notiz 52 5" xfId="41469" xr:uid="{2E354898-7EC6-4448-910F-3146F243D474}"/>
    <cellStyle name="Notiz 53" xfId="39594" xr:uid="{DCE0AD2F-CE62-479A-B253-8E0E69375597}"/>
    <cellStyle name="Notiz 53 2" xfId="39595" xr:uid="{B59D5CB4-E3AD-40FD-8CB9-9C0BAB60D010}"/>
    <cellStyle name="Notiz 53 2 2" xfId="40147" xr:uid="{ADEB000B-9318-42F3-A74D-E962FE9B4D61}"/>
    <cellStyle name="Notiz 53 2 2 2" xfId="41054" xr:uid="{BDE27082-152A-4DD1-A2CC-5A464A0E37F8}"/>
    <cellStyle name="Notiz 53 2 2 3" xfId="41913" xr:uid="{E918DEE2-B6DA-4A0A-A0E6-D18B89FF17CE}"/>
    <cellStyle name="Notiz 53 2 3" xfId="40612" xr:uid="{44862DAB-59EB-4A94-96AB-F53C4FA2B4AC}"/>
    <cellStyle name="Notiz 53 2 4" xfId="41472" xr:uid="{2C36042E-1F5C-4F7D-AF31-5141211A0B58}"/>
    <cellStyle name="Notiz 53 3" xfId="40146" xr:uid="{66A1EBE9-E638-4DB2-B968-CF120543BBA6}"/>
    <cellStyle name="Notiz 53 3 2" xfId="41053" xr:uid="{C9FC8499-D0E4-4714-A4F8-AE8B38602B96}"/>
    <cellStyle name="Notiz 53 3 3" xfId="41912" xr:uid="{2371AF71-E47E-47C8-A732-BA69852C64A1}"/>
    <cellStyle name="Notiz 53 4" xfId="40611" xr:uid="{59705269-782B-40F5-878C-1E768BECCD51}"/>
    <cellStyle name="Notiz 53 5" xfId="41471" xr:uid="{8DE74741-F459-45EE-A530-90B4826289FC}"/>
    <cellStyle name="Notiz 54" xfId="39596" xr:uid="{5C65BD1E-E5B6-4FB2-9F20-D1318665C4BF}"/>
    <cellStyle name="Notiz 54 2" xfId="39597" xr:uid="{E4F8621C-ECD8-4C44-8D40-B857FD2B9EE4}"/>
    <cellStyle name="Notiz 54 2 2" xfId="40149" xr:uid="{516FCD79-CCBB-4BC4-8FBA-920FFDD3CF31}"/>
    <cellStyle name="Notiz 54 2 2 2" xfId="41056" xr:uid="{B9EC89DA-93BA-4DB3-A084-E826824F22AA}"/>
    <cellStyle name="Notiz 54 2 2 3" xfId="41915" xr:uid="{C322A209-0720-4F5A-8344-190082BCBB0D}"/>
    <cellStyle name="Notiz 54 2 3" xfId="40614" xr:uid="{58D8B00E-AAD4-44B7-838B-15FB94727E38}"/>
    <cellStyle name="Notiz 54 2 4" xfId="41474" xr:uid="{002E6DA0-A27A-49E3-80E2-F395D26F4736}"/>
    <cellStyle name="Notiz 54 3" xfId="40148" xr:uid="{24C86176-DF0F-461D-B6F3-7F4976274375}"/>
    <cellStyle name="Notiz 54 3 2" xfId="41055" xr:uid="{65603A72-A90B-4D33-A13D-2ED49E54A56C}"/>
    <cellStyle name="Notiz 54 3 3" xfId="41914" xr:uid="{17A40C69-AB1D-4518-8AE7-ACDF6322FF09}"/>
    <cellStyle name="Notiz 54 4" xfId="40613" xr:uid="{7D4922F7-F1E4-4B1C-A2BE-E229CB9C829C}"/>
    <cellStyle name="Notiz 54 5" xfId="41473" xr:uid="{07A4BC22-917F-408E-B9C9-64377D75155E}"/>
    <cellStyle name="Notiz 55" xfId="39598" xr:uid="{2CB2E94F-382E-4DC2-901B-6875A28D213C}"/>
    <cellStyle name="Notiz 55 2" xfId="39599" xr:uid="{0F6EE7D7-2F86-4771-9DBF-7F025C17B72F}"/>
    <cellStyle name="Notiz 55 2 2" xfId="40151" xr:uid="{2CCB221C-F04D-4AAB-8B18-1381FA7A8E0B}"/>
    <cellStyle name="Notiz 55 2 2 2" xfId="41058" xr:uid="{4886C1CF-070F-482F-8D89-FDDC1AF06F2F}"/>
    <cellStyle name="Notiz 55 2 2 3" xfId="41917" xr:uid="{26D01B47-97D7-4368-9535-909DB2C72569}"/>
    <cellStyle name="Notiz 55 2 3" xfId="40616" xr:uid="{697AC585-20D1-4E4C-BBE8-82869AAB6C43}"/>
    <cellStyle name="Notiz 55 2 4" xfId="41476" xr:uid="{859323C9-7C92-452C-ADB8-6B0493EE3644}"/>
    <cellStyle name="Notiz 55 3" xfId="40150" xr:uid="{71EDED30-5C60-4971-B666-B3526DDC783B}"/>
    <cellStyle name="Notiz 55 3 2" xfId="41057" xr:uid="{6297597C-DBBD-4B9E-BEFD-FB1229E256E4}"/>
    <cellStyle name="Notiz 55 3 3" xfId="41916" xr:uid="{A4BCBA08-20C6-4A95-9266-9334CA0A94F2}"/>
    <cellStyle name="Notiz 55 4" xfId="40615" xr:uid="{F73FA919-22F6-4C45-B453-3D50F7645030}"/>
    <cellStyle name="Notiz 55 5" xfId="41475" xr:uid="{FB8ABBE3-F446-4037-941D-F7C0045A20E8}"/>
    <cellStyle name="Notiz 56" xfId="39600" xr:uid="{83AB688A-D320-4AA4-9D35-282FA39C0795}"/>
    <cellStyle name="Notiz 56 2" xfId="39601" xr:uid="{AA742DBE-7800-4A7F-B4E2-88F93DC4D7F6}"/>
    <cellStyle name="Notiz 56 2 2" xfId="40153" xr:uid="{E700F3AC-BED8-4323-B507-36A3A3EDAD77}"/>
    <cellStyle name="Notiz 56 2 2 2" xfId="41060" xr:uid="{D6A54A2E-82CA-4E70-A9C7-112BE618251E}"/>
    <cellStyle name="Notiz 56 2 2 3" xfId="41919" xr:uid="{F314D63D-38CD-478E-8651-7B4E993AED04}"/>
    <cellStyle name="Notiz 56 2 3" xfId="40618" xr:uid="{3E3A86BB-825E-48B4-9713-D08F61903AC7}"/>
    <cellStyle name="Notiz 56 2 4" xfId="41478" xr:uid="{BD935184-3165-472F-8992-AAA53A362B91}"/>
    <cellStyle name="Notiz 56 3" xfId="40152" xr:uid="{74C6C754-8A42-478D-AC36-DB0ADF2B3650}"/>
    <cellStyle name="Notiz 56 3 2" xfId="41059" xr:uid="{3F89254F-3227-4605-BFDD-E70371D57C00}"/>
    <cellStyle name="Notiz 56 3 3" xfId="41918" xr:uid="{1C2DCF42-F633-48DA-B052-EC10F39C94D3}"/>
    <cellStyle name="Notiz 56 4" xfId="40617" xr:uid="{DE614A12-9269-49A0-9A7E-244775A9937F}"/>
    <cellStyle name="Notiz 56 5" xfId="41477" xr:uid="{AF20BB69-F019-43E4-8FDD-8E825DA1D7BD}"/>
    <cellStyle name="Notiz 57" xfId="39602" xr:uid="{0D3BB4A1-0B3B-42B1-91B6-6A9E844ABF17}"/>
    <cellStyle name="Notiz 57 2" xfId="39603" xr:uid="{CDD596FB-F787-4B55-8F4F-276E77D397E8}"/>
    <cellStyle name="Notiz 57 2 2" xfId="40155" xr:uid="{AE6ADBFE-3143-4CED-B403-A1F96354D572}"/>
    <cellStyle name="Notiz 57 2 2 2" xfId="41062" xr:uid="{5F12B489-0DBA-4F96-B739-E04CAA3FE02A}"/>
    <cellStyle name="Notiz 57 2 2 3" xfId="41921" xr:uid="{8BF4BFB2-A9E6-458D-9955-1612E6B232A6}"/>
    <cellStyle name="Notiz 57 2 3" xfId="40620" xr:uid="{D634FA95-D9F0-42BA-8873-395C72056354}"/>
    <cellStyle name="Notiz 57 2 4" xfId="41480" xr:uid="{9916F414-FE79-4360-B57B-39A86AC33B69}"/>
    <cellStyle name="Notiz 57 3" xfId="40154" xr:uid="{1BAD972E-751F-47AF-9D52-6E76FDE04341}"/>
    <cellStyle name="Notiz 57 3 2" xfId="41061" xr:uid="{1C30F1EB-233D-4016-A331-DCAA8C014B00}"/>
    <cellStyle name="Notiz 57 3 3" xfId="41920" xr:uid="{B48D8799-B812-405A-AD1A-47EC9958D8BD}"/>
    <cellStyle name="Notiz 57 4" xfId="40619" xr:uid="{A9D24B9C-CE66-4F93-9461-DB209088E792}"/>
    <cellStyle name="Notiz 57 5" xfId="41479" xr:uid="{5AFA5B51-AD8E-4AFB-BE81-BEA59AF4127D}"/>
    <cellStyle name="Notiz 58" xfId="39604" xr:uid="{E1A09918-201A-4144-BD0C-0FF5279301BA}"/>
    <cellStyle name="Notiz 58 2" xfId="39605" xr:uid="{9E25B759-A732-4609-B997-9FE8BCA0DAEF}"/>
    <cellStyle name="Notiz 58 2 2" xfId="40157" xr:uid="{7DAC5932-87E4-4599-8754-FF375D3E5ABA}"/>
    <cellStyle name="Notiz 58 2 2 2" xfId="41064" xr:uid="{9939D222-09F0-46E0-B6A0-4F0D512B96AC}"/>
    <cellStyle name="Notiz 58 2 2 3" xfId="41923" xr:uid="{2F11F31B-0A34-4722-A27E-852145D36476}"/>
    <cellStyle name="Notiz 58 2 3" xfId="40622" xr:uid="{5C17ABDD-48DE-4527-9942-CAE91DB111E6}"/>
    <cellStyle name="Notiz 58 2 4" xfId="41482" xr:uid="{B8CEC927-D131-4BB6-A770-DDBC434E5F5C}"/>
    <cellStyle name="Notiz 58 3" xfId="40156" xr:uid="{22AA410E-DF00-4322-80B8-9771BDA878C7}"/>
    <cellStyle name="Notiz 58 3 2" xfId="41063" xr:uid="{FAFF8477-CFA1-437E-B375-DF6C741A6365}"/>
    <cellStyle name="Notiz 58 3 3" xfId="41922" xr:uid="{3705C53A-3ED5-4B25-9C7A-6E01DD137A1F}"/>
    <cellStyle name="Notiz 58 4" xfId="40621" xr:uid="{2D5B9C3C-B767-4A2E-820D-B7F05944BCB8}"/>
    <cellStyle name="Notiz 58 5" xfId="41481" xr:uid="{6AE7BD14-3A23-460A-9302-0F4B9245C736}"/>
    <cellStyle name="Notiz 59" xfId="39606" xr:uid="{DC9D0FA0-4AD0-45FB-AB8D-1D567FCC1198}"/>
    <cellStyle name="Notiz 59 2" xfId="40158" xr:uid="{4FB88868-9705-4B82-BCCA-70CE322E2EA9}"/>
    <cellStyle name="Notiz 59 2 2" xfId="41065" xr:uid="{3206A7EE-D4E2-4CE9-8B06-4F5D02AAF11C}"/>
    <cellStyle name="Notiz 59 2 3" xfId="41924" xr:uid="{06698E34-315A-485E-AAF0-26974ADAEB82}"/>
    <cellStyle name="Notiz 59 3" xfId="40623" xr:uid="{B960E2D1-D5D5-4660-B7BF-032C5B29CA62}"/>
    <cellStyle name="Notiz 59 4" xfId="41483" xr:uid="{2E9CF81A-E20B-422E-88CB-4EEA0CC0427E}"/>
    <cellStyle name="Notiz 6" xfId="61" xr:uid="{0A5ED4E7-9132-4D12-BC4D-A3E0B15CFBEF}"/>
    <cellStyle name="Notiz 6 10" xfId="16762" xr:uid="{BD828FE1-B6BC-4A96-B282-698C9A240C98}"/>
    <cellStyle name="Notiz 6 10 2" xfId="16763" xr:uid="{973CDC8D-AEEB-47CB-83E1-7006DBC93F5B}"/>
    <cellStyle name="Notiz 6 10 2 2" xfId="36200" xr:uid="{49D7CB9C-4C25-4191-B0B2-E454191332BC}"/>
    <cellStyle name="Notiz 6 10 3" xfId="36199" xr:uid="{7E8B4258-1330-4811-BA2D-B843A24ED66C}"/>
    <cellStyle name="Notiz 6 11" xfId="16764" xr:uid="{F0A1EC3B-6B27-45CA-80AB-909196EC0D65}"/>
    <cellStyle name="Notiz 6 11 2" xfId="16765" xr:uid="{B9AAABFF-4B12-4144-A3E9-3B8A7A5A797D}"/>
    <cellStyle name="Notiz 6 11 2 2" xfId="36202" xr:uid="{AE0C654D-16FC-48A1-BC73-DB465FAA65FE}"/>
    <cellStyle name="Notiz 6 11 3" xfId="36201" xr:uid="{AAB543D1-81A6-4C12-A007-3EB97995C1E4}"/>
    <cellStyle name="Notiz 6 12" xfId="16766" xr:uid="{9B8EF073-20C4-447C-A704-942A00C67D07}"/>
    <cellStyle name="Notiz 6 12 2" xfId="16767" xr:uid="{76591D28-AA61-4F2E-9C82-9073BC75E507}"/>
    <cellStyle name="Notiz 6 12 2 2" xfId="36204" xr:uid="{75B01E39-5B0B-4FE5-9351-C9B944B41A26}"/>
    <cellStyle name="Notiz 6 12 3" xfId="36203" xr:uid="{EF38A1D5-9AA0-45B5-A48F-92ACCC69D034}"/>
    <cellStyle name="Notiz 6 13" xfId="16768" xr:uid="{C99770F2-1FE7-456D-B59B-01269C0F5E52}"/>
    <cellStyle name="Notiz 6 13 2" xfId="16769" xr:uid="{BB98022A-61F4-4CC6-874A-1FB41C621F97}"/>
    <cellStyle name="Notiz 6 13 2 2" xfId="36206" xr:uid="{09CA4402-E0D7-4808-B393-E3C4DB7DAA2E}"/>
    <cellStyle name="Notiz 6 13 3" xfId="36205" xr:uid="{C9DED8DC-A7D6-4678-8C74-48FB09EFEDA8}"/>
    <cellStyle name="Notiz 6 14" xfId="16770" xr:uid="{90EFFF6D-E03D-47F7-8759-E8B9BC1803F4}"/>
    <cellStyle name="Notiz 6 14 2" xfId="16771" xr:uid="{51906E96-9FE6-4A1A-B71F-8FAF94067E88}"/>
    <cellStyle name="Notiz 6 14 2 2" xfId="36208" xr:uid="{8F47E0E6-0EF5-41E8-B11B-1A2F41206BF2}"/>
    <cellStyle name="Notiz 6 14 3" xfId="36207" xr:uid="{9C8DE893-18C1-4376-A4E2-CCFC48344AD7}"/>
    <cellStyle name="Notiz 6 15" xfId="16772" xr:uid="{BF44A063-BC27-4318-BB79-95E8F590EF7D}"/>
    <cellStyle name="Notiz 6 15 2" xfId="16773" xr:uid="{EF03D3A6-0D50-43A2-906E-1D1F6EB90CB5}"/>
    <cellStyle name="Notiz 6 15 2 2" xfId="36210" xr:uid="{83C653F7-2B30-4739-B045-FDC3272AFC96}"/>
    <cellStyle name="Notiz 6 15 3" xfId="36209" xr:uid="{EA9C23D1-832A-4FC6-98AD-E173A7E38E7B}"/>
    <cellStyle name="Notiz 6 16" xfId="16774" xr:uid="{A3ABF99F-C396-4233-BE97-D1161E4EA19B}"/>
    <cellStyle name="Notiz 6 16 2" xfId="16775" xr:uid="{AFB7F977-65DE-44F7-81D5-796068C3D9BF}"/>
    <cellStyle name="Notiz 6 16 2 2" xfId="36212" xr:uid="{89E1419D-F933-4F4D-A914-855AA4DEF722}"/>
    <cellStyle name="Notiz 6 16 3" xfId="36211" xr:uid="{A1DC7AA6-D960-4118-83E2-6B67ACAA69FD}"/>
    <cellStyle name="Notiz 6 17" xfId="16776" xr:uid="{406C0A3F-D2A3-4663-AB39-35AA6D0B4C88}"/>
    <cellStyle name="Notiz 6 17 2" xfId="16777" xr:uid="{9000B649-B5C0-4DAC-BDAB-F1AF4E20E539}"/>
    <cellStyle name="Notiz 6 17 2 2" xfId="36214" xr:uid="{443C00E1-9A94-4BB9-9FE8-14838AD53BF4}"/>
    <cellStyle name="Notiz 6 17 3" xfId="36213" xr:uid="{D155FFCF-F488-42C8-8823-1C225F5DE934}"/>
    <cellStyle name="Notiz 6 18" xfId="16778" xr:uid="{756E8B4D-F993-4992-B2D0-BD1FD69716D5}"/>
    <cellStyle name="Notiz 6 18 2" xfId="16779" xr:uid="{3B922A26-49A0-4AAB-AB75-EF8F39C3304D}"/>
    <cellStyle name="Notiz 6 18 2 2" xfId="36216" xr:uid="{6FEE8995-0406-4CD2-83B7-07B5D7D66DF1}"/>
    <cellStyle name="Notiz 6 18 3" xfId="36215" xr:uid="{1E352763-3E6E-45B8-BA13-322BFE585DA2}"/>
    <cellStyle name="Notiz 6 19" xfId="16780" xr:uid="{29A62F3D-C439-4CA3-8CA7-E4CE0FCB4043}"/>
    <cellStyle name="Notiz 6 19 2" xfId="16781" xr:uid="{FB1C3C73-E324-4B2F-BB08-13B0813FA912}"/>
    <cellStyle name="Notiz 6 19 2 2" xfId="36218" xr:uid="{F1279B3F-705B-4670-9E94-E7C6C7B07CCD}"/>
    <cellStyle name="Notiz 6 19 3" xfId="36217" xr:uid="{52766A17-0D38-4F88-8A52-213B442A6483}"/>
    <cellStyle name="Notiz 6 2" xfId="16782" xr:uid="{16841BF4-9658-4AE9-AC41-2B033FDB5339}"/>
    <cellStyle name="Notiz 6 2 2" xfId="16783" xr:uid="{36A8D3CE-00A6-4FAA-8EEA-05C320E203D0}"/>
    <cellStyle name="Notiz 6 2 2 2" xfId="36220" xr:uid="{1F98919B-B7C9-4A0C-87EB-F1BB112B32BC}"/>
    <cellStyle name="Notiz 6 2 2 2 2" xfId="41067" xr:uid="{E4057FA6-0CB9-45E5-A55F-17B28ACC830F}"/>
    <cellStyle name="Notiz 6 2 2 3" xfId="41926" xr:uid="{2051CD85-22F9-4A29-BDFC-DB199CA89902}"/>
    <cellStyle name="Notiz 6 2 2 4" xfId="40160" xr:uid="{4D79FB80-D485-4A53-AF1E-A9C50BD580E4}"/>
    <cellStyle name="Notiz 6 2 3" xfId="36219" xr:uid="{0E9D2A0B-1F43-4D64-8F3A-0E7BEB2397DA}"/>
    <cellStyle name="Notiz 6 2 3 2" xfId="40625" xr:uid="{E87A1B50-D568-4DA6-946A-40F4372C5F6C}"/>
    <cellStyle name="Notiz 6 2 4" xfId="41485" xr:uid="{35C0568B-26FE-4DFC-A302-D0063A1DD7C8}"/>
    <cellStyle name="Notiz 6 2 5" xfId="39608" xr:uid="{DA1FA0CF-4B06-4CE5-BFFB-204255174D10}"/>
    <cellStyle name="Notiz 6 20" xfId="16784" xr:uid="{2B416380-A5EB-4330-9846-BCDD7208C5EA}"/>
    <cellStyle name="Notiz 6 20 2" xfId="16785" xr:uid="{98ED263E-BA4B-44D3-9B68-3F655E399E7D}"/>
    <cellStyle name="Notiz 6 20 2 2" xfId="36222" xr:uid="{DE40E896-A533-4C3F-A15B-EFED11FEBB25}"/>
    <cellStyle name="Notiz 6 20 3" xfId="36221" xr:uid="{E0E2ED86-1A21-4000-81CB-C624B7F3179C}"/>
    <cellStyle name="Notiz 6 21" xfId="16786" xr:uid="{50CCD0A7-8247-4158-80F3-4BC3C3EEB92F}"/>
    <cellStyle name="Notiz 6 21 2" xfId="16787" xr:uid="{A9369109-A9FD-41AC-AF47-3DA2FB3FD642}"/>
    <cellStyle name="Notiz 6 21 2 2" xfId="36224" xr:uid="{E1B45488-F848-4F87-B46F-421218C890C4}"/>
    <cellStyle name="Notiz 6 21 3" xfId="36223" xr:uid="{9E82341A-B1B9-41D2-BE99-38D2771C8094}"/>
    <cellStyle name="Notiz 6 22" xfId="16788" xr:uid="{074A7413-667F-4865-8C30-8889660DAD2A}"/>
    <cellStyle name="Notiz 6 22 2" xfId="36225" xr:uid="{A653F212-4746-4696-B7B8-2946BF209A9E}"/>
    <cellStyle name="Notiz 6 23" xfId="16789" xr:uid="{04BE5785-416F-45E4-A174-62BEF66F3323}"/>
    <cellStyle name="Notiz 6 23 2" xfId="36226" xr:uid="{47763E2E-9F5C-4467-96C9-BF8E6681EE36}"/>
    <cellStyle name="Notiz 6 24" xfId="36198" xr:uid="{E740EF5C-A91A-4B68-B42A-6A74D025FF89}"/>
    <cellStyle name="Notiz 6 25" xfId="39607" xr:uid="{1A7FC15D-3E8B-44DE-908C-985F212B9068}"/>
    <cellStyle name="Notiz 6 26" xfId="16761" xr:uid="{9BE7E4C3-ACE6-4AA2-BC6F-375CCFE969BB}"/>
    <cellStyle name="Notiz 6 3" xfId="16790" xr:uid="{B497D771-E6B1-469E-BB89-C8C1F871B780}"/>
    <cellStyle name="Notiz 6 3 2" xfId="36227" xr:uid="{1B5408E7-A0B0-4700-AACA-67FBF79EA834}"/>
    <cellStyle name="Notiz 6 3 2 2" xfId="41066" xr:uid="{F8ADF16E-E42D-42DD-9C2D-F54D3A9CC5E6}"/>
    <cellStyle name="Notiz 6 3 3" xfId="41925" xr:uid="{8EB57C5A-2AE0-4761-9300-09AB8F385F19}"/>
    <cellStyle name="Notiz 6 3 4" xfId="40159" xr:uid="{A862EBA5-FED2-492B-9B7C-C8E0E265B2FB}"/>
    <cellStyle name="Notiz 6 4" xfId="16791" xr:uid="{39A95BA0-B84D-44A0-AE40-D087252C07B3}"/>
    <cellStyle name="Notiz 6 4 2" xfId="16792" xr:uid="{CF12C6AE-2513-442E-867C-29ABA8801207}"/>
    <cellStyle name="Notiz 6 4 2 2" xfId="36229" xr:uid="{BEF5DD18-D7F1-49AA-8B1C-A86899E76546}"/>
    <cellStyle name="Notiz 6 4 3" xfId="36228" xr:uid="{6773114D-1998-4E2C-AEF3-6B88CC25324E}"/>
    <cellStyle name="Notiz 6 4 4" xfId="40624" xr:uid="{E628948D-FC36-4BB3-AE0A-B5EC1F7272A4}"/>
    <cellStyle name="Notiz 6 5" xfId="16793" xr:uid="{0D22AEDB-DC89-43DE-8897-55BC9E3F432A}"/>
    <cellStyle name="Notiz 6 5 2" xfId="16794" xr:uid="{56BA5943-13EB-47BB-B46F-C9B7924DE698}"/>
    <cellStyle name="Notiz 6 5 2 2" xfId="36231" xr:uid="{2FBCAC76-20BA-47B7-8695-985594FB5945}"/>
    <cellStyle name="Notiz 6 5 3" xfId="36230" xr:uid="{2C1B6CC1-0C4D-408F-8E3B-3A9CDE86B5D0}"/>
    <cellStyle name="Notiz 6 5 4" xfId="41484" xr:uid="{EDC4B1EE-F917-40B2-BCCA-A425FDF6C1A0}"/>
    <cellStyle name="Notiz 6 6" xfId="16795" xr:uid="{9CF66A84-0604-4F36-8A03-FFF5C3CF9354}"/>
    <cellStyle name="Notiz 6 6 2" xfId="16796" xr:uid="{50A73820-777C-4E8B-8859-8A585B7EE069}"/>
    <cellStyle name="Notiz 6 6 2 2" xfId="36233" xr:uid="{7DB9BEFD-F330-4F3A-9AC0-8E6E6199350C}"/>
    <cellStyle name="Notiz 6 6 3" xfId="36232" xr:uid="{014D389A-81F2-44B5-9326-77A887DC97EA}"/>
    <cellStyle name="Notiz 6 7" xfId="16797" xr:uid="{2D1B2036-8EC7-42F0-ACC0-ABE9A9018BAE}"/>
    <cellStyle name="Notiz 6 7 2" xfId="16798" xr:uid="{64AECFA0-86C2-47BF-96D0-DADA6E134A48}"/>
    <cellStyle name="Notiz 6 7 2 2" xfId="36235" xr:uid="{612E6421-EE01-43C0-AD54-5254C0D677F5}"/>
    <cellStyle name="Notiz 6 7 3" xfId="36234" xr:uid="{DDDEAD9E-871D-4E35-9C9F-498156473B07}"/>
    <cellStyle name="Notiz 6 8" xfId="16799" xr:uid="{0C8C1831-A8FC-45CD-9A5A-674D86DC5174}"/>
    <cellStyle name="Notiz 6 8 2" xfId="16800" xr:uid="{0CABE0EC-79FA-41D1-8B39-3C60446AF4FA}"/>
    <cellStyle name="Notiz 6 8 2 2" xfId="36237" xr:uid="{DFF8AAAB-098F-49EE-BC2C-D837F8ED7ED9}"/>
    <cellStyle name="Notiz 6 8 3" xfId="36236" xr:uid="{CA8FDD5F-4E71-413B-AD77-08409FB9B865}"/>
    <cellStyle name="Notiz 6 9" xfId="16801" xr:uid="{C2F6E286-E52F-4280-89B8-D7E1F11F8605}"/>
    <cellStyle name="Notiz 6 9 2" xfId="16802" xr:uid="{C18D7673-14BD-458F-A24A-0DBC06C692D3}"/>
    <cellStyle name="Notiz 6 9 2 2" xfId="36239" xr:uid="{2FCBEF12-4B35-419D-8DDD-704C10661CC2}"/>
    <cellStyle name="Notiz 6 9 3" xfId="36238" xr:uid="{7B6CED7F-623C-43BE-A33A-E51AE4713D1A}"/>
    <cellStyle name="Notiz 60" xfId="39609" xr:uid="{23770348-E6EF-41E7-80C4-5FC1E0D67FCF}"/>
    <cellStyle name="Notiz 60 2" xfId="40161" xr:uid="{D7A4FE19-AD87-4693-9EC3-18F600B481DD}"/>
    <cellStyle name="Notiz 60 2 2" xfId="41068" xr:uid="{5832031A-3C39-4256-9F4C-26BCB121EE93}"/>
    <cellStyle name="Notiz 60 2 3" xfId="41927" xr:uid="{708059DB-80ED-4AF7-BF9B-993EC9A9A333}"/>
    <cellStyle name="Notiz 60 3" xfId="40626" xr:uid="{58000A1E-8FE2-42F7-877A-0426FE5AECAA}"/>
    <cellStyle name="Notiz 60 4" xfId="41486" xr:uid="{3870C39A-FEF6-4A65-B3AE-DC60A886B6DB}"/>
    <cellStyle name="Notiz 61" xfId="39610" xr:uid="{A8A23AB7-E471-49FC-9225-0219C03706F8}"/>
    <cellStyle name="Notiz 61 2" xfId="40162" xr:uid="{89308353-7942-48FE-B217-8B1481EEB6DE}"/>
    <cellStyle name="Notiz 61 2 2" xfId="41069" xr:uid="{C0F7ECE3-2B26-4C81-BDD3-56F3AA8883D2}"/>
    <cellStyle name="Notiz 61 2 3" xfId="41928" xr:uid="{F92E4CB3-4955-4681-B826-4D3DD3D8FB19}"/>
    <cellStyle name="Notiz 61 3" xfId="40627" xr:uid="{32D37A02-1210-487A-860D-0BA0D54026A4}"/>
    <cellStyle name="Notiz 61 4" xfId="41487" xr:uid="{CBE7204A-BECE-4345-8122-19B2CCE01A15}"/>
    <cellStyle name="Notiz 62" xfId="39611" xr:uid="{59A70BB8-F540-4ED9-890B-3AFA67784378}"/>
    <cellStyle name="Notiz 62 2" xfId="40163" xr:uid="{009FBEBF-92BA-4225-AB77-6350CAE2570D}"/>
    <cellStyle name="Notiz 62 2 2" xfId="41070" xr:uid="{EA5B4462-52E8-4958-9F54-08C5662DC7DD}"/>
    <cellStyle name="Notiz 62 2 3" xfId="41929" xr:uid="{B542E9EE-1B63-4A15-B84B-95B8800D4DFF}"/>
    <cellStyle name="Notiz 62 3" xfId="40628" xr:uid="{3C0332A4-4979-48E4-957A-80B242350E0E}"/>
    <cellStyle name="Notiz 62 4" xfId="41488" xr:uid="{AF0BEB81-FD7D-4CFF-8441-AE49C6E33229}"/>
    <cellStyle name="Notiz 63" xfId="39612" xr:uid="{CFE1AA7E-D1B5-46C0-BE3C-F0C82B3D3C0D}"/>
    <cellStyle name="Notiz 63 2" xfId="40164" xr:uid="{214DA62B-BC2A-4596-8B72-347CEF4B4DF7}"/>
    <cellStyle name="Notiz 63 2 2" xfId="41071" xr:uid="{2A1644C5-95DD-459A-A04C-B1A4AB8032D2}"/>
    <cellStyle name="Notiz 63 2 3" xfId="41930" xr:uid="{2D966AFA-0CBE-4FB8-9A6F-36530C20F42E}"/>
    <cellStyle name="Notiz 63 3" xfId="40629" xr:uid="{9D3AAB23-F465-455A-AAB5-7BB1D8206102}"/>
    <cellStyle name="Notiz 63 4" xfId="41489" xr:uid="{4017DEFF-7E40-4F79-AD56-8E058A60B2BC}"/>
    <cellStyle name="Notiz 64" xfId="39613" xr:uid="{CAD93575-F61A-443E-BA16-F368FD41012C}"/>
    <cellStyle name="Notiz 64 2" xfId="40165" xr:uid="{EA7E089D-3367-4268-84DC-958612CADFBC}"/>
    <cellStyle name="Notiz 64 2 2" xfId="41072" xr:uid="{6AD8A51C-DAF9-4ED5-9683-0D2F8EB4509A}"/>
    <cellStyle name="Notiz 64 2 3" xfId="41931" xr:uid="{D83B0DD3-8B89-4AE2-8EB2-A007C1C0387E}"/>
    <cellStyle name="Notiz 64 3" xfId="40630" xr:uid="{7715D066-BC9F-467E-983F-7967C62413D1}"/>
    <cellStyle name="Notiz 64 4" xfId="41490" xr:uid="{D06F9F51-9B79-4D1E-AC05-CA30C45921F3}"/>
    <cellStyle name="Notiz 65" xfId="39614" xr:uid="{6A9A8E13-AA23-44F7-8F24-80DD0132EC8A}"/>
    <cellStyle name="Notiz 65 2" xfId="40166" xr:uid="{3DA425DE-565E-4680-AD5E-5803AB5B604B}"/>
    <cellStyle name="Notiz 65 2 2" xfId="41073" xr:uid="{97CB2864-619F-44CC-A503-8922868EFF28}"/>
    <cellStyle name="Notiz 65 2 3" xfId="41932" xr:uid="{8BD65803-35F3-49D6-A152-BA162C5F03B8}"/>
    <cellStyle name="Notiz 65 3" xfId="40631" xr:uid="{C35141E8-FF54-42A4-985B-4A01966B3D18}"/>
    <cellStyle name="Notiz 65 4" xfId="41491" xr:uid="{1455930F-660B-46C9-B14C-3E41AC0939D1}"/>
    <cellStyle name="Notiz 66" xfId="39615" xr:uid="{AA051635-E52B-458D-B20E-F04E63D8E5D0}"/>
    <cellStyle name="Notiz 66 2" xfId="40167" xr:uid="{6FC5D547-6595-49A4-9CC1-49163CA6FBBE}"/>
    <cellStyle name="Notiz 66 2 2" xfId="41074" xr:uid="{CC1C1C44-A3F7-44CC-8AC2-8BCB066726CF}"/>
    <cellStyle name="Notiz 66 2 3" xfId="41933" xr:uid="{5E107522-FF56-4AFB-8403-EE8814C4365D}"/>
    <cellStyle name="Notiz 66 3" xfId="40632" xr:uid="{CD69DBE1-F0AC-4C06-A725-36C7764C062D}"/>
    <cellStyle name="Notiz 66 4" xfId="41492" xr:uid="{4F8D84F2-F919-4FFA-811F-7CFE6DF8A152}"/>
    <cellStyle name="Notiz 67" xfId="39616" xr:uid="{F8AD9D8F-D408-4ECC-A476-8AD98429D781}"/>
    <cellStyle name="Notiz 67 2" xfId="40168" xr:uid="{CA77127A-E88E-4E9A-8B28-A2573D4F4864}"/>
    <cellStyle name="Notiz 67 2 2" xfId="41075" xr:uid="{DC5EF007-0088-4234-A3DF-F90F43C07975}"/>
    <cellStyle name="Notiz 67 2 3" xfId="41934" xr:uid="{611E2A30-5FD8-445F-AC6F-1AF13D9C252B}"/>
    <cellStyle name="Notiz 67 3" xfId="40633" xr:uid="{9B0DF079-D4ED-46BF-B401-602DB54C04DF}"/>
    <cellStyle name="Notiz 67 4" xfId="41493" xr:uid="{AF00C3E5-FB6A-49B7-9CB5-EE6605760C5E}"/>
    <cellStyle name="Notiz 68" xfId="39617" xr:uid="{0EA31103-8A53-41A9-BA2E-CCEE0282D820}"/>
    <cellStyle name="Notiz 68 2" xfId="40169" xr:uid="{3C4DFB92-964F-45E0-95CD-7F1163AA7324}"/>
    <cellStyle name="Notiz 68 2 2" xfId="41076" xr:uid="{041A8C02-AFA5-434E-AD0A-1A67AB5FC7C1}"/>
    <cellStyle name="Notiz 68 2 3" xfId="41935" xr:uid="{C32FF1BC-D725-4A84-83BC-E6DE0418B661}"/>
    <cellStyle name="Notiz 68 3" xfId="40634" xr:uid="{79DF1794-3E92-4FCD-81CD-718C123BFFA2}"/>
    <cellStyle name="Notiz 68 4" xfId="41494" xr:uid="{DF705149-1778-4170-AC57-D469DC7EA810}"/>
    <cellStyle name="Notiz 69" xfId="39618" xr:uid="{C667CA8E-BF5D-4EB3-B525-328D3159237C}"/>
    <cellStyle name="Notiz 69 2" xfId="40170" xr:uid="{1909EDD8-15ED-4F2B-B392-A3EEDD676AD8}"/>
    <cellStyle name="Notiz 69 2 2" xfId="41077" xr:uid="{C55AABDD-023E-45AC-8EF4-6D8C21865851}"/>
    <cellStyle name="Notiz 69 2 3" xfId="41936" xr:uid="{434B210E-DEA9-41FB-8C47-BCB7D045613C}"/>
    <cellStyle name="Notiz 69 3" xfId="40635" xr:uid="{5D0EC960-9AFA-4341-9CC7-7D1011436458}"/>
    <cellStyle name="Notiz 69 4" xfId="41495" xr:uid="{9C95CA86-44D1-4D31-A233-D037288A5293}"/>
    <cellStyle name="Notiz 7" xfId="59" xr:uid="{83F6C39B-8544-4836-B55C-FA2FA5A84594}"/>
    <cellStyle name="Notiz 7 10" xfId="16804" xr:uid="{177DEBD5-4555-4144-B553-0CF683BA8FED}"/>
    <cellStyle name="Notiz 7 10 2" xfId="16805" xr:uid="{6639AE5B-49E1-4AB7-9793-667CB3F9D7AD}"/>
    <cellStyle name="Notiz 7 10 2 2" xfId="36242" xr:uid="{6DCAA0CE-9AD0-4006-BCAA-9A71CB80556E}"/>
    <cellStyle name="Notiz 7 10 3" xfId="36241" xr:uid="{5138DDEC-559F-4135-83F2-34595A85F15B}"/>
    <cellStyle name="Notiz 7 11" xfId="16806" xr:uid="{07A339CA-B518-4853-9375-A83C94EE75EF}"/>
    <cellStyle name="Notiz 7 11 2" xfId="16807" xr:uid="{ECEEA71D-3373-43F7-B6C2-87C77DFB564F}"/>
    <cellStyle name="Notiz 7 11 2 2" xfId="36244" xr:uid="{FF4BDF4E-5AA4-40CD-B5E8-2B4552E670E6}"/>
    <cellStyle name="Notiz 7 11 3" xfId="36243" xr:uid="{2709AF31-AC5E-4170-95FA-5C3140F35D2D}"/>
    <cellStyle name="Notiz 7 12" xfId="16808" xr:uid="{00A64613-437C-49B8-AD28-C253F784D5D1}"/>
    <cellStyle name="Notiz 7 12 2" xfId="16809" xr:uid="{BF1AAA0F-7DBE-4398-B0E4-D04C8975441C}"/>
    <cellStyle name="Notiz 7 12 2 2" xfId="36246" xr:uid="{9CF6F10F-4CEC-4B32-9FD5-3FDBF56A79D0}"/>
    <cellStyle name="Notiz 7 12 3" xfId="36245" xr:uid="{927F2281-E996-4D12-89B3-FE82B7435E91}"/>
    <cellStyle name="Notiz 7 13" xfId="16810" xr:uid="{A19B7F36-C9EE-4524-AE54-4CAB29F764C3}"/>
    <cellStyle name="Notiz 7 13 2" xfId="16811" xr:uid="{6B4F549B-AFC8-4D2D-926B-E8896D84E95F}"/>
    <cellStyle name="Notiz 7 13 2 2" xfId="36248" xr:uid="{9DE71236-3570-4897-928E-E2186A4E73CB}"/>
    <cellStyle name="Notiz 7 13 3" xfId="36247" xr:uid="{DCD83C5E-56DD-48E9-9738-FE2AA61AB496}"/>
    <cellStyle name="Notiz 7 14" xfId="16812" xr:uid="{8AE4C177-48A2-4A29-81BB-F4E63D13EAD4}"/>
    <cellStyle name="Notiz 7 14 2" xfId="16813" xr:uid="{93B7B2FF-6668-4539-B179-65B30120125E}"/>
    <cellStyle name="Notiz 7 14 2 2" xfId="36250" xr:uid="{BE9F4940-0CF2-4A4E-AE9F-E6171623181A}"/>
    <cellStyle name="Notiz 7 14 3" xfId="36249" xr:uid="{A1154CC7-4752-4DF8-B27E-ED2A1A6DB5A7}"/>
    <cellStyle name="Notiz 7 15" xfId="16814" xr:uid="{AF6E32E0-03CB-4C09-9E1B-7AEF8B953949}"/>
    <cellStyle name="Notiz 7 15 2" xfId="16815" xr:uid="{DA9CF3E9-E7AE-496D-83FC-564F2ED08645}"/>
    <cellStyle name="Notiz 7 15 2 2" xfId="36252" xr:uid="{2BE35714-B9A8-4F80-BDC6-90FD538FAE7E}"/>
    <cellStyle name="Notiz 7 15 3" xfId="36251" xr:uid="{24197F00-87A8-4465-864F-5AFCFAF75FB3}"/>
    <cellStyle name="Notiz 7 16" xfId="16816" xr:uid="{0D1B7B93-2DD7-4064-BACF-B3413C7D245C}"/>
    <cellStyle name="Notiz 7 16 2" xfId="16817" xr:uid="{2FEE8616-6DC2-4387-9B5D-2D6D8D01CCAE}"/>
    <cellStyle name="Notiz 7 16 2 2" xfId="36254" xr:uid="{76510EF7-D16A-4BC3-BA9A-7C1520196332}"/>
    <cellStyle name="Notiz 7 16 3" xfId="36253" xr:uid="{5E522AC3-5FFD-48BF-A1D2-639F4B41D42E}"/>
    <cellStyle name="Notiz 7 17" xfId="16818" xr:uid="{A883A6DD-BC72-4CE9-AE7F-742EA04B5ADC}"/>
    <cellStyle name="Notiz 7 17 2" xfId="16819" xr:uid="{13294649-BA96-4754-A1AB-8D40AE43457D}"/>
    <cellStyle name="Notiz 7 17 2 2" xfId="36256" xr:uid="{02FDFCF5-A1BF-45C1-AB49-8916371AEF33}"/>
    <cellStyle name="Notiz 7 17 3" xfId="36255" xr:uid="{E3A256A0-8D10-4FF1-9D1F-F468D636B3E5}"/>
    <cellStyle name="Notiz 7 18" xfId="16820" xr:uid="{767D357B-D5B3-43FF-87D9-1DC53353C1DF}"/>
    <cellStyle name="Notiz 7 18 2" xfId="16821" xr:uid="{56481AB3-3EB5-4A03-B761-B195E6903109}"/>
    <cellStyle name="Notiz 7 18 2 2" xfId="36258" xr:uid="{5F0657E0-A5FC-4BFE-9F7B-494511194659}"/>
    <cellStyle name="Notiz 7 18 3" xfId="36257" xr:uid="{44B5252A-3037-4446-A244-FD1963475F6F}"/>
    <cellStyle name="Notiz 7 19" xfId="16822" xr:uid="{A3F03C85-7991-4A7A-B025-60066C7B3987}"/>
    <cellStyle name="Notiz 7 19 2" xfId="16823" xr:uid="{52BCDE25-16D3-498C-A3FC-EA064A4A5DBF}"/>
    <cellStyle name="Notiz 7 19 2 2" xfId="36260" xr:uid="{66FA7F3A-F1AC-4F89-B441-7D974AA888DE}"/>
    <cellStyle name="Notiz 7 19 3" xfId="36259" xr:uid="{C20DCF65-4BEB-4D89-980D-18D3AEEB9535}"/>
    <cellStyle name="Notiz 7 2" xfId="16824" xr:uid="{2079F3DC-CFC1-44A4-B778-D683D40C6978}"/>
    <cellStyle name="Notiz 7 2 2" xfId="16825" xr:uid="{7CD1E012-27A5-4755-BC77-A06CBA255E5D}"/>
    <cellStyle name="Notiz 7 2 2 2" xfId="36262" xr:uid="{63286346-818D-41B8-9570-F57A972F64E1}"/>
    <cellStyle name="Notiz 7 2 2 2 2" xfId="41079" xr:uid="{C2D0D5B4-2E22-47DF-8E10-2555E90B4C8F}"/>
    <cellStyle name="Notiz 7 2 2 3" xfId="41938" xr:uid="{72B97ADC-A112-44B3-80CD-0DA54538FBCC}"/>
    <cellStyle name="Notiz 7 2 2 4" xfId="40172" xr:uid="{E45E8BE6-6BDE-4A0D-A47E-CCFC568A2AE4}"/>
    <cellStyle name="Notiz 7 2 3" xfId="36261" xr:uid="{33CAB366-DB4B-485D-BE5D-D7E367A58531}"/>
    <cellStyle name="Notiz 7 2 3 2" xfId="40637" xr:uid="{F933A661-C757-489D-9FA3-210856DD00D9}"/>
    <cellStyle name="Notiz 7 2 4" xfId="41497" xr:uid="{9387AE66-4BB0-439E-B350-E8A9F7928ACD}"/>
    <cellStyle name="Notiz 7 2 5" xfId="39620" xr:uid="{14E2E1E4-3423-48CC-AEE8-658B6EB8241C}"/>
    <cellStyle name="Notiz 7 20" xfId="16826" xr:uid="{44C466A3-1852-4B4C-BA53-3AC4726323B7}"/>
    <cellStyle name="Notiz 7 20 2" xfId="16827" xr:uid="{741DDB63-D22D-4E29-80D3-F808BE618C96}"/>
    <cellStyle name="Notiz 7 20 2 2" xfId="36264" xr:uid="{9422D2D1-0722-458D-858E-C3B07EEEC980}"/>
    <cellStyle name="Notiz 7 20 3" xfId="36263" xr:uid="{AB192832-6440-41E4-85FA-CF5C8BC5C937}"/>
    <cellStyle name="Notiz 7 21" xfId="16828" xr:uid="{2E54F737-5C1C-46B2-B364-3B06948DDA59}"/>
    <cellStyle name="Notiz 7 21 2" xfId="16829" xr:uid="{405DE7CE-9ECB-4DF2-A565-8B8AEB08A15E}"/>
    <cellStyle name="Notiz 7 21 2 2" xfId="36266" xr:uid="{7CDC7D1B-1A24-4A2F-BF43-1D240A134634}"/>
    <cellStyle name="Notiz 7 21 3" xfId="36265" xr:uid="{5AB42665-A946-4884-ABEB-54EA73D0CD2E}"/>
    <cellStyle name="Notiz 7 22" xfId="16830" xr:uid="{AF4CC2E5-3C4D-4B65-8D62-CFC46EA8996D}"/>
    <cellStyle name="Notiz 7 22 2" xfId="36267" xr:uid="{1761F134-34A9-4832-B09C-35C8717AA5FD}"/>
    <cellStyle name="Notiz 7 23" xfId="16831" xr:uid="{5522CF89-D2C9-44BE-AF69-3E0B4F7E43D0}"/>
    <cellStyle name="Notiz 7 23 2" xfId="36268" xr:uid="{D9D96DEA-C403-45DA-84FF-EE6B0C093310}"/>
    <cellStyle name="Notiz 7 24" xfId="36240" xr:uid="{6C37C69A-4228-4FC3-B19D-C7C19CC64B07}"/>
    <cellStyle name="Notiz 7 25" xfId="39619" xr:uid="{C0B5240A-6362-40F9-A432-14D80DA02CCB}"/>
    <cellStyle name="Notiz 7 26" xfId="16803" xr:uid="{9642653A-0A32-4FE1-B0EC-D0F5B79D7B15}"/>
    <cellStyle name="Notiz 7 3" xfId="16832" xr:uid="{5511353D-6BEE-4C5A-BC05-BEDCE527F279}"/>
    <cellStyle name="Notiz 7 3 2" xfId="16833" xr:uid="{719D8D90-680D-4D17-94DD-544C19123F22}"/>
    <cellStyle name="Notiz 7 3 2 2" xfId="36270" xr:uid="{21100BF8-74F4-4D80-9D1C-45EB8416F55E}"/>
    <cellStyle name="Notiz 7 3 2 3" xfId="41078" xr:uid="{A730E15F-BA55-4798-944D-3E7C678012C6}"/>
    <cellStyle name="Notiz 7 3 3" xfId="36269" xr:uid="{4042F3C2-48BD-4866-A3AD-B3AB29B37984}"/>
    <cellStyle name="Notiz 7 3 3 2" xfId="41937" xr:uid="{7298012A-4ADB-4DDA-88B7-B3C588EAF16D}"/>
    <cellStyle name="Notiz 7 3 4" xfId="40171" xr:uid="{D52DC016-FA6C-47EB-9409-862FCADFFC82}"/>
    <cellStyle name="Notiz 7 4" xfId="16834" xr:uid="{84E43501-90DF-45FD-AE86-1B9D4A23B79C}"/>
    <cellStyle name="Notiz 7 4 2" xfId="16835" xr:uid="{4F81904C-EE31-4E5A-9BB7-B254A96D0284}"/>
    <cellStyle name="Notiz 7 4 2 2" xfId="36272" xr:uid="{90F1C410-5D1D-4BA4-A846-E809EDE7AE18}"/>
    <cellStyle name="Notiz 7 4 3" xfId="36271" xr:uid="{CD470CD1-C319-409F-A1AE-6457C86A94CE}"/>
    <cellStyle name="Notiz 7 4 4" xfId="40636" xr:uid="{B917ADAF-57A4-4052-A883-470AD4309D1C}"/>
    <cellStyle name="Notiz 7 5" xfId="16836" xr:uid="{7E276CF6-2433-4E2D-B960-695F6CF02AE5}"/>
    <cellStyle name="Notiz 7 5 2" xfId="16837" xr:uid="{8AC62DEE-FF6D-4BD5-BF27-DF5CAF5F60E7}"/>
    <cellStyle name="Notiz 7 5 2 2" xfId="36274" xr:uid="{96D4A395-F8F1-43FD-A826-A19B518B4BF6}"/>
    <cellStyle name="Notiz 7 5 3" xfId="36273" xr:uid="{D022C96A-8D38-4E18-8836-6539097816EB}"/>
    <cellStyle name="Notiz 7 5 4" xfId="41496" xr:uid="{675A1241-0206-4BDF-9534-30A6321A472E}"/>
    <cellStyle name="Notiz 7 6" xfId="16838" xr:uid="{A9964CBD-F720-4782-9F1B-4564EFBC652D}"/>
    <cellStyle name="Notiz 7 6 2" xfId="16839" xr:uid="{14DD5EDF-FFAE-4102-B607-22806D093DEA}"/>
    <cellStyle name="Notiz 7 6 2 2" xfId="36276" xr:uid="{3731311E-BAD3-46C9-B3DF-DEC6514AA497}"/>
    <cellStyle name="Notiz 7 6 3" xfId="36275" xr:uid="{8CC7F268-DD86-4DB6-8174-9F319C57E64B}"/>
    <cellStyle name="Notiz 7 7" xfId="16840" xr:uid="{F1E842C3-8EAB-4935-89D9-A75382C48840}"/>
    <cellStyle name="Notiz 7 7 2" xfId="16841" xr:uid="{D93A95D0-54FD-49F8-BC2F-BD168D992F9B}"/>
    <cellStyle name="Notiz 7 7 2 2" xfId="36278" xr:uid="{AED0A5D6-4A14-4F57-BAAB-265A6152CB85}"/>
    <cellStyle name="Notiz 7 7 3" xfId="36277" xr:uid="{E7EE500B-0E15-4070-9DAE-9E6A07B3698E}"/>
    <cellStyle name="Notiz 7 8" xfId="16842" xr:uid="{E9D782A2-470A-436D-BF19-88CBCF2B89F4}"/>
    <cellStyle name="Notiz 7 8 2" xfId="16843" xr:uid="{A71640F7-5B0D-4619-840A-44C36D6570EE}"/>
    <cellStyle name="Notiz 7 8 2 2" xfId="36280" xr:uid="{9F0D25F8-4E1B-4ABA-A38D-359EEED3A6E5}"/>
    <cellStyle name="Notiz 7 8 3" xfId="36279" xr:uid="{8F812BDD-487D-42AD-B8D8-971105CB3A79}"/>
    <cellStyle name="Notiz 7 9" xfId="16844" xr:uid="{6464A2C0-D3C2-4DD2-871B-A91ABE3BB86B}"/>
    <cellStyle name="Notiz 7 9 2" xfId="16845" xr:uid="{876CA71E-D9A3-4698-B90B-38C76B3F365A}"/>
    <cellStyle name="Notiz 7 9 2 2" xfId="36282" xr:uid="{0F5132DF-B33A-4A0D-AD87-D319713B4DF1}"/>
    <cellStyle name="Notiz 7 9 3" xfId="36281" xr:uid="{1482F060-206F-4EB4-ADF5-968BA5A06160}"/>
    <cellStyle name="Notiz 70" xfId="39621" xr:uid="{7CEC0886-644C-436C-858F-6B66B46B64C8}"/>
    <cellStyle name="Notiz 70 2" xfId="40173" xr:uid="{EB01D549-3379-4248-8043-414280E03DD3}"/>
    <cellStyle name="Notiz 70 2 2" xfId="41080" xr:uid="{534F9195-5DC3-424F-BFBE-C12A7CC83D2F}"/>
    <cellStyle name="Notiz 70 2 3" xfId="41939" xr:uid="{A3F1A365-C335-445E-8059-87B3F98C20A9}"/>
    <cellStyle name="Notiz 70 3" xfId="40638" xr:uid="{87F58AB6-BCAA-4DB5-AF26-3CB5E7A55FD2}"/>
    <cellStyle name="Notiz 70 4" xfId="41498" xr:uid="{1404DA9F-795D-4210-9E7A-79022E08FB88}"/>
    <cellStyle name="Notiz 71" xfId="39622" xr:uid="{67355610-8C02-45DD-A9DD-6DCF7AFCF0E8}"/>
    <cellStyle name="Notiz 71 2" xfId="40174" xr:uid="{705528FE-E9C6-4218-8ACE-E974C39D3281}"/>
    <cellStyle name="Notiz 71 2 2" xfId="41081" xr:uid="{640668E6-3A93-421F-ACD7-C58351782D8C}"/>
    <cellStyle name="Notiz 71 2 3" xfId="41940" xr:uid="{20EC01CB-A38A-4F77-BC9B-182B0752CA70}"/>
    <cellStyle name="Notiz 71 3" xfId="40639" xr:uid="{2CABFB72-F3DA-4682-A56C-3438E44E9C4A}"/>
    <cellStyle name="Notiz 71 4" xfId="41499" xr:uid="{490D4AFA-5DEA-4207-B31D-7D1DEA102538}"/>
    <cellStyle name="Notiz 72" xfId="39623" xr:uid="{64B68135-F2CB-45DD-A5CE-3186A520ED51}"/>
    <cellStyle name="Notiz 72 2" xfId="40175" xr:uid="{E413AB42-A00F-4710-8A0D-2C7FCD30F501}"/>
    <cellStyle name="Notiz 72 2 2" xfId="41082" xr:uid="{1E3D4A2F-2B0B-4080-B677-8F0A3B9AA4B2}"/>
    <cellStyle name="Notiz 72 2 3" xfId="41941" xr:uid="{2B0C3665-F709-4CD7-92E7-7945C9F37134}"/>
    <cellStyle name="Notiz 72 3" xfId="40640" xr:uid="{FD52F490-12EB-46A8-9ECD-912D45772017}"/>
    <cellStyle name="Notiz 72 4" xfId="41500" xr:uid="{DF92E81A-5196-4AFB-A96A-A1D473C5963C}"/>
    <cellStyle name="Notiz 73" xfId="39624" xr:uid="{8BC59361-13A7-4E54-8771-6094F3EFD4FD}"/>
    <cellStyle name="Notiz 73 2" xfId="40176" xr:uid="{497BFC3A-77C0-4703-997B-24957D657964}"/>
    <cellStyle name="Notiz 73 2 2" xfId="41083" xr:uid="{EF577D89-85F1-417D-94E1-3A5616BA4263}"/>
    <cellStyle name="Notiz 73 2 3" xfId="41942" xr:uid="{97169A2F-6D1D-42ED-A711-6E6B4C833C94}"/>
    <cellStyle name="Notiz 73 3" xfId="40641" xr:uid="{82376DD4-C472-4865-96B0-E0A584974FE3}"/>
    <cellStyle name="Notiz 73 4" xfId="41501" xr:uid="{BE7C1E20-A92B-4D01-A459-9C8234524167}"/>
    <cellStyle name="Notiz 74" xfId="39625" xr:uid="{6C594B34-642C-4E88-A04B-E962378CE8C7}"/>
    <cellStyle name="Notiz 74 2" xfId="40177" xr:uid="{A26DF58C-283F-4C1C-86F7-BD6701860D17}"/>
    <cellStyle name="Notiz 74 2 2" xfId="41084" xr:uid="{F106D1A8-86EB-4A39-AF6D-33BB36CBEE6D}"/>
    <cellStyle name="Notiz 74 2 3" xfId="41943" xr:uid="{B4A1397B-F158-469D-B6E8-C3C96BA06028}"/>
    <cellStyle name="Notiz 74 3" xfId="40642" xr:uid="{6136D2DE-1765-498D-A3A9-5D17C4A0F980}"/>
    <cellStyle name="Notiz 74 4" xfId="41502" xr:uid="{79C4A7A3-8F8C-4784-88E3-95318F658DB6}"/>
    <cellStyle name="Notiz 75" xfId="39626" xr:uid="{1E4793D3-670A-4231-816D-434F5FB4D0C9}"/>
    <cellStyle name="Notiz 75 2" xfId="40178" xr:uid="{C6D21936-624A-4125-B50F-1F519A3AD872}"/>
    <cellStyle name="Notiz 75 2 2" xfId="41085" xr:uid="{52933D46-5BEB-43F0-915C-8257013DCEE0}"/>
    <cellStyle name="Notiz 75 2 3" xfId="41944" xr:uid="{DB38814A-8630-4AE5-AA46-671CA82718BD}"/>
    <cellStyle name="Notiz 75 3" xfId="40643" xr:uid="{15639132-9FF2-403E-B309-96509E6660D3}"/>
    <cellStyle name="Notiz 75 4" xfId="41503" xr:uid="{0BDFDCBA-18FB-4F27-AC8C-901D8C280176}"/>
    <cellStyle name="Notiz 76" xfId="39627" xr:uid="{9BD00AC1-F974-4B50-9091-787FE56288B4}"/>
    <cellStyle name="Notiz 76 2" xfId="40179" xr:uid="{710A9E43-A905-4154-90F6-9BC275A9FE1A}"/>
    <cellStyle name="Notiz 76 2 2" xfId="41086" xr:uid="{89BABFDE-7467-4F87-B41B-4488AFCB849E}"/>
    <cellStyle name="Notiz 76 2 3" xfId="41945" xr:uid="{B7279103-6364-4BAC-81AD-F2899244EACB}"/>
    <cellStyle name="Notiz 76 3" xfId="40644" xr:uid="{036D0B87-DDF9-4FD5-B572-39A282CC0CEE}"/>
    <cellStyle name="Notiz 76 4" xfId="41504" xr:uid="{95C4829E-7756-48D8-9C17-ED9F49006CD9}"/>
    <cellStyle name="Notiz 77" xfId="39628" xr:uid="{AD000D7C-A6C5-43EB-93B7-3B1DAA5EEC91}"/>
    <cellStyle name="Notiz 77 2" xfId="40180" xr:uid="{0F2DE889-783B-4031-94C8-9F8DE60454D5}"/>
    <cellStyle name="Notiz 77 2 2" xfId="41087" xr:uid="{D0B76D88-0686-4D22-8643-A0615A615E9A}"/>
    <cellStyle name="Notiz 77 2 3" xfId="41946" xr:uid="{1C4D1D16-1407-4DB7-BFAD-3CA7183DC18E}"/>
    <cellStyle name="Notiz 77 3" xfId="40645" xr:uid="{8C2C56F4-9B54-4FDE-9675-C7FBB41CFB91}"/>
    <cellStyle name="Notiz 77 4" xfId="41505" xr:uid="{B8008ADA-2F4D-4BE0-94BE-20D1DECA0895}"/>
    <cellStyle name="Notiz 78" xfId="39629" xr:uid="{2CCFF4E0-EABF-4E49-B2ED-83446DAF4AE9}"/>
    <cellStyle name="Notiz 78 2" xfId="40181" xr:uid="{C0A03290-60A1-4EAF-8A90-E312F7A5E205}"/>
    <cellStyle name="Notiz 78 2 2" xfId="41088" xr:uid="{35C595B4-E6F1-44C5-AE35-0F9DFB0489CE}"/>
    <cellStyle name="Notiz 78 2 3" xfId="41947" xr:uid="{9F730D9D-8F1D-4F2C-B451-0341A7A59A2C}"/>
    <cellStyle name="Notiz 78 3" xfId="40646" xr:uid="{AEF81CD9-A4AC-4E40-B9F7-6D66346DC03A}"/>
    <cellStyle name="Notiz 78 4" xfId="41506" xr:uid="{A89ADD06-F7AB-449B-8D79-32EDAD740AF6}"/>
    <cellStyle name="Notiz 79" xfId="39630" xr:uid="{12D7FE36-40F7-4D1E-8B05-E872ED3E2A29}"/>
    <cellStyle name="Notiz 79 2" xfId="40182" xr:uid="{CFA81E28-C148-4205-A412-12A6235170FA}"/>
    <cellStyle name="Notiz 79 2 2" xfId="41089" xr:uid="{82D16278-07DD-46C3-A463-167FF8262FCC}"/>
    <cellStyle name="Notiz 79 2 3" xfId="41948" xr:uid="{5A84BBB2-F56B-4FCF-AA35-B9227A8AAF93}"/>
    <cellStyle name="Notiz 79 3" xfId="40647" xr:uid="{378D3D1B-C21C-499E-8D7B-AEBBB91F7B7F}"/>
    <cellStyle name="Notiz 79 4" xfId="41507" xr:uid="{255ED422-388C-4A20-9251-DA2A34DC31D1}"/>
    <cellStyle name="Notiz 8" xfId="60" xr:uid="{2491E94B-1D0E-4A05-9C64-2E7170C70580}"/>
    <cellStyle name="Notiz 8 10" xfId="16847" xr:uid="{0A6F27FA-A1DC-4F59-A14C-5D00357FE6B3}"/>
    <cellStyle name="Notiz 8 10 2" xfId="16848" xr:uid="{2B604299-FA49-4493-A82A-6F74B25B39B3}"/>
    <cellStyle name="Notiz 8 10 2 2" xfId="36285" xr:uid="{0DC4FE28-E98E-44D2-B46D-AD6963DA1066}"/>
    <cellStyle name="Notiz 8 10 3" xfId="36284" xr:uid="{C7DBC867-BE6C-4376-A8D4-B5F07FBA3C81}"/>
    <cellStyle name="Notiz 8 11" xfId="16849" xr:uid="{FB4ADDAC-695A-49D3-81FA-256BB28A75CF}"/>
    <cellStyle name="Notiz 8 11 2" xfId="16850" xr:uid="{450499ED-1862-4940-97FF-BA6710CC9B75}"/>
    <cellStyle name="Notiz 8 11 2 2" xfId="36287" xr:uid="{D98A129B-2CA5-43BB-AF89-0BA6C0FE1671}"/>
    <cellStyle name="Notiz 8 11 3" xfId="36286" xr:uid="{E2E6F3C7-958F-4D76-8077-64B8E10FFE3B}"/>
    <cellStyle name="Notiz 8 12" xfId="16851" xr:uid="{18BC2EDC-6C12-419C-91C6-F25C07299D25}"/>
    <cellStyle name="Notiz 8 12 2" xfId="16852" xr:uid="{AEEF8949-C8E1-41DE-9BCE-7B2794160E1C}"/>
    <cellStyle name="Notiz 8 12 2 2" xfId="36289" xr:uid="{010F0858-0D77-4D0A-AAE6-D2D8478EA206}"/>
    <cellStyle name="Notiz 8 12 3" xfId="36288" xr:uid="{236C31E2-F62E-4EE2-A506-BFBE475F5B1F}"/>
    <cellStyle name="Notiz 8 13" xfId="16853" xr:uid="{9B2B2769-CB6E-4447-A8B5-6C00BBDFA3A7}"/>
    <cellStyle name="Notiz 8 13 2" xfId="16854" xr:uid="{C551E5DA-7547-42D3-8422-617BECE495F3}"/>
    <cellStyle name="Notiz 8 13 2 2" xfId="36291" xr:uid="{50802A54-9271-44B5-AC93-1D7FDA708748}"/>
    <cellStyle name="Notiz 8 13 3" xfId="36290" xr:uid="{A7DD2569-F1EF-4D01-892B-40D777ED4766}"/>
    <cellStyle name="Notiz 8 14" xfId="16855" xr:uid="{E72C9F57-9EFD-4EA5-8912-E6D43DE162D1}"/>
    <cellStyle name="Notiz 8 14 2" xfId="16856" xr:uid="{81D76B25-3A76-4A12-9D2F-94283F935E18}"/>
    <cellStyle name="Notiz 8 14 2 2" xfId="36293" xr:uid="{2E042B92-C837-4842-B6FD-5A9CEBB7908F}"/>
    <cellStyle name="Notiz 8 14 3" xfId="36292" xr:uid="{541D4B6E-05DA-4F1D-8FF9-A21B661EB1EA}"/>
    <cellStyle name="Notiz 8 15" xfId="16857" xr:uid="{EB1F4471-C1CC-4FBF-86F8-44192022A185}"/>
    <cellStyle name="Notiz 8 15 2" xfId="16858" xr:uid="{79416488-A028-4539-8D6D-657EB245188F}"/>
    <cellStyle name="Notiz 8 15 2 2" xfId="36295" xr:uid="{BF1FA4FA-C315-45BA-83AA-7536938726B0}"/>
    <cellStyle name="Notiz 8 15 3" xfId="36294" xr:uid="{55C4B7F1-75DA-47A7-8541-FB7FFF05A44F}"/>
    <cellStyle name="Notiz 8 16" xfId="16859" xr:uid="{985CB3C6-58BE-4851-B174-F2CA1764CDA1}"/>
    <cellStyle name="Notiz 8 16 2" xfId="16860" xr:uid="{6D446645-77C9-4702-A64D-6A647BE072A7}"/>
    <cellStyle name="Notiz 8 16 2 2" xfId="36297" xr:uid="{32E05151-5A52-46CA-A844-11142DAEFE8E}"/>
    <cellStyle name="Notiz 8 16 3" xfId="36296" xr:uid="{1369A0C1-0AFC-4134-92C1-F1DA2DA9D208}"/>
    <cellStyle name="Notiz 8 17" xfId="16861" xr:uid="{3E63DA05-016E-4487-AF71-ADBEF39D9B3A}"/>
    <cellStyle name="Notiz 8 17 2" xfId="16862" xr:uid="{F5F4644F-6E19-40D0-8ADA-B5772721AC70}"/>
    <cellStyle name="Notiz 8 17 2 2" xfId="36299" xr:uid="{B686126A-19B8-4044-9E4D-51AB4AF2DB89}"/>
    <cellStyle name="Notiz 8 17 3" xfId="36298" xr:uid="{132C62D2-1FF0-4DE9-A82C-F5553D9027C0}"/>
    <cellStyle name="Notiz 8 18" xfId="16863" xr:uid="{53FB6FCC-8AEA-4947-8074-9EE70A5BD211}"/>
    <cellStyle name="Notiz 8 18 2" xfId="16864" xr:uid="{301C1DBB-C409-4E7F-83E8-E17CFBE16495}"/>
    <cellStyle name="Notiz 8 18 2 2" xfId="36301" xr:uid="{C1071287-EB3F-4D94-83E0-ECBBF6D49994}"/>
    <cellStyle name="Notiz 8 18 3" xfId="36300" xr:uid="{67A0DF74-65AC-481D-B6D6-7C40C4FC0F46}"/>
    <cellStyle name="Notiz 8 19" xfId="16865" xr:uid="{54341462-9E8C-4861-91EB-AAB51C47DBBA}"/>
    <cellStyle name="Notiz 8 19 2" xfId="16866" xr:uid="{51798620-37DB-44E7-82BE-C3A35BE72302}"/>
    <cellStyle name="Notiz 8 19 2 2" xfId="36303" xr:uid="{847B542E-D4E6-4F63-AC6C-6DC2A12BEDBD}"/>
    <cellStyle name="Notiz 8 19 3" xfId="36302" xr:uid="{3B7E5B84-D5C0-4987-A8A5-189F5F5F2D2F}"/>
    <cellStyle name="Notiz 8 2" xfId="16867" xr:uid="{598DD28A-B328-48D6-B089-8B968891DBA0}"/>
    <cellStyle name="Notiz 8 2 2" xfId="16868" xr:uid="{D467A0C2-E685-4011-A505-32CBA0B322D0}"/>
    <cellStyle name="Notiz 8 2 2 2" xfId="36305" xr:uid="{CEFB1C0F-4973-49F3-9991-56BB521E939E}"/>
    <cellStyle name="Notiz 8 2 2 2 2" xfId="41091" xr:uid="{C019B031-46A0-447D-9DA8-013E0FEA18A1}"/>
    <cellStyle name="Notiz 8 2 2 3" xfId="41950" xr:uid="{3D2C4A5F-3DF8-4127-9DC2-C49FB98E596E}"/>
    <cellStyle name="Notiz 8 2 2 4" xfId="40184" xr:uid="{94137020-53DD-427E-A064-6A8BB9344B80}"/>
    <cellStyle name="Notiz 8 2 3" xfId="36304" xr:uid="{7C232FC4-074D-448D-A6B5-2BD0C481F219}"/>
    <cellStyle name="Notiz 8 2 3 2" xfId="40649" xr:uid="{1B86B44E-EF8F-49F7-A651-E5DC0A4C3CEC}"/>
    <cellStyle name="Notiz 8 2 4" xfId="41509" xr:uid="{C2D61E41-B129-45C5-94BD-076012BC7058}"/>
    <cellStyle name="Notiz 8 2 5" xfId="39632" xr:uid="{F4003208-82F1-4217-AC9C-9E46F5629E88}"/>
    <cellStyle name="Notiz 8 20" xfId="16869" xr:uid="{2BEEC36B-201E-46C0-B222-98F38D398594}"/>
    <cellStyle name="Notiz 8 20 2" xfId="16870" xr:uid="{DF298440-B0BF-442C-BF34-BE632D09F15E}"/>
    <cellStyle name="Notiz 8 20 2 2" xfId="36307" xr:uid="{F0FDBC2C-5F93-40E0-BAF5-E8FE9017E91D}"/>
    <cellStyle name="Notiz 8 20 3" xfId="36306" xr:uid="{8E7B6CE2-037D-479D-A4C9-7EB07FC7C8A2}"/>
    <cellStyle name="Notiz 8 21" xfId="16871" xr:uid="{C421F6D0-7EF6-45F2-8338-F11812255753}"/>
    <cellStyle name="Notiz 8 21 2" xfId="16872" xr:uid="{65F51B34-2AA0-4947-97D4-043929E94D63}"/>
    <cellStyle name="Notiz 8 21 2 2" xfId="36309" xr:uid="{70771210-726F-40A7-BE99-E550B5FAE4F2}"/>
    <cellStyle name="Notiz 8 21 3" xfId="36308" xr:uid="{B7456EC3-BC39-4A9B-88C8-68E6F5F8CA4E}"/>
    <cellStyle name="Notiz 8 22" xfId="16873" xr:uid="{24008318-1C0A-48C8-9FB8-E936453BB466}"/>
    <cellStyle name="Notiz 8 22 2" xfId="36310" xr:uid="{211B0C6A-F502-4199-865A-D7E1E1C75AF1}"/>
    <cellStyle name="Notiz 8 23" xfId="16874" xr:uid="{C0D45C30-F256-4835-83BA-B1362F6A2702}"/>
    <cellStyle name="Notiz 8 23 2" xfId="36311" xr:uid="{F6D2109A-1866-4AF1-9F6B-9A5F5E63920A}"/>
    <cellStyle name="Notiz 8 24" xfId="36283" xr:uid="{768B1770-191E-47CB-ABC6-A9C48B279EAD}"/>
    <cellStyle name="Notiz 8 25" xfId="39631" xr:uid="{104117FC-3B2A-4A3C-A61E-14A3BB9D4C2D}"/>
    <cellStyle name="Notiz 8 26" xfId="16846" xr:uid="{27209727-31F7-4A02-9F61-21F42D154487}"/>
    <cellStyle name="Notiz 8 3" xfId="16875" xr:uid="{31C3ED9A-8EBC-428A-A84D-E342EC635991}"/>
    <cellStyle name="Notiz 8 3 2" xfId="16876" xr:uid="{E3AAA24E-D6A9-4617-A473-5AA007E35A95}"/>
    <cellStyle name="Notiz 8 3 2 2" xfId="36313" xr:uid="{435105D4-DFF1-4BA1-B55D-E98C1AAA4355}"/>
    <cellStyle name="Notiz 8 3 2 3" xfId="41090" xr:uid="{FE41EA1A-170B-41D4-9881-C029DD135C74}"/>
    <cellStyle name="Notiz 8 3 3" xfId="36312" xr:uid="{188AB58C-5615-4620-AFD3-2CADAA3A721B}"/>
    <cellStyle name="Notiz 8 3 3 2" xfId="41949" xr:uid="{B45D7531-8EC1-4E63-8740-575C590F7C01}"/>
    <cellStyle name="Notiz 8 3 4" xfId="40183" xr:uid="{0C25F55E-BB72-49C2-9BE8-81B849442A64}"/>
    <cellStyle name="Notiz 8 4" xfId="16877" xr:uid="{4D3F73B8-8BEB-408C-AB7F-52C76E60241B}"/>
    <cellStyle name="Notiz 8 4 2" xfId="16878" xr:uid="{D021342F-19F4-4696-A7D7-B187D9B330C5}"/>
    <cellStyle name="Notiz 8 4 2 2" xfId="36315" xr:uid="{68537CD9-FB6D-4962-A80F-2599A5EB0208}"/>
    <cellStyle name="Notiz 8 4 3" xfId="36314" xr:uid="{403916E3-3EEC-4A13-A96C-47D85F236BF3}"/>
    <cellStyle name="Notiz 8 4 4" xfId="40648" xr:uid="{EF0039C5-6263-4A9A-BE03-5FB9CB956085}"/>
    <cellStyle name="Notiz 8 5" xfId="16879" xr:uid="{896065FF-9FBC-4BFA-A0E5-90D40114D2E0}"/>
    <cellStyle name="Notiz 8 5 2" xfId="16880" xr:uid="{9F09E632-2784-4256-8372-98144CD59E90}"/>
    <cellStyle name="Notiz 8 5 2 2" xfId="36317" xr:uid="{4DE07125-D5D1-4522-8905-49107DB62C05}"/>
    <cellStyle name="Notiz 8 5 3" xfId="36316" xr:uid="{47643935-4BF1-4230-A113-D893072C163E}"/>
    <cellStyle name="Notiz 8 5 4" xfId="41508" xr:uid="{11B69D95-C6C5-45FE-8D3F-0783BAF26C35}"/>
    <cellStyle name="Notiz 8 6" xfId="16881" xr:uid="{67CCADB5-B7AE-4489-9EA0-5DF8279D1020}"/>
    <cellStyle name="Notiz 8 6 2" xfId="16882" xr:uid="{A81BF619-A136-44EE-8AA7-AE52563423DB}"/>
    <cellStyle name="Notiz 8 6 2 2" xfId="36319" xr:uid="{8073959F-D6CA-4B9F-8317-CD7CEDA86631}"/>
    <cellStyle name="Notiz 8 6 3" xfId="36318" xr:uid="{3318183C-C0C0-443C-B139-92E480D9A79F}"/>
    <cellStyle name="Notiz 8 7" xfId="16883" xr:uid="{C02F4BAA-22BB-4833-AC3A-5F437F8405A0}"/>
    <cellStyle name="Notiz 8 7 2" xfId="16884" xr:uid="{E16E1B37-7ACF-4C6F-8AF2-BF3C1A811CF9}"/>
    <cellStyle name="Notiz 8 7 2 2" xfId="36321" xr:uid="{59DAB524-66D5-4271-9A42-8D6EB7DC0D46}"/>
    <cellStyle name="Notiz 8 7 3" xfId="36320" xr:uid="{33D0668D-3738-490F-BC8C-183145A1D7CC}"/>
    <cellStyle name="Notiz 8 8" xfId="16885" xr:uid="{F10BB2E5-04C3-44E7-BFDC-921618D92E51}"/>
    <cellStyle name="Notiz 8 8 2" xfId="16886" xr:uid="{8DFB6BA5-B889-433D-AE57-72E07EEE06D7}"/>
    <cellStyle name="Notiz 8 8 2 2" xfId="36323" xr:uid="{D0FDFA1E-4301-4A66-9DB7-B03D9F00A2FA}"/>
    <cellStyle name="Notiz 8 8 3" xfId="36322" xr:uid="{23B12BE4-ACA6-4D50-84A8-623B65BEF29E}"/>
    <cellStyle name="Notiz 8 9" xfId="16887" xr:uid="{87876A33-5FFF-4CA1-84B8-08F134FC1EBE}"/>
    <cellStyle name="Notiz 8 9 2" xfId="16888" xr:uid="{95BA799A-B511-43ED-A74C-E367120FAFEA}"/>
    <cellStyle name="Notiz 8 9 2 2" xfId="36325" xr:uid="{60D687CA-130A-4A62-99F6-F988726B3AAF}"/>
    <cellStyle name="Notiz 8 9 3" xfId="36324" xr:uid="{7167641B-EB04-4B1E-A4BA-64CD964BCAD0}"/>
    <cellStyle name="Notiz 80" xfId="39633" xr:uid="{4D61D563-0427-4DDC-A9E6-5186335065BE}"/>
    <cellStyle name="Notiz 80 2" xfId="40185" xr:uid="{D98B51CF-E2E3-459B-94FB-48DF28D2D292}"/>
    <cellStyle name="Notiz 80 2 2" xfId="41092" xr:uid="{257D5E21-CD93-4CFE-BAB9-324F0C6CB17F}"/>
    <cellStyle name="Notiz 80 2 3" xfId="41951" xr:uid="{10C675E0-5C2F-4358-ADAD-9E15846CD144}"/>
    <cellStyle name="Notiz 80 3" xfId="40650" xr:uid="{A9E3FB4C-1D48-4C44-A713-DABB02CBB4BE}"/>
    <cellStyle name="Notiz 80 4" xfId="41510" xr:uid="{90240220-8697-47D6-921C-1DF3947A1276}"/>
    <cellStyle name="Notiz 81" xfId="39634" xr:uid="{E4601CAA-16D6-4ECF-9D81-AD66A5513508}"/>
    <cellStyle name="Notiz 81 2" xfId="40186" xr:uid="{506A87C0-12B0-4BB4-863F-C0D4289BFD93}"/>
    <cellStyle name="Notiz 81 2 2" xfId="41093" xr:uid="{5A052C0D-07AF-4988-8D26-F6D7046B6FD7}"/>
    <cellStyle name="Notiz 81 2 3" xfId="41952" xr:uid="{0821530D-BCD4-4EB8-BC34-4D42FF26111B}"/>
    <cellStyle name="Notiz 81 3" xfId="40651" xr:uid="{A43EA84D-702B-4DF7-8E7C-8C5C0C62CDFE}"/>
    <cellStyle name="Notiz 81 4" xfId="41511" xr:uid="{C59F0F80-634C-451F-BD8D-795821814540}"/>
    <cellStyle name="Notiz 82" xfId="39635" xr:uid="{98902CAC-5135-4579-8673-7D5E933761D9}"/>
    <cellStyle name="Notiz 82 2" xfId="40187" xr:uid="{EF73373D-C318-4470-97FB-0287A83FE62A}"/>
    <cellStyle name="Notiz 82 2 2" xfId="41094" xr:uid="{EFC88B99-4232-4046-A54B-981AA2E82BD4}"/>
    <cellStyle name="Notiz 82 2 3" xfId="41953" xr:uid="{8A923215-15B4-4BFB-8F0E-ACCEFCFE08F9}"/>
    <cellStyle name="Notiz 82 3" xfId="40652" xr:uid="{3D556FB5-A772-4B03-9686-A925F9AF6F16}"/>
    <cellStyle name="Notiz 82 4" xfId="41512" xr:uid="{BC07C3F6-6C21-4945-923B-13FD4292204A}"/>
    <cellStyle name="Notiz 83" xfId="39636" xr:uid="{70BFAC44-C14F-4040-BFBA-F811AF43B357}"/>
    <cellStyle name="Notiz 83 2" xfId="40188" xr:uid="{8EB7F09A-B90E-454C-AFB5-2D073E24C003}"/>
    <cellStyle name="Notiz 83 2 2" xfId="41095" xr:uid="{5837628A-B441-492F-81FE-3EF3F61D7564}"/>
    <cellStyle name="Notiz 83 2 3" xfId="41954" xr:uid="{AB527262-BEE3-4DF4-B03E-F5FB7E36149B}"/>
    <cellStyle name="Notiz 83 3" xfId="40653" xr:uid="{127B2316-A730-4012-A3F0-A8413356F488}"/>
    <cellStyle name="Notiz 83 4" xfId="41513" xr:uid="{1D2EE739-641B-4004-B40A-8D1F2CC08CF2}"/>
    <cellStyle name="Notiz 84" xfId="39637" xr:uid="{26A9AC9B-465B-45D4-B14D-2692F5F0D4E4}"/>
    <cellStyle name="Notiz 84 2" xfId="40189" xr:uid="{5E5C9A0E-9F7D-4F23-9FDB-95A5D2ACA616}"/>
    <cellStyle name="Notiz 84 2 2" xfId="41096" xr:uid="{EB2A7417-0254-4E5A-99A8-D83176517860}"/>
    <cellStyle name="Notiz 84 2 3" xfId="41955" xr:uid="{2BFECF41-F3FE-4806-835D-0F5F7FB07A92}"/>
    <cellStyle name="Notiz 84 3" xfId="40654" xr:uid="{70A91CD0-3698-4069-900A-B3BFCBA2E3B8}"/>
    <cellStyle name="Notiz 84 4" xfId="41514" xr:uid="{7242C979-D897-4B8B-AC9C-EC8A55936284}"/>
    <cellStyle name="Notiz 85" xfId="39638" xr:uid="{F233D173-87B7-44AF-930E-D6E60E335C1B}"/>
    <cellStyle name="Notiz 85 2" xfId="40190" xr:uid="{77807AAC-8560-422D-863C-EB37D5D0A295}"/>
    <cellStyle name="Notiz 85 2 2" xfId="41097" xr:uid="{A48B3362-CD1E-45A7-AB82-F7C9C18F4E89}"/>
    <cellStyle name="Notiz 85 2 3" xfId="41956" xr:uid="{0D2E1B22-C439-4F99-95CF-AE197DBAFD26}"/>
    <cellStyle name="Notiz 85 3" xfId="40655" xr:uid="{8BCA4530-9E6A-4183-B57F-4E555FAF3A1E}"/>
    <cellStyle name="Notiz 85 4" xfId="41515" xr:uid="{F4578336-B3C3-4FFA-8021-6CD2EDC96D98}"/>
    <cellStyle name="Notiz 86" xfId="39639" xr:uid="{7F4D39BF-3AC7-4C27-9936-B2643872551D}"/>
    <cellStyle name="Notiz 86 2" xfId="40191" xr:uid="{1F1E5352-E0FB-4B0E-9235-C946AB578F88}"/>
    <cellStyle name="Notiz 86 2 2" xfId="41098" xr:uid="{0FB08D49-8F6C-4018-8F45-0FE591608E18}"/>
    <cellStyle name="Notiz 86 2 3" xfId="41957" xr:uid="{D2BEF0DE-3EDB-4961-9850-89F322BDE071}"/>
    <cellStyle name="Notiz 86 3" xfId="40656" xr:uid="{7B71F4A4-4081-408E-A676-807965FCB600}"/>
    <cellStyle name="Notiz 86 4" xfId="41516" xr:uid="{EB5E959F-5B04-4F1E-88A0-889916E7A87A}"/>
    <cellStyle name="Notiz 87" xfId="39640" xr:uid="{C0592BAE-591F-4B68-99C3-E2462B33B8E4}"/>
    <cellStyle name="Notiz 87 2" xfId="40192" xr:uid="{5B085302-4326-4460-AA82-B4D32F21C4F3}"/>
    <cellStyle name="Notiz 87 2 2" xfId="41099" xr:uid="{F73E9728-A43F-4626-9B95-8047D79E0668}"/>
    <cellStyle name="Notiz 87 2 3" xfId="41958" xr:uid="{8AB89205-9CBE-44E6-945C-716CF08DDA00}"/>
    <cellStyle name="Notiz 87 3" xfId="40657" xr:uid="{B0E57E38-E65D-4DC8-9D81-C4F3046F3BDF}"/>
    <cellStyle name="Notiz 87 4" xfId="41517" xr:uid="{EF68DC9F-8497-4FD8-8480-606A15ACB441}"/>
    <cellStyle name="Notiz 88" xfId="39641" xr:uid="{C43B6EC9-9F9A-4826-BE31-5E1BB37B4BE7}"/>
    <cellStyle name="Notiz 88 2" xfId="40193" xr:uid="{A7DC91C7-AB62-4552-B0B5-D5C5B549ED69}"/>
    <cellStyle name="Notiz 88 2 2" xfId="41100" xr:uid="{EDD6428C-0499-4ECB-8015-C5168FF0D77A}"/>
    <cellStyle name="Notiz 88 2 3" xfId="41959" xr:uid="{BA8658B3-A7D7-4D58-AA0E-E9F9DF6DDEC7}"/>
    <cellStyle name="Notiz 88 3" xfId="40658" xr:uid="{788875D6-AA50-43FC-B42B-5C04476212D8}"/>
    <cellStyle name="Notiz 88 4" xfId="41518" xr:uid="{E6ED51A1-8664-4B12-8C7D-405772FD2DB3}"/>
    <cellStyle name="Notiz 89" xfId="39642" xr:uid="{E3B5138E-5213-44AB-8B73-807236AB13B8}"/>
    <cellStyle name="Notiz 89 2" xfId="40194" xr:uid="{95384360-9537-4E00-BCC4-7E5A8BC9835E}"/>
    <cellStyle name="Notiz 89 2 2" xfId="41101" xr:uid="{2441A54B-BC72-4FB1-9259-308782A18054}"/>
    <cellStyle name="Notiz 89 2 3" xfId="41960" xr:uid="{832F148E-0AA8-434D-9DBB-4C0663CBB1E7}"/>
    <cellStyle name="Notiz 89 3" xfId="40659" xr:uid="{4DE6A01F-12DB-4087-90A9-5F750985F6E9}"/>
    <cellStyle name="Notiz 89 4" xfId="41519" xr:uid="{40A30E09-4231-4FEF-B2CB-A9902E4E3B8E}"/>
    <cellStyle name="Notiz 9" xfId="63" xr:uid="{1240BEF9-B3D3-4D4F-AD79-3627A7542A2D}"/>
    <cellStyle name="Notiz 9 10" xfId="16890" xr:uid="{DC511479-33EA-488F-A689-C6E18BBDA12A}"/>
    <cellStyle name="Notiz 9 10 2" xfId="16891" xr:uid="{41C295A1-7F32-476D-96F1-319D3C451322}"/>
    <cellStyle name="Notiz 9 10 2 2" xfId="36328" xr:uid="{52CB33B0-F07E-4152-AFD5-013D5AE31316}"/>
    <cellStyle name="Notiz 9 10 3" xfId="36327" xr:uid="{A4EDA867-A2E5-43D4-87C8-59E6A560999F}"/>
    <cellStyle name="Notiz 9 11" xfId="16892" xr:uid="{E8B25B25-992D-4F33-8982-399672942FBA}"/>
    <cellStyle name="Notiz 9 11 2" xfId="16893" xr:uid="{850D3146-6A07-4C8C-80CA-91FD86114188}"/>
    <cellStyle name="Notiz 9 11 2 2" xfId="36330" xr:uid="{BDFA4C50-C08C-48B5-92F6-4E0F02D34144}"/>
    <cellStyle name="Notiz 9 11 3" xfId="36329" xr:uid="{22E9B840-94CA-4DD3-B9E8-CCC8AA2C0860}"/>
    <cellStyle name="Notiz 9 12" xfId="16894" xr:uid="{A273AEC9-7D3C-4808-A8BE-7A05C60FAFE1}"/>
    <cellStyle name="Notiz 9 12 2" xfId="16895" xr:uid="{34E6F422-E0D8-4D18-AB20-EBE4B0D972DD}"/>
    <cellStyle name="Notiz 9 12 2 2" xfId="36332" xr:uid="{9D22D30E-B0F0-4D30-9DA2-F07D03191423}"/>
    <cellStyle name="Notiz 9 12 3" xfId="36331" xr:uid="{27CA2E97-E90D-4FAC-AB69-2497074549DB}"/>
    <cellStyle name="Notiz 9 13" xfId="16896" xr:uid="{2E9BF91A-4719-44B6-B60A-82D26171180E}"/>
    <cellStyle name="Notiz 9 13 2" xfId="16897" xr:uid="{6CA74D7A-92E6-45A2-AF6D-C4EC9B96C1EA}"/>
    <cellStyle name="Notiz 9 13 2 2" xfId="36334" xr:uid="{873AE1E3-D380-47C0-937E-BD490BB30857}"/>
    <cellStyle name="Notiz 9 13 3" xfId="36333" xr:uid="{23004717-A420-4067-B3AD-9D45BB27E43A}"/>
    <cellStyle name="Notiz 9 14" xfId="16898" xr:uid="{10BFDCDA-97FD-42EA-872C-C0E2A523673C}"/>
    <cellStyle name="Notiz 9 14 2" xfId="16899" xr:uid="{541D6BD9-C9C3-4FA4-9563-23D846810702}"/>
    <cellStyle name="Notiz 9 14 2 2" xfId="36336" xr:uid="{6F4B42A3-8F0A-413D-99C6-6830ECB28722}"/>
    <cellStyle name="Notiz 9 14 3" xfId="36335" xr:uid="{6CE46391-7A94-4965-88A8-72D0E88D7D1E}"/>
    <cellStyle name="Notiz 9 15" xfId="16900" xr:uid="{CB7F0DBF-1EDE-4787-9DB0-AF5C40B29E9B}"/>
    <cellStyle name="Notiz 9 15 2" xfId="16901" xr:uid="{0347F2D7-44DF-490F-8CC2-9146A18730F2}"/>
    <cellStyle name="Notiz 9 15 2 2" xfId="36338" xr:uid="{3CB561F0-423B-4316-A8D2-F8CCBB9211F0}"/>
    <cellStyle name="Notiz 9 15 3" xfId="36337" xr:uid="{039856F9-6E91-4B07-8463-D8DD827F523C}"/>
    <cellStyle name="Notiz 9 16" xfId="16902" xr:uid="{629BB916-AF4D-40C3-8658-C15A78BCFBB6}"/>
    <cellStyle name="Notiz 9 16 2" xfId="16903" xr:uid="{E5A99A32-BFDD-410B-9E49-1C915F5E9053}"/>
    <cellStyle name="Notiz 9 16 2 2" xfId="36340" xr:uid="{432DB29F-5FBB-44C5-873D-414A73C4F03A}"/>
    <cellStyle name="Notiz 9 16 3" xfId="36339" xr:uid="{D2A22D52-0761-4ACA-9BB6-E4434A7B23E1}"/>
    <cellStyle name="Notiz 9 17" xfId="16904" xr:uid="{5B1B2461-ACC1-40EF-B0B8-5AC9AB5EF52B}"/>
    <cellStyle name="Notiz 9 17 2" xfId="16905" xr:uid="{7AA62D9E-F91A-457C-8F00-38FA638C92F4}"/>
    <cellStyle name="Notiz 9 17 2 2" xfId="36342" xr:uid="{8AA1FC86-95D1-4AB0-A288-218E16C0C32B}"/>
    <cellStyle name="Notiz 9 17 3" xfId="36341" xr:uid="{376A8477-03EF-4788-835D-FE811228CB8E}"/>
    <cellStyle name="Notiz 9 18" xfId="16906" xr:uid="{DFE185E9-9940-4170-A53F-57E4213C617C}"/>
    <cellStyle name="Notiz 9 18 2" xfId="16907" xr:uid="{673A61A6-A4CA-452C-AA68-42578D2F850F}"/>
    <cellStyle name="Notiz 9 18 2 2" xfId="36344" xr:uid="{29945002-C57C-473C-B80C-01C152A4CBA4}"/>
    <cellStyle name="Notiz 9 18 3" xfId="36343" xr:uid="{3E13F112-373C-4097-BE79-5618C4D00D64}"/>
    <cellStyle name="Notiz 9 19" xfId="16908" xr:uid="{365B5A1B-F0CD-4905-9932-66F758AD8A20}"/>
    <cellStyle name="Notiz 9 19 2" xfId="16909" xr:uid="{186493E1-3312-4C0F-A1F1-868B3374F99D}"/>
    <cellStyle name="Notiz 9 19 2 2" xfId="36346" xr:uid="{AE458A49-DAA2-41C4-9618-47EA58793A66}"/>
    <cellStyle name="Notiz 9 19 3" xfId="36345" xr:uid="{0383AFDF-CDBD-4C74-85B5-9896C714ADC3}"/>
    <cellStyle name="Notiz 9 2" xfId="16910" xr:uid="{A8E3A2E7-100E-43FE-BF25-1F8369719215}"/>
    <cellStyle name="Notiz 9 2 2" xfId="16911" xr:uid="{74EA2914-EB30-483F-89D4-B4EB29544B67}"/>
    <cellStyle name="Notiz 9 2 2 2" xfId="36348" xr:uid="{F07F783A-0065-4494-947F-9DC3BDFF99B3}"/>
    <cellStyle name="Notiz 9 2 2 2 2" xfId="41103" xr:uid="{D3D3C20A-6274-451A-93BD-A14A8AB7FE7A}"/>
    <cellStyle name="Notiz 9 2 2 3" xfId="41962" xr:uid="{D47BABAE-EDA9-429F-AA8F-7E42BED09F8E}"/>
    <cellStyle name="Notiz 9 2 2 4" xfId="40196" xr:uid="{5BD46B48-3B6E-4603-AEBA-3D6D2088681B}"/>
    <cellStyle name="Notiz 9 2 3" xfId="36347" xr:uid="{C95E45A1-2809-4EE5-A3E6-97E12B3B69EF}"/>
    <cellStyle name="Notiz 9 2 3 2" xfId="40661" xr:uid="{0D4E194E-6757-45B3-8D67-E6CE77F10B7E}"/>
    <cellStyle name="Notiz 9 2 4" xfId="41521" xr:uid="{367572B7-7C88-404E-8FCC-8464FD71CE3F}"/>
    <cellStyle name="Notiz 9 2 5" xfId="39644" xr:uid="{9456B791-BA87-426D-9E7E-5B52324F59D9}"/>
    <cellStyle name="Notiz 9 20" xfId="16912" xr:uid="{FF5B7338-2593-46B2-8810-CB2103F65B0C}"/>
    <cellStyle name="Notiz 9 20 2" xfId="16913" xr:uid="{F12632C6-8A61-4083-B03A-B0161A3AF888}"/>
    <cellStyle name="Notiz 9 20 2 2" xfId="36350" xr:uid="{D30ACD75-2F94-477F-A530-A432C3A942AF}"/>
    <cellStyle name="Notiz 9 20 3" xfId="36349" xr:uid="{464B06EF-6721-4BB4-8EB7-412A363E1AC8}"/>
    <cellStyle name="Notiz 9 21" xfId="16914" xr:uid="{AE588B8B-A010-4746-91CC-8F63838AEFA0}"/>
    <cellStyle name="Notiz 9 21 2" xfId="16915" xr:uid="{CEF29365-81CE-40C3-BB06-14879E11D7CC}"/>
    <cellStyle name="Notiz 9 21 2 2" xfId="36352" xr:uid="{0122D11D-3DC9-4534-B91A-D17FF0B40FCA}"/>
    <cellStyle name="Notiz 9 21 3" xfId="36351" xr:uid="{EB2C7A03-3A6B-4C5B-A089-A2A63E1FF072}"/>
    <cellStyle name="Notiz 9 22" xfId="16916" xr:uid="{393A04E6-AC09-40D0-B957-5767E8B8B1CF}"/>
    <cellStyle name="Notiz 9 22 2" xfId="36353" xr:uid="{0C7089E4-F29C-492A-88E5-C3F15ADB903D}"/>
    <cellStyle name="Notiz 9 23" xfId="16917" xr:uid="{DE0BF75A-5FDB-4EDD-ACF0-A67E7243BDE3}"/>
    <cellStyle name="Notiz 9 23 2" xfId="36354" xr:uid="{0B69EDFC-B6AF-40E1-AD02-D6CE522CD1BC}"/>
    <cellStyle name="Notiz 9 24" xfId="36326" xr:uid="{3FB7E0AA-6E1B-4F18-AC67-17706F8ED9CC}"/>
    <cellStyle name="Notiz 9 25" xfId="39643" xr:uid="{B81A111C-344F-4285-9D29-C9E58C3EF4DE}"/>
    <cellStyle name="Notiz 9 26" xfId="16889" xr:uid="{0D2407D0-738F-49D8-AA4A-F8D9372EE36E}"/>
    <cellStyle name="Notiz 9 3" xfId="16918" xr:uid="{6870D7BD-BB4B-4A11-88EF-1FE55423E731}"/>
    <cellStyle name="Notiz 9 3 2" xfId="16919" xr:uid="{66666575-CDB6-4582-95D7-59DF5E3DC56C}"/>
    <cellStyle name="Notiz 9 3 2 2" xfId="36356" xr:uid="{6AB67DDC-FCE8-4ADB-A18F-A647CF690E67}"/>
    <cellStyle name="Notiz 9 3 2 3" xfId="41102" xr:uid="{F7EC4599-4011-496C-8727-6C3DE50D2381}"/>
    <cellStyle name="Notiz 9 3 3" xfId="36355" xr:uid="{41AE0789-8C43-484D-AF9A-7D70A716AE86}"/>
    <cellStyle name="Notiz 9 3 3 2" xfId="41961" xr:uid="{D692ECD3-241A-4334-A2EA-E1A5A7864D29}"/>
    <cellStyle name="Notiz 9 3 4" xfId="40195" xr:uid="{E2EC0497-4B73-4F0B-AF20-D0F5B34DD0A2}"/>
    <cellStyle name="Notiz 9 4" xfId="16920" xr:uid="{1F2F88AD-FB2F-470A-9454-46552FC51A6D}"/>
    <cellStyle name="Notiz 9 4 2" xfId="16921" xr:uid="{A5EFEF18-CF83-402C-B824-2A31A29B0821}"/>
    <cellStyle name="Notiz 9 4 2 2" xfId="36358" xr:uid="{4B4D7881-96DF-488E-9724-A59D2ED86290}"/>
    <cellStyle name="Notiz 9 4 3" xfId="36357" xr:uid="{6E7E6B6B-E9F9-4B6C-A088-11D6DBA424E0}"/>
    <cellStyle name="Notiz 9 4 4" xfId="40660" xr:uid="{096712BE-CE06-45F6-8B99-9B4E8C84DA22}"/>
    <cellStyle name="Notiz 9 5" xfId="16922" xr:uid="{DDD1E7F9-08D5-48B5-89AE-6A748B478B42}"/>
    <cellStyle name="Notiz 9 5 2" xfId="16923" xr:uid="{AF9CF628-0A65-449B-AB76-6AFF36C71D20}"/>
    <cellStyle name="Notiz 9 5 2 2" xfId="36360" xr:uid="{FF5339C7-644A-4BA7-A437-B2A776EB4163}"/>
    <cellStyle name="Notiz 9 5 3" xfId="36359" xr:uid="{EE4FFDA9-AD5E-4890-910B-9FF2915D0C14}"/>
    <cellStyle name="Notiz 9 5 4" xfId="41520" xr:uid="{A2148F5A-9323-423D-8FB1-A421C6B22C43}"/>
    <cellStyle name="Notiz 9 6" xfId="16924" xr:uid="{1E6D03F3-1BA1-4AB4-9755-BACAD9DA208F}"/>
    <cellStyle name="Notiz 9 6 2" xfId="16925" xr:uid="{E69D9B98-9A5F-4556-AD4C-24E39AF9F710}"/>
    <cellStyle name="Notiz 9 6 2 2" xfId="36362" xr:uid="{2621E74A-EC69-4D2C-960E-F8FE7286D419}"/>
    <cellStyle name="Notiz 9 6 3" xfId="36361" xr:uid="{56AD539F-6E74-4169-86BC-6048D5B0221D}"/>
    <cellStyle name="Notiz 9 7" xfId="16926" xr:uid="{D8C2E3E0-AEF9-4DC7-B3FB-87EBE3D71581}"/>
    <cellStyle name="Notiz 9 7 2" xfId="16927" xr:uid="{7DBCA748-7D50-4491-B786-368B85B29D35}"/>
    <cellStyle name="Notiz 9 7 2 2" xfId="36364" xr:uid="{3B5496C7-8C40-4C78-AC33-515359E8A17A}"/>
    <cellStyle name="Notiz 9 7 3" xfId="36363" xr:uid="{15D23062-1255-4F1D-B84F-E9526153EB4C}"/>
    <cellStyle name="Notiz 9 8" xfId="16928" xr:uid="{6035572B-3CDA-4E94-A06F-7B8D9CC442C8}"/>
    <cellStyle name="Notiz 9 8 2" xfId="16929" xr:uid="{8D675F44-6E86-4CE6-9AA2-DC4E921135FB}"/>
    <cellStyle name="Notiz 9 8 2 2" xfId="36366" xr:uid="{9638393B-5942-4FA5-86AB-992F5B684DEA}"/>
    <cellStyle name="Notiz 9 8 3" xfId="36365" xr:uid="{4C1376DD-9C04-4133-9202-321C57BF13E7}"/>
    <cellStyle name="Notiz 9 9" xfId="16930" xr:uid="{C419ACD1-F9EC-4191-A0E5-D518A446910D}"/>
    <cellStyle name="Notiz 9 9 2" xfId="16931" xr:uid="{78FC2F42-2C0D-4D4C-9363-709FBFAF8992}"/>
    <cellStyle name="Notiz 9 9 2 2" xfId="36368" xr:uid="{A1549754-AE04-4D42-BEAE-421D6B0B7D81}"/>
    <cellStyle name="Notiz 9 9 3" xfId="36367" xr:uid="{FB35A1B2-FF70-4A0E-B412-0525EB51301D}"/>
    <cellStyle name="Notiz 90" xfId="39645" xr:uid="{5CCEF4EB-E620-4D10-9DF1-B31BE417CC55}"/>
    <cellStyle name="Notiz 90 2" xfId="40197" xr:uid="{5CF9C94B-672C-42EC-AD23-D54E9A8C0B82}"/>
    <cellStyle name="Notiz 90 2 2" xfId="41104" xr:uid="{3F5BAA91-C47C-458E-90A1-7203C5F7CFA3}"/>
    <cellStyle name="Notiz 90 2 3" xfId="41963" xr:uid="{8F554650-58CC-45AB-9FDE-76890CC3BCD7}"/>
    <cellStyle name="Notiz 90 3" xfId="40662" xr:uid="{ADDD327F-93AF-45CE-A964-45919C30F78B}"/>
    <cellStyle name="Notiz 90 4" xfId="41522" xr:uid="{E444DA21-7A83-42B5-A6CE-0838C23C4221}"/>
    <cellStyle name="Notiz 91" xfId="39646" xr:uid="{AEB39382-227B-41B0-AFF2-A417D447C619}"/>
    <cellStyle name="Notiz 91 2" xfId="40198" xr:uid="{52AC2CD8-A29A-4226-B205-65396071FD6A}"/>
    <cellStyle name="Notiz 91 2 2" xfId="41105" xr:uid="{F75D7DFA-1D19-4E53-85E0-77A077A63DF0}"/>
    <cellStyle name="Notiz 91 2 3" xfId="41964" xr:uid="{E64406B1-5994-4D16-A11F-6566D25261D3}"/>
    <cellStyle name="Notiz 91 3" xfId="40663" xr:uid="{F12E98C7-F48C-4EC2-9802-28CFEB084CB8}"/>
    <cellStyle name="Notiz 91 4" xfId="41523" xr:uid="{267F6BC4-1DEE-4B1A-A84E-3D45AD3D1FBD}"/>
    <cellStyle name="Notiz 92" xfId="39647" xr:uid="{3779BD8D-AFE7-4F8A-84C1-948CDD27CBFF}"/>
    <cellStyle name="Notiz 92 2" xfId="40199" xr:uid="{4BFBDDAA-8BCC-4174-8B6E-B127F8700A95}"/>
    <cellStyle name="Notiz 92 2 2" xfId="41106" xr:uid="{8023AE5D-523D-400E-86A7-84A88EB8630A}"/>
    <cellStyle name="Notiz 92 2 3" xfId="41965" xr:uid="{B56994DB-B83D-4D6D-ABD5-1B720EE5AC39}"/>
    <cellStyle name="Notiz 92 3" xfId="40664" xr:uid="{20CE259E-89FD-4362-A62E-1738C0F266F5}"/>
    <cellStyle name="Notiz 92 4" xfId="41524" xr:uid="{2F3FFD52-E25F-4E02-AAF9-9C36C684A941}"/>
    <cellStyle name="Notiz 93" xfId="39648" xr:uid="{83A705C8-C18B-4769-BF2C-D9C875AD534B}"/>
    <cellStyle name="Notiz 93 2" xfId="40200" xr:uid="{08C7995B-CCA5-4A87-9B60-1068F4CFA7C8}"/>
    <cellStyle name="Notiz 93 2 2" xfId="41107" xr:uid="{7B7FD680-23A5-4BC7-8793-D76ED8BB8FC9}"/>
    <cellStyle name="Notiz 93 2 3" xfId="41966" xr:uid="{E8DA3800-D173-4EB5-97FE-3EEE0F2D23F0}"/>
    <cellStyle name="Notiz 93 3" xfId="40665" xr:uid="{404E71C1-9F7A-4C04-A2BD-746D273FB3E5}"/>
    <cellStyle name="Notiz 93 4" xfId="41525" xr:uid="{2AAAB1AC-9231-461D-AB58-30D575A04D5C}"/>
    <cellStyle name="Notiz 94" xfId="39649" xr:uid="{526802BE-70E9-4A20-9293-B36C2E242930}"/>
    <cellStyle name="Notiz 94 2" xfId="40201" xr:uid="{5AF78069-7C4B-4610-B256-2082C6F9FEC1}"/>
    <cellStyle name="Notiz 94 2 2" xfId="41108" xr:uid="{33B8A118-525A-4A94-878A-8253713CE0D6}"/>
    <cellStyle name="Notiz 94 2 3" xfId="41967" xr:uid="{C764E477-E209-4161-8F8B-6D929D628ACE}"/>
    <cellStyle name="Notiz 94 3" xfId="40666" xr:uid="{D3229690-415C-4B5A-9CF2-9579E9F747F4}"/>
    <cellStyle name="Notiz 94 4" xfId="41526" xr:uid="{D04DDDA6-D06A-4443-8F80-9B7682097DAA}"/>
    <cellStyle name="Notiz 95" xfId="39650" xr:uid="{1AE5FC90-CA2A-4020-A99E-FD063E3081F0}"/>
    <cellStyle name="Notiz 95 2" xfId="40202" xr:uid="{A533C5E6-0945-4917-9BD2-0CD48E5E13AA}"/>
    <cellStyle name="Notiz 95 2 2" xfId="41109" xr:uid="{9793F4A0-C6BA-49F5-BB11-6F3CFBCC345E}"/>
    <cellStyle name="Notiz 95 2 3" xfId="41968" xr:uid="{9BA8B751-59FE-47F3-9C00-B131A1DF9ACE}"/>
    <cellStyle name="Notiz 95 3" xfId="40667" xr:uid="{6E7B57B6-14CF-4439-B614-1D5353FBB980}"/>
    <cellStyle name="Notiz 95 4" xfId="41527" xr:uid="{43776032-4D47-4AD7-BA12-D7F11D8AA3CB}"/>
    <cellStyle name="Notiz 96" xfId="39651" xr:uid="{554D70D4-8DB1-44D4-BFF9-2F290FA508E6}"/>
    <cellStyle name="Notiz 96 2" xfId="40203" xr:uid="{C04102D0-2003-4049-AC7D-6E2B36686DAC}"/>
    <cellStyle name="Notiz 96 2 2" xfId="41110" xr:uid="{C4BAF95D-06BA-4940-991E-A045091921F5}"/>
    <cellStyle name="Notiz 96 2 3" xfId="41969" xr:uid="{3959F442-A969-4189-9A2B-353D897CE149}"/>
    <cellStyle name="Notiz 96 3" xfId="40668" xr:uid="{11714981-8774-42CE-9835-9BD5F12F137E}"/>
    <cellStyle name="Notiz 96 4" xfId="41528" xr:uid="{0DEB0254-795F-4E56-9848-28BCD0C064CE}"/>
    <cellStyle name="Notiz 97" xfId="39652" xr:uid="{AF6CAB62-D28A-43B5-9104-20FD6A6170CB}"/>
    <cellStyle name="Notiz 97 2" xfId="40204" xr:uid="{BEF4FCA2-D3D1-47F8-B2E6-9650631F3530}"/>
    <cellStyle name="Notiz 97 2 2" xfId="41111" xr:uid="{6CEC0305-8359-43E0-A80E-25150C7A0078}"/>
    <cellStyle name="Notiz 97 2 3" xfId="41970" xr:uid="{AF62665A-EE1D-4118-B26E-644BE925D873}"/>
    <cellStyle name="Notiz 97 3" xfId="40669" xr:uid="{3C7B5CF7-27AC-4BE5-8AC7-985639B41679}"/>
    <cellStyle name="Notiz 97 4" xfId="41529" xr:uid="{F0689247-0479-4351-B727-DF4134AA329A}"/>
    <cellStyle name="Notiz 98" xfId="39653" xr:uid="{F15FBC30-A9EE-4DBF-BDA3-8C5CD5751158}"/>
    <cellStyle name="Notiz 98 2" xfId="40205" xr:uid="{CC93C162-725C-4B4B-992E-3F49E0D66D53}"/>
    <cellStyle name="Notiz 98 2 2" xfId="41112" xr:uid="{C3BF6DAB-A777-4689-B754-3DDA9520730F}"/>
    <cellStyle name="Notiz 98 2 3" xfId="41971" xr:uid="{FBAC6B88-AB83-440F-8666-88B4042B865A}"/>
    <cellStyle name="Notiz 98 3" xfId="40670" xr:uid="{1D35F0B9-39DF-4A30-95CC-641CE0E671AA}"/>
    <cellStyle name="Notiz 98 4" xfId="41530" xr:uid="{E0A863C8-04B7-4D80-871C-382B97650FC3}"/>
    <cellStyle name="Notiz 99" xfId="39654" xr:uid="{24C7263C-4F09-4DC4-844D-D6A3C489D55E}"/>
    <cellStyle name="Notiz 99 2" xfId="40206" xr:uid="{D13817CC-22DF-4CAA-AE08-A8A8822A571C}"/>
    <cellStyle name="Notiz 99 2 2" xfId="41113" xr:uid="{4F37D525-9B51-4D26-9B2E-BA909489B922}"/>
    <cellStyle name="Notiz 99 2 3" xfId="41972" xr:uid="{5191703D-C5B4-4865-8B6B-35148D75F116}"/>
    <cellStyle name="Notiz 99 3" xfId="40671" xr:uid="{AA09F0CD-8968-4B99-B0A0-BA821D13DC0D}"/>
    <cellStyle name="Notiz 99 4" xfId="41531" xr:uid="{E1700E98-0404-44D8-92BD-F12F7BB5C773}"/>
    <cellStyle name="Pourcentage" xfId="4" builtinId="5"/>
    <cellStyle name="Prozent 10" xfId="16932" xr:uid="{81AC1D58-9329-4C67-B198-C29995FE99A9}"/>
    <cellStyle name="Prozent 10 2" xfId="16933" xr:uid="{494D1062-6585-43D5-B7AC-411D3C6D2BFB}"/>
    <cellStyle name="Prozent 10 2 2" xfId="36370" xr:uid="{5C03BDBB-7A62-4928-8AE5-C03DF58C63BA}"/>
    <cellStyle name="Prozent 10 3" xfId="36369" xr:uid="{3A9A52A3-2622-42D8-9E10-BB26A3A25ED3}"/>
    <cellStyle name="Prozent 11" xfId="16934" xr:uid="{B678AFDB-E497-44FA-ADF1-CA5AF199E55F}"/>
    <cellStyle name="Prozent 11 2" xfId="16935" xr:uid="{8B269543-7444-4926-88F8-99566FEC81E6}"/>
    <cellStyle name="Prozent 11 2 2" xfId="36372" xr:uid="{3BDE41EA-C5FC-44BD-B7EA-D5463D1FA3A8}"/>
    <cellStyle name="Prozent 11 3" xfId="36371" xr:uid="{2CBE7A5F-237A-4E14-8D5C-EC7D36DD127A}"/>
    <cellStyle name="Prozent 12" xfId="16936" xr:uid="{DBD3E6CE-AB47-4192-B0F1-629826ADA168}"/>
    <cellStyle name="Prozent 12 2" xfId="16937" xr:uid="{A0A88F89-6DC2-42DD-B069-340A8B6864C5}"/>
    <cellStyle name="Prozent 12 2 2" xfId="36374" xr:uid="{440698CD-39DA-4233-AE6F-AFE9A5A61524}"/>
    <cellStyle name="Prozent 12 3" xfId="36373" xr:uid="{E06B19F5-47BE-481A-8DEB-619E451889C9}"/>
    <cellStyle name="Prozent 13" xfId="16938" xr:uid="{5B04DBBF-7C0A-433F-9128-1E9F0B6DFFFF}"/>
    <cellStyle name="Prozent 13 2" xfId="16939" xr:uid="{A5E40122-5006-4428-B22E-B4661555A81C}"/>
    <cellStyle name="Prozent 13 2 2" xfId="36376" xr:uid="{C592406B-D87F-4C29-B03D-D2398B105551}"/>
    <cellStyle name="Prozent 13 3" xfId="36375" xr:uid="{09B03D6E-DCB4-4D4B-9331-4180FD8257A7}"/>
    <cellStyle name="Prozent 14" xfId="16940" xr:uid="{CFF3FA5E-0755-40C2-A00B-F2935D60C5E4}"/>
    <cellStyle name="Prozent 14 2" xfId="16941" xr:uid="{3897B4A9-E4C5-4149-B446-9A7283A5E71E}"/>
    <cellStyle name="Prozent 14 2 2" xfId="36378" xr:uid="{E9F13C67-450F-4E87-BD76-6B8D275FA0A5}"/>
    <cellStyle name="Prozent 14 3" xfId="36377" xr:uid="{31C196B2-7203-4B3F-9FF6-05C9A75255EA}"/>
    <cellStyle name="Prozent 15" xfId="16942" xr:uid="{3F15EBA2-5B1E-4967-8E7F-5B74DD8B3272}"/>
    <cellStyle name="Prozent 15 2" xfId="36379" xr:uid="{A9D00977-B472-403B-A011-FF29D9FCC656}"/>
    <cellStyle name="Prozent 16" xfId="39272" xr:uid="{61819355-07BF-4B24-A7CF-96A63DF2B6DC}"/>
    <cellStyle name="Prozent 2" xfId="8" xr:uid="{00000000-0005-0000-0000-000007000000}"/>
    <cellStyle name="Prozent 2 10" xfId="16944" xr:uid="{268F6DC6-3EB8-4E13-8806-23217C889F4F}"/>
    <cellStyle name="Prozent 2 10 2" xfId="16945" xr:uid="{5C16EC76-BF04-45E2-8376-4B9853CC65BC}"/>
    <cellStyle name="Prozent 2 10 2 2" xfId="36382" xr:uid="{D5110DFD-9916-4DD2-A712-AF2CDA135D6B}"/>
    <cellStyle name="Prozent 2 10 3" xfId="36381" xr:uid="{A4CABB9A-DCAC-48CC-8FEC-2BCAFCFC79A0}"/>
    <cellStyle name="Prozent 2 11" xfId="16946" xr:uid="{104F8E34-D757-46BE-BE75-77C2B74C2881}"/>
    <cellStyle name="Prozent 2 11 2" xfId="16947" xr:uid="{9F1FA607-E4BE-4181-A5F9-FE74633A657B}"/>
    <cellStyle name="Prozent 2 11 2 2" xfId="36384" xr:uid="{A77A6C5A-24B6-44D4-B9AC-92754B2A2F5D}"/>
    <cellStyle name="Prozent 2 11 3" xfId="36383" xr:uid="{CF2B00EE-A657-4319-93E8-E0F4E915D1D4}"/>
    <cellStyle name="Prozent 2 12" xfId="16948" xr:uid="{5B6CF791-7B29-45C2-86E6-C16254CE5C82}"/>
    <cellStyle name="Prozent 2 12 2" xfId="16949" xr:uid="{3057E31F-0A97-4ECE-9727-CAA75F2B9C31}"/>
    <cellStyle name="Prozent 2 12 2 2" xfId="36386" xr:uid="{FAB66C64-B1D6-4CFA-A2D9-287493D24F11}"/>
    <cellStyle name="Prozent 2 12 3" xfId="36385" xr:uid="{C05C6FFC-0A0D-40D5-9A3C-91E7F46D2D05}"/>
    <cellStyle name="Prozent 2 13" xfId="16950" xr:uid="{1F990EC6-00C0-4221-9B4F-EDA25F6A3C17}"/>
    <cellStyle name="Prozent 2 13 2" xfId="36387" xr:uid="{2348E8EC-5D03-4760-8D72-9745F06667A7}"/>
    <cellStyle name="Prozent 2 14" xfId="36380" xr:uid="{9448973E-928B-473E-B249-31869A97FF79}"/>
    <cellStyle name="Prozent 2 15" xfId="39655" xr:uid="{5D41745E-0DC7-4C01-94EB-A83A36B2D9D9}"/>
    <cellStyle name="Prozent 2 16" xfId="16943" xr:uid="{6877A084-8E9B-41EA-BB0C-4F9A2ECCFCCB}"/>
    <cellStyle name="Prozent 2 2" xfId="16951" xr:uid="{82A8E787-8998-4A26-85D7-D67DFB66B336}"/>
    <cellStyle name="Prozent 2 2 2" xfId="16952" xr:uid="{5B83C75B-8201-4059-B9CE-E2EB9997D8EF}"/>
    <cellStyle name="Prozent 2 2 2 2" xfId="36389" xr:uid="{9329B06B-0B70-4147-8EA0-F359726F81D5}"/>
    <cellStyle name="Prozent 2 2 3" xfId="36388" xr:uid="{5E7979F4-FBE8-43D0-B49D-065CB62163CA}"/>
    <cellStyle name="Prozent 2 3" xfId="16953" xr:uid="{9A72C567-F122-4082-B82E-BE7D795658D0}"/>
    <cellStyle name="Prozent 2 3 2" xfId="16954" xr:uid="{E0674CD8-AE46-467E-AAF1-92CBEA698EFC}"/>
    <cellStyle name="Prozent 2 3 2 2" xfId="36391" xr:uid="{7B640925-802F-46FB-9C0D-8A8E8080F02F}"/>
    <cellStyle name="Prozent 2 3 3" xfId="36390" xr:uid="{727C15B3-4BDC-442C-B1CA-E4BA381B9842}"/>
    <cellStyle name="Prozent 2 4" xfId="16955" xr:uid="{F0192068-6E35-4768-8D9D-974D45282A1D}"/>
    <cellStyle name="Prozent 2 4 2" xfId="16956" xr:uid="{0AEFB3DA-027C-4485-A038-9C1029146933}"/>
    <cellStyle name="Prozent 2 4 2 2" xfId="36393" xr:uid="{77B03FED-1662-4836-B9E5-4AB8364EAA95}"/>
    <cellStyle name="Prozent 2 4 3" xfId="36392" xr:uid="{4AB0820C-50F1-4827-9249-1D3D4E6A78EC}"/>
    <cellStyle name="Prozent 2 5" xfId="16957" xr:uid="{E42BC44D-3060-4823-82F0-1D9833EE6955}"/>
    <cellStyle name="Prozent 2 5 2" xfId="16958" xr:uid="{17EFDB1C-FB95-42B6-99D2-380668A4472C}"/>
    <cellStyle name="Prozent 2 5 2 2" xfId="36395" xr:uid="{56B51976-B957-499F-96ED-FD5F9ACCFDF3}"/>
    <cellStyle name="Prozent 2 5 3" xfId="36394" xr:uid="{43A13359-5838-4F05-B5CB-FD855F9E9600}"/>
    <cellStyle name="Prozent 2 6" xfId="16959" xr:uid="{20EA38AC-57AB-4B0C-966A-AD6FA405D4F2}"/>
    <cellStyle name="Prozent 2 6 2" xfId="16960" xr:uid="{01D93153-24B9-4578-A7AA-E4F81624C455}"/>
    <cellStyle name="Prozent 2 6 2 2" xfId="36397" xr:uid="{9C54FD02-95ED-4B57-A5D1-9FD258F5A7F7}"/>
    <cellStyle name="Prozent 2 6 3" xfId="36396" xr:uid="{27A444C7-1990-4B74-8502-7CA76D287359}"/>
    <cellStyle name="Prozent 2 7" xfId="16961" xr:uid="{B8066D66-BE77-4146-8242-41C6AFA7F6FA}"/>
    <cellStyle name="Prozent 2 7 2" xfId="16962" xr:uid="{FA23F081-BB1A-4767-B628-C64C582C5C77}"/>
    <cellStyle name="Prozent 2 7 2 2" xfId="36399" xr:uid="{ED10DEA6-9B6B-482A-868D-F375C6270E62}"/>
    <cellStyle name="Prozent 2 7 3" xfId="36398" xr:uid="{82B2D624-FC58-4239-9C94-9E1162C99D3A}"/>
    <cellStyle name="Prozent 2 8" xfId="16963" xr:uid="{30BD50F0-7215-4EFA-A6F3-21E9B4257818}"/>
    <cellStyle name="Prozent 2 8 2" xfId="16964" xr:uid="{E35E12FA-ACA1-4AD3-A7CF-BC770F0167F7}"/>
    <cellStyle name="Prozent 2 8 2 2" xfId="36401" xr:uid="{B9FD44F4-CA48-4BBF-A712-9F8C804D6697}"/>
    <cellStyle name="Prozent 2 8 3" xfId="36400" xr:uid="{4E9FC1D8-7600-4004-8A3B-4419DDBCA860}"/>
    <cellStyle name="Prozent 2 9" xfId="16965" xr:uid="{A11BD649-E512-4B7E-A6CB-69ECA6C2B8DC}"/>
    <cellStyle name="Prozent 2 9 2" xfId="16966" xr:uid="{B3BE9EFC-2CF4-4649-B97D-A1C629ACF0E1}"/>
    <cellStyle name="Prozent 2 9 2 2" xfId="36403" xr:uid="{F9B38A38-A9BB-4EF3-96FA-4ABC581F4A40}"/>
    <cellStyle name="Prozent 2 9 3" xfId="36402" xr:uid="{31BEB99B-E871-41E5-BD67-05A92D023515}"/>
    <cellStyle name="Prozent 3" xfId="16967" xr:uid="{761E57FD-267B-4B42-9970-1F3F077EC45F}"/>
    <cellStyle name="Prozent 3 2" xfId="16968" xr:uid="{2258194D-0D45-4CBB-A5C0-68AC3E7690EB}"/>
    <cellStyle name="Prozent 3 2 2" xfId="36405" xr:uid="{E687D9EB-D28B-49FB-8862-E8FED17DD372}"/>
    <cellStyle name="Prozent 3 2 3" xfId="41114" xr:uid="{B77631FA-6EDD-4C1B-8FD5-B56CEFDAD48C}"/>
    <cellStyle name="Prozent 3 3" xfId="36404" xr:uid="{8A988A90-76F6-44AA-815C-BBFD73A2589B}"/>
    <cellStyle name="Prozent 3 4" xfId="40207" xr:uid="{B582836D-4420-4A9C-9B19-238BD860DD89}"/>
    <cellStyle name="Prozent 4" xfId="16969" xr:uid="{99B99996-3C34-4EB8-BC8E-F3253C9F9160}"/>
    <cellStyle name="Prozent 4 2" xfId="16970" xr:uid="{29B90D42-9B43-4B68-8BA4-D9187A6E8778}"/>
    <cellStyle name="Prozent 4 2 2" xfId="36407" xr:uid="{C14664A9-43E9-478D-988F-0470A8A27C2F}"/>
    <cellStyle name="Prozent 4 3" xfId="36406" xr:uid="{7980FD13-A9B9-4F51-9EA2-D29C4578CE73}"/>
    <cellStyle name="Prozent 5" xfId="16971" xr:uid="{B7EA1232-2CFA-46A1-8132-3A2D985D154B}"/>
    <cellStyle name="Prozent 5 2" xfId="36408" xr:uid="{C33FDEB4-827B-4ECE-9726-A0FE88E0217D}"/>
    <cellStyle name="Prozent 6" xfId="16972" xr:uid="{A02361B1-18AD-4CF2-9CFB-D404E0C34F40}"/>
    <cellStyle name="Prozent 6 2" xfId="16973" xr:uid="{2942E0C5-D8A2-4DF2-9A97-02C40EF5BE28}"/>
    <cellStyle name="Prozent 6 2 2" xfId="36410" xr:uid="{491D094E-7A8C-4D31-AF20-45F718B0BC35}"/>
    <cellStyle name="Prozent 6 3" xfId="36409" xr:uid="{4608E827-F5AA-46E1-95E3-A0C6EDE134BB}"/>
    <cellStyle name="Prozent 7" xfId="16974" xr:uid="{6B26796B-E34D-464D-B5F2-176C034AC2F1}"/>
    <cellStyle name="Prozent 7 2" xfId="16975" xr:uid="{D80177A1-CBAF-4860-81A9-24453E7F8535}"/>
    <cellStyle name="Prozent 7 2 2" xfId="36412" xr:uid="{D1968606-465B-4840-A05F-E9156892986E}"/>
    <cellStyle name="Prozent 7 3" xfId="36411" xr:uid="{4F745A48-35D4-437D-8C70-413DBD77215D}"/>
    <cellStyle name="Prozent 8" xfId="16976" xr:uid="{46DB2D2E-AAC6-4D48-8D56-5A71A67A876C}"/>
    <cellStyle name="Prozent 8 2" xfId="16977" xr:uid="{0E10216E-27F0-4D35-B89B-3ABA7044A8B3}"/>
    <cellStyle name="Prozent 8 2 2" xfId="36414" xr:uid="{17F5E20B-D16C-4C88-A967-2066B499B58D}"/>
    <cellStyle name="Prozent 8 3" xfId="36413" xr:uid="{413A2927-7491-416D-8F68-C2D412C5254D}"/>
    <cellStyle name="Prozent 9" xfId="16978" xr:uid="{22533899-EADA-444E-BCD6-A44A9D77F2DE}"/>
    <cellStyle name="Prozent 9 2" xfId="16979" xr:uid="{DA2B6924-000A-44DC-89FC-B684B9A5F01A}"/>
    <cellStyle name="Prozent 9 2 2" xfId="36416" xr:uid="{FBB8214C-E41A-49C0-AA50-AA6DFE6F9C6F}"/>
    <cellStyle name="Prozent 9 3" xfId="36415" xr:uid="{EC4D23FA-DF4F-4E8C-A52D-D33919FF4426}"/>
    <cellStyle name="SAPBEXaggData" xfId="140" xr:uid="{90D75245-0835-45FA-ACBD-49A8E1CA0101}"/>
    <cellStyle name="SAPBEXaggDataEmph" xfId="141" xr:uid="{0E4AA928-0D06-4345-BD19-E2D4E82CB6BC}"/>
    <cellStyle name="SAPBEXaggItem" xfId="142" xr:uid="{55997504-7383-4F67-BF3A-EDAF348FFFD6}"/>
    <cellStyle name="SAPBEXaggItemX" xfId="143" xr:uid="{2754C665-1575-4E8B-97E3-57DA5A064800}"/>
    <cellStyle name="SAPBEXchaText" xfId="144" xr:uid="{CD925ED1-C170-4C8C-A0C6-4370FCB40265}"/>
    <cellStyle name="SAPBEXexcBad7" xfId="145" xr:uid="{CA3429A0-C0CB-41F2-8F6C-5BAD6CA94009}"/>
    <cellStyle name="SAPBEXexcBad8" xfId="146" xr:uid="{5AF29F2F-BF3B-43A4-8ECF-9F0607D9A41F}"/>
    <cellStyle name="SAPBEXexcBad9" xfId="147" xr:uid="{BE4F1C28-AFD0-4197-85BF-0DE8D91B0A4C}"/>
    <cellStyle name="SAPBEXexcCritical4" xfId="148" xr:uid="{69737998-0D07-4D2B-8D45-AFE06401F62D}"/>
    <cellStyle name="SAPBEXexcCritical5" xfId="149" xr:uid="{286943C2-68A6-4067-B38C-E5811DE2D32B}"/>
    <cellStyle name="SAPBEXexcCritical6" xfId="150" xr:uid="{D00AF856-9EF7-474F-A0A1-A470494A4399}"/>
    <cellStyle name="SAPBEXexcGood1" xfId="151" xr:uid="{228FAF45-2875-4D85-B6E1-719FBDBEDB7C}"/>
    <cellStyle name="SAPBEXexcGood2" xfId="152" xr:uid="{F5DEB375-0A65-45FE-B476-C3F8FB6DBE1A}"/>
    <cellStyle name="SAPBEXexcGood3" xfId="153" xr:uid="{A981A84B-9482-4948-A006-590BA8B12C4A}"/>
    <cellStyle name="SAPBEXfilterDrill" xfId="154" xr:uid="{A4438AF3-C86C-4E0C-97F4-C70412BB67B9}"/>
    <cellStyle name="SAPBEXfilterItem" xfId="155" xr:uid="{210F6832-FAD3-4696-942D-5BA4EA719292}"/>
    <cellStyle name="SAPBEXfilterText" xfId="156" xr:uid="{08123201-11D0-4C22-A95C-FE2CE0182E37}"/>
    <cellStyle name="SAPBEXformats" xfId="157" xr:uid="{A022FC83-DEF8-4A60-BFC5-D8098AB04188}"/>
    <cellStyle name="SAPBEXheaderItem" xfId="158" xr:uid="{65D0E7E8-B7C7-460E-A01E-168DB4D91FF1}"/>
    <cellStyle name="SAPBEXheaderItem 2" xfId="42186" xr:uid="{2FF51E29-26E7-42E9-B479-DF1360A3FD41}"/>
    <cellStyle name="SAPBEXheaderItem 3" xfId="40419" xr:uid="{474EF599-FAC1-4D49-BE65-E6A1D4911D88}"/>
    <cellStyle name="SAPBEXheaderText" xfId="159" xr:uid="{FB2BD665-6BED-4E54-9421-432B9E31B6F0}"/>
    <cellStyle name="SAPBEXheaderText 2" xfId="42152" xr:uid="{9A7BD827-299C-4D8A-9269-AFECBAF3FEE7}"/>
    <cellStyle name="SAPBEXheaderText 3" xfId="40420" xr:uid="{F6D9EFB3-41E4-4557-9753-B6CA9804DB8D}"/>
    <cellStyle name="SAPBEXHLevel0" xfId="160" xr:uid="{F5C5B39A-120F-4410-9ABC-B4D0D3865F8F}"/>
    <cellStyle name="SAPBEXHLevel0 2" xfId="42185" xr:uid="{FECEDA46-9343-4BD4-B717-150B4F549DEA}"/>
    <cellStyle name="SAPBEXHLevel0 3" xfId="40421" xr:uid="{AB8BEC7E-E3A5-44F3-BD6B-8AE89B06591C}"/>
    <cellStyle name="SAPBEXHLevel0X" xfId="161" xr:uid="{D9B5CDC1-2DFB-4C57-B34A-2D1A60CDD34B}"/>
    <cellStyle name="SAPBEXHLevel0X 2" xfId="42151" xr:uid="{98C8E511-6745-4673-B893-BE3D365DABF1}"/>
    <cellStyle name="SAPBEXHLevel0X 3" xfId="40422" xr:uid="{3C239F0E-4722-4BAC-BD69-FCF224D53A94}"/>
    <cellStyle name="SAPBEXHLevel1" xfId="162" xr:uid="{5348EFE1-E298-4C4A-9A60-A7376CD05CDB}"/>
    <cellStyle name="SAPBEXHLevel1 2" xfId="42184" xr:uid="{2339A7F0-77CD-42D8-8E23-F27363A41ED9}"/>
    <cellStyle name="SAPBEXHLevel1 3" xfId="40423" xr:uid="{C0F004C9-252B-40A2-BFD2-B31AD8DF02F0}"/>
    <cellStyle name="SAPBEXHLevel1X" xfId="163" xr:uid="{61AE7B00-6899-44DD-86F9-C502296451F3}"/>
    <cellStyle name="SAPBEXHLevel1X 2" xfId="42150" xr:uid="{8727AAD2-7496-4421-9FE3-5CA87F2E1F63}"/>
    <cellStyle name="SAPBEXHLevel1X 3" xfId="40424" xr:uid="{B7224D92-3F34-412C-87C8-F3CEBBA2338E}"/>
    <cellStyle name="SAPBEXHLevel2" xfId="164" xr:uid="{2F4F7BAE-A118-41F5-AC59-849ED436A760}"/>
    <cellStyle name="SAPBEXHLevel2 2" xfId="42183" xr:uid="{9F440650-21D2-473D-9CB7-270D275EC2EB}"/>
    <cellStyle name="SAPBEXHLevel2 3" xfId="40425" xr:uid="{B5A989E4-EC91-4BFB-90B8-FA6417A9A58D}"/>
    <cellStyle name="SAPBEXHLevel2X" xfId="165" xr:uid="{B55BBC0C-43C5-45D1-9495-AC2CE31FE8C1}"/>
    <cellStyle name="SAPBEXHLevel2X 2" xfId="42149" xr:uid="{776C2947-0B10-45D3-852C-3389372BF26E}"/>
    <cellStyle name="SAPBEXHLevel2X 3" xfId="40426" xr:uid="{B8B16201-7694-4627-A529-BB351FEEDD0D}"/>
    <cellStyle name="SAPBEXHLevel3" xfId="166" xr:uid="{6250A89D-CA34-43C7-B1D6-456B1CAF7875}"/>
    <cellStyle name="SAPBEXHLevel3 2" xfId="42182" xr:uid="{27D0EC69-7611-4070-B858-38A7308579B6}"/>
    <cellStyle name="SAPBEXHLevel3 3" xfId="40427" xr:uid="{0C16CF0D-DA1B-46EB-9277-15D4B538FADD}"/>
    <cellStyle name="SAPBEXHLevel3X" xfId="167" xr:uid="{9BA4F262-5CA0-4D2A-BBDD-AD2BD279F26E}"/>
    <cellStyle name="SAPBEXHLevel3X 2" xfId="42148" xr:uid="{FCDE1FF9-1D04-4771-99E6-67973CC369B3}"/>
    <cellStyle name="SAPBEXHLevel3X 3" xfId="40428" xr:uid="{3D7DDC50-28B6-478C-B79C-0539D0FA0864}"/>
    <cellStyle name="SAPBEXinputData" xfId="168" xr:uid="{5FFDC3BD-0C60-44F4-9EC9-1DFC4C05F629}"/>
    <cellStyle name="SAPBEXinputData 2" xfId="42181" xr:uid="{4C3C3825-BD8A-48E2-BFA4-6BE22F9DBFD8}"/>
    <cellStyle name="SAPBEXinputData 3" xfId="40429" xr:uid="{7DD9C064-6703-451E-8563-D7E27230B7CA}"/>
    <cellStyle name="SAPBEXresData" xfId="169" xr:uid="{1AC23BDA-4867-4655-B0F5-4AE37E8304DC}"/>
    <cellStyle name="SAPBEXresDataEmph" xfId="170" xr:uid="{0E628DD8-EC4F-4296-B3A7-2BACC146D525}"/>
    <cellStyle name="SAPBEXresItem" xfId="171" xr:uid="{7BBCFE75-6070-4782-AF23-963F131537AC}"/>
    <cellStyle name="SAPBEXresItemX" xfId="172" xr:uid="{22CF6B93-32FF-4CD7-A055-F44DDDA9B6F5}"/>
    <cellStyle name="SAPBEXstdData" xfId="173" xr:uid="{1A3DC167-7B04-4F99-8AC4-13E6F6CE4945}"/>
    <cellStyle name="SAPBEXstdDataEmph" xfId="174" xr:uid="{D56D9DD6-551D-4C76-AA03-72AA6E2BDB13}"/>
    <cellStyle name="SAPBEXstdItem" xfId="175" xr:uid="{F6AA9D63-CBB0-4098-8B40-3FF2BB8D4D74}"/>
    <cellStyle name="SAPBEXstdItemX" xfId="176" xr:uid="{55DFAEFD-2515-4A32-9E40-F5AF3B6CDD25}"/>
    <cellStyle name="SAPBEXtitle" xfId="177" xr:uid="{F296A3B3-E897-4305-A8CC-D1BEA7089DBF}"/>
    <cellStyle name="SAPBEXundefined" xfId="178" xr:uid="{0BE23E42-0E70-4CB0-9071-733117C0DF8C}"/>
    <cellStyle name="SAPMemberCell" xfId="42199" xr:uid="{3EED7F64-7A76-4D40-AAD5-16B934D030FE}"/>
    <cellStyle name="Schlecht 10" xfId="16981" xr:uid="{B97ACDF7-C5B6-4C9C-AF67-3082890C70E8}"/>
    <cellStyle name="Schlecht 10 2" xfId="16982" xr:uid="{46ED2A56-4201-4371-BAFE-FD25202CFACD}"/>
    <cellStyle name="Schlecht 10 2 2" xfId="36419" xr:uid="{DC209CFF-1B98-4F82-894B-A3F8512C8BA4}"/>
    <cellStyle name="Schlecht 10 3" xfId="36418" xr:uid="{A9ABBD95-B46D-46E2-AA73-11A7D62D76CB}"/>
    <cellStyle name="Schlecht 11" xfId="16983" xr:uid="{EF344C84-AE08-44CA-BA85-A6B7D691FC8F}"/>
    <cellStyle name="Schlecht 11 2" xfId="16984" xr:uid="{D09EAEF7-2F89-47F5-9C7B-F9E7AB72EA67}"/>
    <cellStyle name="Schlecht 11 2 2" xfId="36421" xr:uid="{BF405F5C-87C2-454F-B021-D61248067E1F}"/>
    <cellStyle name="Schlecht 11 3" xfId="36420" xr:uid="{6777258C-4AE3-4F2D-8307-3FDE221F8506}"/>
    <cellStyle name="Schlecht 12" xfId="16985" xr:uid="{F59D82DC-9629-43D2-9E2F-44F409209C89}"/>
    <cellStyle name="Schlecht 12 2" xfId="16986" xr:uid="{3B495408-0712-4F5F-8B1B-BA49DEA98F92}"/>
    <cellStyle name="Schlecht 12 2 2" xfId="36423" xr:uid="{B362A9A0-F2CD-4396-ABC2-3699731FE810}"/>
    <cellStyle name="Schlecht 12 3" xfId="36422" xr:uid="{5F10CFC3-3B97-4F1E-9F35-DE67D5E254F2}"/>
    <cellStyle name="Schlecht 13" xfId="16987" xr:uid="{24B1FB72-AFB2-4CCF-8FE4-380A35FBD68A}"/>
    <cellStyle name="Schlecht 13 2" xfId="16988" xr:uid="{FBB07FF2-A3EF-49A0-9D4E-803D1FA32084}"/>
    <cellStyle name="Schlecht 13 2 2" xfId="36425" xr:uid="{00C98714-4482-4985-947D-AB89CE72538E}"/>
    <cellStyle name="Schlecht 13 3" xfId="36424" xr:uid="{6ABFC1F8-C4B0-4188-AC2D-3DE1D653D13B}"/>
    <cellStyle name="Schlecht 14" xfId="16989" xr:uid="{A0781CA9-5645-4302-A6BA-D5509CC5A7A9}"/>
    <cellStyle name="Schlecht 14 2" xfId="16990" xr:uid="{8764B102-35F1-4774-8A48-92CB0D294D4B}"/>
    <cellStyle name="Schlecht 14 2 2" xfId="36427" xr:uid="{5D412362-C936-4EF8-826B-8A165026DC20}"/>
    <cellStyle name="Schlecht 14 3" xfId="36426" xr:uid="{EC88A6C8-AF84-411B-B868-9923E9F02C7E}"/>
    <cellStyle name="Schlecht 15" xfId="16991" xr:uid="{215FA288-E98C-429D-84A7-12775C8FFFEA}"/>
    <cellStyle name="Schlecht 15 2" xfId="16992" xr:uid="{54F5179E-4DEF-4057-AF36-CB4107B43F3D}"/>
    <cellStyle name="Schlecht 15 2 2" xfId="36429" xr:uid="{74EC912A-F05F-4813-A084-909D6904E19D}"/>
    <cellStyle name="Schlecht 15 3" xfId="36428" xr:uid="{2B3004ED-5AA8-4462-8425-BE544ED1B3D3}"/>
    <cellStyle name="Schlecht 16" xfId="16993" xr:uid="{D9E9E0D8-8FAD-48FD-A6AB-76C4BBF0DE29}"/>
    <cellStyle name="Schlecht 16 2" xfId="16994" xr:uid="{5AC3775A-0988-4978-98D9-5494BAB18913}"/>
    <cellStyle name="Schlecht 16 2 2" xfId="36431" xr:uid="{87AAD435-23A5-44BC-B618-5D715D962006}"/>
    <cellStyle name="Schlecht 16 3" xfId="36430" xr:uid="{2AA99DC4-E2BB-43C9-A501-0F54FEB265DF}"/>
    <cellStyle name="Schlecht 17" xfId="16995" xr:uid="{C119A1C4-9880-4BAB-9706-7448D6D6D99A}"/>
    <cellStyle name="Schlecht 17 2" xfId="16996" xr:uid="{D8BF3F4F-3F4F-4A3D-A0B1-D57EA15DF52D}"/>
    <cellStyle name="Schlecht 17 2 2" xfId="36433" xr:uid="{1609AEAF-A509-4619-B039-8C0F7158EB9F}"/>
    <cellStyle name="Schlecht 17 3" xfId="36432" xr:uid="{AF94A9C2-3295-42BC-BD32-E2DE72D585F4}"/>
    <cellStyle name="Schlecht 18" xfId="16997" xr:uid="{CDE18D56-DADF-44F3-A873-71E42E1E905C}"/>
    <cellStyle name="Schlecht 18 2" xfId="16998" xr:uid="{C1CA8F6D-E3BD-4CEA-A0CE-A970E364F9BA}"/>
    <cellStyle name="Schlecht 18 2 2" xfId="36435" xr:uid="{0BF9BA01-66CA-43E3-9CEE-A10411CB25C2}"/>
    <cellStyle name="Schlecht 18 3" xfId="36434" xr:uid="{6899C7C3-340B-4DE5-93B4-CA96BF73EFD2}"/>
    <cellStyle name="Schlecht 19" xfId="16999" xr:uid="{97AD4CAA-4984-48E5-B35C-E82CF2FA1F02}"/>
    <cellStyle name="Schlecht 19 2" xfId="17000" xr:uid="{CC7B3357-EE8E-42E0-96AC-48D2E0FBC909}"/>
    <cellStyle name="Schlecht 19 2 2" xfId="36437" xr:uid="{364F41F5-B6B1-4C91-95E4-639E5E2E82A2}"/>
    <cellStyle name="Schlecht 19 3" xfId="36436" xr:uid="{F91C654F-81B0-409D-BC1C-7E33211E5C54}"/>
    <cellStyle name="Schlecht 2" xfId="17001" xr:uid="{52731032-0BD3-45AC-B643-F53F89E7333A}"/>
    <cellStyle name="Schlecht 2 10" xfId="17002" xr:uid="{13908825-AA51-4ADC-80AA-607C8499ED7E}"/>
    <cellStyle name="Schlecht 2 10 2" xfId="36439" xr:uid="{32CA7B06-9910-4FEF-B893-7F1C24D6C066}"/>
    <cellStyle name="Schlecht 2 11" xfId="17003" xr:uid="{4C806C70-BC88-488C-B14D-BBE03ECA1C97}"/>
    <cellStyle name="Schlecht 2 11 2" xfId="36440" xr:uid="{782001F1-764B-4D90-A26C-B2AFFA3A5316}"/>
    <cellStyle name="Schlecht 2 12" xfId="17004" xr:uid="{9588B71E-C90E-4884-8976-9E49DFA39632}"/>
    <cellStyle name="Schlecht 2 12 2" xfId="36441" xr:uid="{6D6DA45B-DAB2-4AF5-A282-4714AD13A522}"/>
    <cellStyle name="Schlecht 2 13" xfId="17005" xr:uid="{16A2D0FF-3BBD-42A1-9575-EF769A038D8E}"/>
    <cellStyle name="Schlecht 2 13 2" xfId="36442" xr:uid="{0741989D-6D6E-422D-B1C7-31E49ACC564F}"/>
    <cellStyle name="Schlecht 2 14" xfId="17006" xr:uid="{6856BFEE-1756-425F-97B7-6D2114ACBA06}"/>
    <cellStyle name="Schlecht 2 14 2" xfId="36443" xr:uid="{174C23F4-A2F7-43C4-9885-B043FD18B9C1}"/>
    <cellStyle name="Schlecht 2 15" xfId="36438" xr:uid="{CCDFDC15-2EC5-4D04-9643-53B04C4AA351}"/>
    <cellStyle name="Schlecht 2 16" xfId="39657" xr:uid="{27641FA8-C01D-4900-99B8-6F9D3CA4C8CC}"/>
    <cellStyle name="Schlecht 2 2" xfId="17007" xr:uid="{0582E276-0CB4-413C-A5F4-EFFDFD04E208}"/>
    <cellStyle name="Schlecht 2 2 10" xfId="17008" xr:uid="{7CC51ED7-E585-46BE-AD1F-5FD4F3516AAB}"/>
    <cellStyle name="Schlecht 2 2 10 2" xfId="36445" xr:uid="{FE87F233-B2C0-4FE7-A21D-2654A8836A7D}"/>
    <cellStyle name="Schlecht 2 2 11" xfId="17009" xr:uid="{F5411556-01BA-4DA8-AB2E-01A570DE603D}"/>
    <cellStyle name="Schlecht 2 2 11 2" xfId="36446" xr:uid="{3C522FC3-1470-4A6F-968D-7702DABE1941}"/>
    <cellStyle name="Schlecht 2 2 12" xfId="17010" xr:uid="{F4FB358E-448D-4498-9D81-0F4731340D9C}"/>
    <cellStyle name="Schlecht 2 2 12 2" xfId="36447" xr:uid="{2DF4475C-3AB8-4C69-99CC-3628CBD1BED1}"/>
    <cellStyle name="Schlecht 2 2 13" xfId="36444" xr:uid="{6DDD064A-B943-4318-99A9-B554DED3A9A2}"/>
    <cellStyle name="Schlecht 2 2 14" xfId="39658" xr:uid="{293A73A2-5D4A-4E99-B25B-629ED8D3B7FE}"/>
    <cellStyle name="Schlecht 2 2 2" xfId="17011" xr:uid="{FB472E54-DD43-40AA-BF9C-FD67780C617C}"/>
    <cellStyle name="Schlecht 2 2 2 10" xfId="17012" xr:uid="{B4F7EE16-D08D-4936-AE98-3778B940CC3B}"/>
    <cellStyle name="Schlecht 2 2 2 10 2" xfId="36449" xr:uid="{F9E7533E-2FE8-4B97-9FAA-93F64D07FFD3}"/>
    <cellStyle name="Schlecht 2 2 2 11" xfId="36448" xr:uid="{A6C52217-EA03-4511-BCF7-1723AB61E4DA}"/>
    <cellStyle name="Schlecht 2 2 2 2" xfId="17013" xr:uid="{9141984B-B694-485B-9B8A-536F05156BCC}"/>
    <cellStyle name="Schlecht 2 2 2 2 2" xfId="17014" xr:uid="{62738089-8188-46E1-B225-C82BD665100D}"/>
    <cellStyle name="Schlecht 2 2 2 2 2 2" xfId="17015" xr:uid="{E39856C7-40F3-496A-A522-45562A796F06}"/>
    <cellStyle name="Schlecht 2 2 2 2 2 2 2" xfId="17016" xr:uid="{A16F46BE-3B62-49BC-A1E0-2C9FEA749673}"/>
    <cellStyle name="Schlecht 2 2 2 2 2 2 2 2" xfId="36453" xr:uid="{BC6EABDD-F5BA-40A1-B971-7AF22F23D6B7}"/>
    <cellStyle name="Schlecht 2 2 2 2 2 2 3" xfId="36452" xr:uid="{4F5648C4-A20C-4D9A-BDF7-6E05744C98C6}"/>
    <cellStyle name="Schlecht 2 2 2 2 2 3" xfId="17017" xr:uid="{819BD5D3-FAA2-4B45-8A45-142D8679AF90}"/>
    <cellStyle name="Schlecht 2 2 2 2 2 3 2" xfId="36454" xr:uid="{02CE6CAE-092D-4EB8-AA72-18DC0D3BD418}"/>
    <cellStyle name="Schlecht 2 2 2 2 2 4" xfId="17018" xr:uid="{21ED1F6D-EA68-4304-A2E2-0BD8369E5CDA}"/>
    <cellStyle name="Schlecht 2 2 2 2 2 4 2" xfId="36455" xr:uid="{4409CC3C-93A3-42DA-9CE1-2439F4EF32AE}"/>
    <cellStyle name="Schlecht 2 2 2 2 2 5" xfId="17019" xr:uid="{C9E58C55-DCAE-4696-BCB0-4091DEE4F74B}"/>
    <cellStyle name="Schlecht 2 2 2 2 2 5 2" xfId="36456" xr:uid="{A37D06A9-A674-47EE-8197-4CE1BE58BFE7}"/>
    <cellStyle name="Schlecht 2 2 2 2 2 6" xfId="17020" xr:uid="{E1F26A92-FAF2-4ED5-AC74-8CD9409EECF1}"/>
    <cellStyle name="Schlecht 2 2 2 2 2 6 2" xfId="36457" xr:uid="{E16F9A53-A06A-4EA2-9875-9977AB0DEB52}"/>
    <cellStyle name="Schlecht 2 2 2 2 2 7" xfId="17021" xr:uid="{0BE8C04A-9C5C-4D24-AD09-A9E3721C6605}"/>
    <cellStyle name="Schlecht 2 2 2 2 2 7 2" xfId="36458" xr:uid="{19D4FA4B-AE67-4D3A-825C-2199A906FBE8}"/>
    <cellStyle name="Schlecht 2 2 2 2 2 8" xfId="17022" xr:uid="{09BD9D19-00F3-443A-AD66-FAE9B5566D4B}"/>
    <cellStyle name="Schlecht 2 2 2 2 2 8 2" xfId="36459" xr:uid="{8B77C104-7CE7-4DCF-AFD2-70EF3E186F87}"/>
    <cellStyle name="Schlecht 2 2 2 2 2 9" xfId="36451" xr:uid="{15C3CC38-FB94-436E-B5BA-A983D589E03F}"/>
    <cellStyle name="Schlecht 2 2 2 2 3" xfId="17023" xr:uid="{74405100-DD24-4584-96CF-E5131B59163E}"/>
    <cellStyle name="Schlecht 2 2 2 2 3 2" xfId="17024" xr:uid="{D75B6C42-A6A9-4EB1-919F-EA03C45FAAF5}"/>
    <cellStyle name="Schlecht 2 2 2 2 3 2 2" xfId="36461" xr:uid="{DBFFCD11-93F6-4E8A-B0FC-367E063E718B}"/>
    <cellStyle name="Schlecht 2 2 2 2 3 3" xfId="36460" xr:uid="{0815CBB1-AF90-4F32-8C3D-23BA7D79E0DA}"/>
    <cellStyle name="Schlecht 2 2 2 2 4" xfId="17025" xr:uid="{FCAFE4EB-572E-4157-B15A-260F0BEB1262}"/>
    <cellStyle name="Schlecht 2 2 2 2 4 2" xfId="36462" xr:uid="{23F92FD1-C19D-4B4E-8ABF-E3FCCA427134}"/>
    <cellStyle name="Schlecht 2 2 2 2 5" xfId="17026" xr:uid="{2DA35C09-1147-473C-A41E-D25A340B922B}"/>
    <cellStyle name="Schlecht 2 2 2 2 5 2" xfId="36463" xr:uid="{B45BB545-30FF-4927-99FF-C25C8233E238}"/>
    <cellStyle name="Schlecht 2 2 2 2 6" xfId="17027" xr:uid="{B6CD9B91-D276-4AB4-A94C-8695B2609807}"/>
    <cellStyle name="Schlecht 2 2 2 2 6 2" xfId="36464" xr:uid="{D492C779-65ED-4BBF-B6B2-73D1D09AE522}"/>
    <cellStyle name="Schlecht 2 2 2 2 7" xfId="17028" xr:uid="{B656DF65-AA53-4EDF-9723-3422221979F9}"/>
    <cellStyle name="Schlecht 2 2 2 2 7 2" xfId="36465" xr:uid="{683E3671-7346-4B4A-B337-48400FC338FD}"/>
    <cellStyle name="Schlecht 2 2 2 2 8" xfId="17029" xr:uid="{16CB385D-2AAB-4DE0-B9EE-BB599AC24643}"/>
    <cellStyle name="Schlecht 2 2 2 2 8 2" xfId="36466" xr:uid="{0E2A10AF-2688-44C1-8501-EB503ADA8B2D}"/>
    <cellStyle name="Schlecht 2 2 2 2 9" xfId="36450" xr:uid="{7F5FB0B3-9DF9-4F00-8782-8E51EE41AEBD}"/>
    <cellStyle name="Schlecht 2 2 2 3" xfId="17030" xr:uid="{82A17263-7009-42BC-9A9B-C30441128536}"/>
    <cellStyle name="Schlecht 2 2 2 3 2" xfId="36467" xr:uid="{3D074AD2-F55A-4592-9A5E-E0DD571E38BD}"/>
    <cellStyle name="Schlecht 2 2 2 4" xfId="17031" xr:uid="{C0BB8210-A1B3-4F38-8E2E-445CA3E3305A}"/>
    <cellStyle name="Schlecht 2 2 2 4 2" xfId="36468" xr:uid="{26AFBB95-B7F3-47EB-A23C-62580B8E79E0}"/>
    <cellStyle name="Schlecht 2 2 2 5" xfId="17032" xr:uid="{82DC35A4-61BA-48C7-978D-7E169A7C1A48}"/>
    <cellStyle name="Schlecht 2 2 2 5 2" xfId="17033" xr:uid="{CF7C4CF9-D2FF-4662-BE31-6969D707F8E6}"/>
    <cellStyle name="Schlecht 2 2 2 5 2 2" xfId="36470" xr:uid="{8515455C-B364-4BCF-A4A2-F5351C6BE24D}"/>
    <cellStyle name="Schlecht 2 2 2 5 3" xfId="36469" xr:uid="{9351BBCF-0BEE-44A5-BF60-6E6EFC95B3B2}"/>
    <cellStyle name="Schlecht 2 2 2 6" xfId="17034" xr:uid="{D477EF5F-5357-41FD-99E0-BD169BD78574}"/>
    <cellStyle name="Schlecht 2 2 2 6 2" xfId="36471" xr:uid="{20CD976F-573C-48EF-B167-B2470A0A144A}"/>
    <cellStyle name="Schlecht 2 2 2 7" xfId="17035" xr:uid="{6AD74A99-3E26-4970-BC8F-5C8C91896F29}"/>
    <cellStyle name="Schlecht 2 2 2 7 2" xfId="36472" xr:uid="{E642B21F-BC83-48FE-AEC4-AC9CE6A221F0}"/>
    <cellStyle name="Schlecht 2 2 2 8" xfId="17036" xr:uid="{7EA2CDF7-32A9-4140-8EA0-0063DB4B4D88}"/>
    <cellStyle name="Schlecht 2 2 2 8 2" xfId="36473" xr:uid="{3F67D0B6-60F6-4A70-BCC7-8F0445760637}"/>
    <cellStyle name="Schlecht 2 2 2 9" xfId="17037" xr:uid="{9035C0AD-7E61-4A52-97F4-88A247012BCE}"/>
    <cellStyle name="Schlecht 2 2 2 9 2" xfId="36474" xr:uid="{D32F8F32-C3E1-4567-9BA5-55F22A6B3CF1}"/>
    <cellStyle name="Schlecht 2 2 3" xfId="17038" xr:uid="{6EBC9085-6166-4CE5-B017-C69FEC47BB64}"/>
    <cellStyle name="Schlecht 2 2 3 2" xfId="36475" xr:uid="{756B781B-504A-4D68-9FB4-F36ADF04739D}"/>
    <cellStyle name="Schlecht 2 2 4" xfId="17039" xr:uid="{D291195C-4046-4CA2-9B1E-663BC9779402}"/>
    <cellStyle name="Schlecht 2 2 4 2" xfId="36476" xr:uid="{584E92CC-711B-424B-BA9D-A9D8C0DA6F30}"/>
    <cellStyle name="Schlecht 2 2 5" xfId="17040" xr:uid="{7A2EF9EC-4881-4CBB-94AB-B8DFBDB5BF42}"/>
    <cellStyle name="Schlecht 2 2 5 2" xfId="17041" xr:uid="{C72C490B-1CAB-41EB-8AA8-9C988EE7D622}"/>
    <cellStyle name="Schlecht 2 2 5 2 2" xfId="36478" xr:uid="{B9EBA558-3E57-459D-A6ED-B2E85F215C8F}"/>
    <cellStyle name="Schlecht 2 2 5 3" xfId="36477" xr:uid="{AF6B1C32-C0B1-45B2-88E6-D2B144EF31CF}"/>
    <cellStyle name="Schlecht 2 2 6" xfId="17042" xr:uid="{5F43E2A9-203D-4B45-95A1-6E7A615E0C6A}"/>
    <cellStyle name="Schlecht 2 2 6 2" xfId="36479" xr:uid="{11AFCF74-543E-41FA-8D81-1ABB429327AA}"/>
    <cellStyle name="Schlecht 2 2 7" xfId="17043" xr:uid="{0A13216D-B337-4809-A76E-DFA9A2968699}"/>
    <cellStyle name="Schlecht 2 2 7 2" xfId="17044" xr:uid="{F70BAB80-91C2-4C28-B9DA-4407BC00FEC7}"/>
    <cellStyle name="Schlecht 2 2 7 2 2" xfId="36481" xr:uid="{72340CEF-8F95-461E-91DC-154B97EE1FF5}"/>
    <cellStyle name="Schlecht 2 2 7 3" xfId="36480" xr:uid="{1A60BB39-024A-4162-B46E-0FA70B2B5E90}"/>
    <cellStyle name="Schlecht 2 2 8" xfId="17045" xr:uid="{111DE6B5-9119-4603-A868-1D03F7396B68}"/>
    <cellStyle name="Schlecht 2 2 8 2" xfId="36482" xr:uid="{1FCD76CC-32DC-489F-BEDB-70E51DD0FC5D}"/>
    <cellStyle name="Schlecht 2 2 9" xfId="17046" xr:uid="{3692CA88-D493-465D-97DF-8E07CDCA7ED2}"/>
    <cellStyle name="Schlecht 2 2 9 2" xfId="36483" xr:uid="{8083196E-67AE-4E66-A1A8-456495E4CA7D}"/>
    <cellStyle name="Schlecht 2 3" xfId="17047" xr:uid="{3E7AFF14-8C59-4128-B99D-A2217AE42FB7}"/>
    <cellStyle name="Schlecht 2 3 2" xfId="36484" xr:uid="{6C73FC65-26CF-4542-9525-A78C47A31B85}"/>
    <cellStyle name="Schlecht 2 4" xfId="17048" xr:uid="{A9E9E922-68A6-4D51-9E4C-12CBCEE5340C}"/>
    <cellStyle name="Schlecht 2 4 2" xfId="17049" xr:uid="{08ABFA25-1429-4FE5-A827-2CCF22E256FC}"/>
    <cellStyle name="Schlecht 2 4 2 2" xfId="17050" xr:uid="{195C945A-BEC3-4B43-82F2-9E101DA04791}"/>
    <cellStyle name="Schlecht 2 4 2 2 2" xfId="36487" xr:uid="{5271C05D-B732-4E86-8F50-5302A66D48CB}"/>
    <cellStyle name="Schlecht 2 4 2 3" xfId="36486" xr:uid="{C5345A73-C117-42F9-9360-C16749D871A7}"/>
    <cellStyle name="Schlecht 2 4 3" xfId="17051" xr:uid="{9A42CE69-990F-49AC-AF79-44543B2593E3}"/>
    <cellStyle name="Schlecht 2 4 3 2" xfId="36488" xr:uid="{1BB07683-313F-44A6-B780-D2C31B0A5B97}"/>
    <cellStyle name="Schlecht 2 4 4" xfId="17052" xr:uid="{C2A12D20-21D0-4F1B-BD09-E208353C6CC9}"/>
    <cellStyle name="Schlecht 2 4 4 2" xfId="36489" xr:uid="{61589521-636F-49E0-AEF4-F0A9B375A0B9}"/>
    <cellStyle name="Schlecht 2 4 5" xfId="36485" xr:uid="{7E88EFED-E8C8-4659-B3A6-0E04A6F72F74}"/>
    <cellStyle name="Schlecht 2 5" xfId="17053" xr:uid="{54BE20EE-AFF0-4FA0-9F59-1747F82CB67B}"/>
    <cellStyle name="Schlecht 2 5 2" xfId="36490" xr:uid="{A2187BF6-A178-499F-AF42-36D532C1F487}"/>
    <cellStyle name="Schlecht 2 6" xfId="17054" xr:uid="{1D56FEB8-1E08-4144-BC5F-529973115657}"/>
    <cellStyle name="Schlecht 2 6 2" xfId="17055" xr:uid="{26B6A29F-C07D-4952-86D4-77F2C534207C}"/>
    <cellStyle name="Schlecht 2 6 2 2" xfId="36492" xr:uid="{CCF345C1-3AB8-4882-8A5F-A439F45341D6}"/>
    <cellStyle name="Schlecht 2 6 3" xfId="36491" xr:uid="{EF96AF54-D883-49A0-B757-BEF20DB682C7}"/>
    <cellStyle name="Schlecht 2 7" xfId="17056" xr:uid="{B7AF09F1-7156-4983-8540-70DD9FFA9DC4}"/>
    <cellStyle name="Schlecht 2 7 2" xfId="36493" xr:uid="{E4A33695-E5A1-4A84-A22E-ED742F0F667F}"/>
    <cellStyle name="Schlecht 2 8" xfId="17057" xr:uid="{91DA2284-10E7-4E70-B2CA-8440E54CC969}"/>
    <cellStyle name="Schlecht 2 8 2" xfId="17058" xr:uid="{54D94D11-5F55-41FE-9DA4-EAFF3CB9F31E}"/>
    <cellStyle name="Schlecht 2 8 2 2" xfId="36495" xr:uid="{E39F7857-FFB9-44F7-8FAB-A39E1F656D59}"/>
    <cellStyle name="Schlecht 2 8 3" xfId="36494" xr:uid="{4C3BCBEB-3767-45C2-838A-A685DF27FB73}"/>
    <cellStyle name="Schlecht 2 9" xfId="17059" xr:uid="{28316B77-F061-41E0-9535-D801793C4E39}"/>
    <cellStyle name="Schlecht 2 9 2" xfId="36496" xr:uid="{7216B207-1276-402D-AD75-FF960F862988}"/>
    <cellStyle name="Schlecht 20" xfId="17060" xr:uid="{F1EAB75B-085B-4BBF-9A4C-5F00E27A691F}"/>
    <cellStyle name="Schlecht 20 2" xfId="17061" xr:uid="{D0CA077C-9BD8-4583-A48C-F9CAAE92157C}"/>
    <cellStyle name="Schlecht 20 2 2" xfId="36498" xr:uid="{09C4A7B0-37BD-43CE-8E09-35C5C9F179F8}"/>
    <cellStyle name="Schlecht 20 3" xfId="36497" xr:uid="{28178FB8-813C-4347-8CE4-060868171D4C}"/>
    <cellStyle name="Schlecht 21" xfId="17062" xr:uid="{1448DC59-D8F7-443D-9A35-42930A725895}"/>
    <cellStyle name="Schlecht 21 2" xfId="17063" xr:uid="{0A56C3DF-8DD8-4469-AA6D-583FC9ACDC1A}"/>
    <cellStyle name="Schlecht 21 2 2" xfId="36500" xr:uid="{19684093-88D0-45B7-8FA5-81DC86589B99}"/>
    <cellStyle name="Schlecht 21 3" xfId="36499" xr:uid="{48B92A94-3307-4D2C-8343-57F205DF8E4D}"/>
    <cellStyle name="Schlecht 22" xfId="17064" xr:uid="{993428BC-FC85-427F-A626-19BC2B885D83}"/>
    <cellStyle name="Schlecht 22 2" xfId="17065" xr:uid="{864BF03D-CBA0-40B3-9D08-A222FA467571}"/>
    <cellStyle name="Schlecht 22 2 2" xfId="36502" xr:uid="{B6A73158-F967-497A-998D-C3A2EE569A8E}"/>
    <cellStyle name="Schlecht 22 3" xfId="36501" xr:uid="{792068CC-4215-47BE-81D5-00FFD7B02543}"/>
    <cellStyle name="Schlecht 23" xfId="17066" xr:uid="{AC261EC6-48C3-4A8C-A1BE-92714B6B6E1F}"/>
    <cellStyle name="Schlecht 23 2" xfId="17067" xr:uid="{AF4CA626-536F-45DB-8471-10FEEB105FD5}"/>
    <cellStyle name="Schlecht 23 2 2" xfId="36504" xr:uid="{49957991-86E2-478C-9CD1-9CC82ABF5AFF}"/>
    <cellStyle name="Schlecht 23 3" xfId="36503" xr:uid="{61A0C8DA-5893-42A6-ADD3-C6DB29DDA7FA}"/>
    <cellStyle name="Schlecht 24" xfId="17068" xr:uid="{463DC98B-3307-4B61-A70F-5013EA2FAED5}"/>
    <cellStyle name="Schlecht 24 2" xfId="17069" xr:uid="{B5ADD00B-FAC3-4BEA-B96C-14FFE6ED86A1}"/>
    <cellStyle name="Schlecht 24 2 2" xfId="36506" xr:uid="{4A9AADB6-DBA0-4EEB-ACD8-78063EE06A45}"/>
    <cellStyle name="Schlecht 24 3" xfId="36505" xr:uid="{6D7A8BAA-C4ED-4A74-946B-AB9242F5D741}"/>
    <cellStyle name="Schlecht 25" xfId="17070" xr:uid="{491F9F77-93A4-4A55-8F0C-6B7F2F976950}"/>
    <cellStyle name="Schlecht 25 2" xfId="17071" xr:uid="{A784EA7D-F2C1-41B7-81F6-5FB3671059D1}"/>
    <cellStyle name="Schlecht 25 2 2" xfId="36508" xr:uid="{3FBCF78F-A728-412D-86BD-106475D5EEA9}"/>
    <cellStyle name="Schlecht 25 3" xfId="36507" xr:uid="{7C199E7B-5143-4D90-BF49-9BC5A67D6FC1}"/>
    <cellStyle name="Schlecht 26" xfId="17072" xr:uid="{20BB291C-A4D6-42E6-A7D9-6B2E49E17497}"/>
    <cellStyle name="Schlecht 26 2" xfId="17073" xr:uid="{792AEC3E-19E6-47BE-A905-D3C5F6C36341}"/>
    <cellStyle name="Schlecht 26 2 2" xfId="36510" xr:uid="{2BD4E720-FB68-474F-B949-1F0AD10CD160}"/>
    <cellStyle name="Schlecht 26 3" xfId="36509" xr:uid="{438F507D-F7C7-451D-B6CB-6C05B87FF334}"/>
    <cellStyle name="Schlecht 27" xfId="17074" xr:uid="{CA2CBF9A-E64A-4295-9333-9F547721A1D2}"/>
    <cellStyle name="Schlecht 27 2" xfId="17075" xr:uid="{B37ECFD8-E348-4892-8E2E-04C0C142E081}"/>
    <cellStyle name="Schlecht 27 2 2" xfId="36512" xr:uid="{6D245E8E-70DE-4E98-A4EF-BB8C351780B4}"/>
    <cellStyle name="Schlecht 27 3" xfId="36511" xr:uid="{EAF9DFEB-C44D-4ED4-A413-5170A3B3D7DA}"/>
    <cellStyle name="Schlecht 28" xfId="17076" xr:uid="{CC1CAF84-CF02-48B6-80A8-8C1BEFDA0219}"/>
    <cellStyle name="Schlecht 28 2" xfId="17077" xr:uid="{4AD2139A-7FF7-4798-BC9C-59F0F9F4C6D8}"/>
    <cellStyle name="Schlecht 28 2 2" xfId="36514" xr:uid="{20FF6F2E-E40F-401F-B2E4-A9E03439C4BC}"/>
    <cellStyle name="Schlecht 28 3" xfId="36513" xr:uid="{51E6CEF9-9679-497C-AE2B-CAF9E49FF56D}"/>
    <cellStyle name="Schlecht 29" xfId="17078" xr:uid="{744E9546-F2FA-4BCB-BBDD-50A11E20F9A6}"/>
    <cellStyle name="Schlecht 29 2" xfId="17079" xr:uid="{8E1954F6-2CA5-4F6B-BAA6-5146DA2E6A3F}"/>
    <cellStyle name="Schlecht 29 2 2" xfId="36516" xr:uid="{3005FF66-6F93-4DE7-A906-F1E57B44D588}"/>
    <cellStyle name="Schlecht 29 3" xfId="36515" xr:uid="{C9AC8845-5D3C-41DE-9324-6C3B7FB63EB6}"/>
    <cellStyle name="Schlecht 3" xfId="17080" xr:uid="{526AAA10-62FF-4ECC-92BB-45A3679165D5}"/>
    <cellStyle name="Schlecht 3 10" xfId="39659" xr:uid="{5956434B-511D-4C52-A0A1-13B944B17200}"/>
    <cellStyle name="Schlecht 3 2" xfId="17081" xr:uid="{9443F85E-5BF9-4957-963D-E4A3B49D5A18}"/>
    <cellStyle name="Schlecht 3 2 2" xfId="17082" xr:uid="{3ED7B44E-71E8-47D4-BC03-09B436612DA8}"/>
    <cellStyle name="Schlecht 3 2 2 2" xfId="17083" xr:uid="{00F0BF9B-38D6-48D0-A8C0-37CF71D5863E}"/>
    <cellStyle name="Schlecht 3 2 2 2 2" xfId="36520" xr:uid="{DF6F97AE-97E1-459F-852E-6539A85B9D2F}"/>
    <cellStyle name="Schlecht 3 2 2 3" xfId="36519" xr:uid="{2447B3C2-5178-4E5C-A0D7-32056CB5304E}"/>
    <cellStyle name="Schlecht 3 2 3" xfId="17084" xr:uid="{D3378607-37D2-421D-BF01-D59EF48A4B59}"/>
    <cellStyle name="Schlecht 3 2 3 2" xfId="36521" xr:uid="{FEE0D665-33FB-4108-862F-8F4E7D3CA532}"/>
    <cellStyle name="Schlecht 3 2 4" xfId="17085" xr:uid="{4510CC79-668F-481E-8D18-8DEDFB029375}"/>
    <cellStyle name="Schlecht 3 2 4 2" xfId="36522" xr:uid="{668E739B-9EE5-4183-AFCE-CB10E42AB4C0}"/>
    <cellStyle name="Schlecht 3 2 5" xfId="36518" xr:uid="{5DF245EF-CDB2-4C3C-9A20-39B552446341}"/>
    <cellStyle name="Schlecht 3 2 6" xfId="40208" xr:uid="{E47D310B-EE88-4101-AB22-18283C1E8B9C}"/>
    <cellStyle name="Schlecht 3 3" xfId="17086" xr:uid="{9EC06506-DAFA-420A-8F9B-505077C98539}"/>
    <cellStyle name="Schlecht 3 3 2" xfId="36523" xr:uid="{3801DAAF-D152-4469-9735-A33E4741F8DC}"/>
    <cellStyle name="Schlecht 3 4" xfId="17087" xr:uid="{28A7E4A6-F78F-4953-B193-33D176853C6B}"/>
    <cellStyle name="Schlecht 3 4 2" xfId="36524" xr:uid="{903B5938-1759-4F80-BB02-C99BEBEEB775}"/>
    <cellStyle name="Schlecht 3 5" xfId="17088" xr:uid="{5A392817-2258-49A2-8069-3314FAB67092}"/>
    <cellStyle name="Schlecht 3 5 2" xfId="17089" xr:uid="{F66471D5-8E33-40ED-8CD0-D9992ECC0A21}"/>
    <cellStyle name="Schlecht 3 5 2 2" xfId="36526" xr:uid="{CE3ABED4-4291-48E1-A15A-E1CCEA3647CF}"/>
    <cellStyle name="Schlecht 3 5 3" xfId="36525" xr:uid="{6C8B3953-8C79-4336-832E-8AFC476AC7D9}"/>
    <cellStyle name="Schlecht 3 6" xfId="17090" xr:uid="{217E8C6F-8198-42FE-9B6C-9FC47A325A5C}"/>
    <cellStyle name="Schlecht 3 6 2" xfId="36527" xr:uid="{86AA529F-0C29-4C97-8FC0-4C9145C1528C}"/>
    <cellStyle name="Schlecht 3 7" xfId="17091" xr:uid="{35F354F2-9AB4-41DD-B7BC-2BA89D55C346}"/>
    <cellStyle name="Schlecht 3 7 2" xfId="36528" xr:uid="{94CD7A41-F03A-4087-B3BC-6C39CA83DBB8}"/>
    <cellStyle name="Schlecht 3 8" xfId="17092" xr:uid="{30EEF8F2-EE8B-4DAF-B3B6-FD395B3EF73A}"/>
    <cellStyle name="Schlecht 3 8 2" xfId="36529" xr:uid="{D60D76D5-B4BE-4A20-AD62-72449954AFC9}"/>
    <cellStyle name="Schlecht 3 9" xfId="36517" xr:uid="{F3BE09C0-6B45-4E10-89E4-6B644BAD0DA0}"/>
    <cellStyle name="Schlecht 30" xfId="17093" xr:uid="{42961DF4-5802-4C80-AB8D-672A3A0CC0AE}"/>
    <cellStyle name="Schlecht 30 2" xfId="17094" xr:uid="{8F98FB12-9E82-49E2-B0CD-1309812CC678}"/>
    <cellStyle name="Schlecht 30 2 2" xfId="36531" xr:uid="{65FC596B-9665-4C1B-92F5-97F31341D6DB}"/>
    <cellStyle name="Schlecht 30 3" xfId="36530" xr:uid="{37385C6D-6F04-4CD9-949B-CAE884FEA181}"/>
    <cellStyle name="Schlecht 31" xfId="17095" xr:uid="{8BF912AA-DD76-4AF6-927A-901087DA36D5}"/>
    <cellStyle name="Schlecht 31 2" xfId="17096" xr:uid="{CA1ACD8B-7807-4344-9664-C755E2132A6A}"/>
    <cellStyle name="Schlecht 31 2 2" xfId="36533" xr:uid="{667820DF-0DA2-4C28-B43F-AD5346E49B4B}"/>
    <cellStyle name="Schlecht 31 3" xfId="36532" xr:uid="{35A7B9E0-6D12-4704-A1B0-B4D21D1C76BE}"/>
    <cellStyle name="Schlecht 32" xfId="17097" xr:uid="{878C35E8-96D0-49B5-BBB9-737CA1E8E66E}"/>
    <cellStyle name="Schlecht 32 2" xfId="17098" xr:uid="{9ADAEEFC-39FA-4DBE-947E-150D936379C6}"/>
    <cellStyle name="Schlecht 32 2 2" xfId="36535" xr:uid="{1E7504DE-6F84-4019-9ADC-299C8B73E9A7}"/>
    <cellStyle name="Schlecht 32 3" xfId="36534" xr:uid="{B519C927-A3EC-49C2-A728-43062EB572EC}"/>
    <cellStyle name="Schlecht 33" xfId="17099" xr:uid="{2C1BE74E-1C3F-4AFE-984C-3EBE09E13146}"/>
    <cellStyle name="Schlecht 33 2" xfId="17100" xr:uid="{0DDF306C-C1FF-44A0-B80C-C2FE282E6630}"/>
    <cellStyle name="Schlecht 33 2 2" xfId="36537" xr:uid="{7CDF3BC6-758A-4E3C-90E6-DA0B5A101581}"/>
    <cellStyle name="Schlecht 33 3" xfId="36536" xr:uid="{9F4771EA-52EA-431C-A4D6-76F4F3A07CEF}"/>
    <cellStyle name="Schlecht 34" xfId="17101" xr:uid="{0260231C-D917-4B7D-8B14-227E3BCECD70}"/>
    <cellStyle name="Schlecht 34 2" xfId="17102" xr:uid="{CCD6CD2B-A57A-4A8E-BF10-B6A8EFFA5171}"/>
    <cellStyle name="Schlecht 34 2 2" xfId="36539" xr:uid="{96B6A908-3530-452B-8942-3431D7DFD413}"/>
    <cellStyle name="Schlecht 34 3" xfId="36538" xr:uid="{31913DBC-6067-415A-B287-7DDDEC943D12}"/>
    <cellStyle name="Schlecht 35" xfId="17103" xr:uid="{4DA2B856-C556-47C6-9B9C-CBB2D826D63F}"/>
    <cellStyle name="Schlecht 35 2" xfId="17104" xr:uid="{449C97D7-5E31-4C4A-8C5B-190902B60187}"/>
    <cellStyle name="Schlecht 35 2 2" xfId="36541" xr:uid="{2CC0B053-E1DF-4D28-9DD6-5FAA8B679EE5}"/>
    <cellStyle name="Schlecht 35 3" xfId="36540" xr:uid="{674BF3FE-19AB-4A2D-A71E-C5251373A23D}"/>
    <cellStyle name="Schlecht 36" xfId="17105" xr:uid="{1D015747-5386-4047-9979-914F2F05A663}"/>
    <cellStyle name="Schlecht 36 2" xfId="17106" xr:uid="{2C68BDE0-8A6D-498F-AD2E-B4A7D595252D}"/>
    <cellStyle name="Schlecht 36 2 2" xfId="36543" xr:uid="{8FC3033E-FFC3-466B-9DD0-579916B873B9}"/>
    <cellStyle name="Schlecht 36 3" xfId="36542" xr:uid="{E6640F07-E467-4858-A998-E381997C56A7}"/>
    <cellStyle name="Schlecht 37" xfId="36417" xr:uid="{643D1E23-B0AB-482F-8713-04D0416AE7C1}"/>
    <cellStyle name="Schlecht 38" xfId="40408" xr:uid="{10BFAB77-FF15-4846-A4E2-0BF91CFCF93D}"/>
    <cellStyle name="Schlecht 39" xfId="16980" xr:uid="{2BA0C5E8-3433-43F2-A11D-2070FEB2B9B5}"/>
    <cellStyle name="Schlecht 4" xfId="17107" xr:uid="{13B92F3D-1326-4D28-8D1C-60F833DA64EE}"/>
    <cellStyle name="Schlecht 4 2" xfId="17108" xr:uid="{1AE680B1-7398-4C79-8851-F97FC8B1A48C}"/>
    <cellStyle name="Schlecht 4 2 2" xfId="17109" xr:uid="{AFBFF980-9289-4632-8425-6DBA84896E01}"/>
    <cellStyle name="Schlecht 4 2 2 2" xfId="36546" xr:uid="{3E80FBCC-B1EC-4B41-999D-46E14B707B44}"/>
    <cellStyle name="Schlecht 4 2 3" xfId="36545" xr:uid="{ED8869C6-289D-4EB3-A57C-3411AD5D6E7D}"/>
    <cellStyle name="Schlecht 4 2 4" xfId="40209" xr:uid="{203389A2-0A9F-472A-A0DB-CC504B96A816}"/>
    <cellStyle name="Schlecht 4 3" xfId="17110" xr:uid="{11FBF731-D8FE-49A0-9DD3-F14D1FDBB0E7}"/>
    <cellStyle name="Schlecht 4 3 2" xfId="36547" xr:uid="{4D73DDD0-31B5-42B1-9A62-4933C3FF935D}"/>
    <cellStyle name="Schlecht 4 4" xfId="17111" xr:uid="{FD90421D-925B-4D93-AC6F-DD4FBABBA165}"/>
    <cellStyle name="Schlecht 4 4 2" xfId="36548" xr:uid="{526C5DC8-7EEA-4532-9918-2535F2021CB8}"/>
    <cellStyle name="Schlecht 4 5" xfId="17112" xr:uid="{F5CDB65D-A916-4486-8DD7-110BA5703F7E}"/>
    <cellStyle name="Schlecht 4 5 2" xfId="36549" xr:uid="{7B4D7005-E71F-4ABF-9251-68DD491819BC}"/>
    <cellStyle name="Schlecht 4 6" xfId="17113" xr:uid="{86D0D002-FB26-4C35-B556-CF297D15FCD4}"/>
    <cellStyle name="Schlecht 4 6 2" xfId="36550" xr:uid="{9E7F28AF-375E-4AD0-89A9-B2B20E48E406}"/>
    <cellStyle name="Schlecht 4 7" xfId="36544" xr:uid="{75273779-527E-484E-A943-0D2C77E76D19}"/>
    <cellStyle name="Schlecht 4 8" xfId="39660" xr:uid="{DF305696-C351-4507-95D9-5973D8C75837}"/>
    <cellStyle name="Schlecht 40" xfId="46" xr:uid="{344CC0A8-1096-4C59-A30E-4793A41C4C34}"/>
    <cellStyle name="Schlecht 5" xfId="17114" xr:uid="{DDA1E32C-1923-4B52-811B-4954098EB5C0}"/>
    <cellStyle name="Schlecht 5 2" xfId="17115" xr:uid="{A8F77081-2F20-41AC-A9CC-7D93EA629898}"/>
    <cellStyle name="Schlecht 5 2 2" xfId="36552" xr:uid="{5FABAFBF-1C23-4410-8711-7E59BFE63A75}"/>
    <cellStyle name="Schlecht 5 3" xfId="17116" xr:uid="{708F047D-D3AF-4952-8086-68D74820549C}"/>
    <cellStyle name="Schlecht 5 3 2" xfId="36553" xr:uid="{8B18EA19-0DF5-40DF-AAC6-6F6B29AFDB72}"/>
    <cellStyle name="Schlecht 5 4" xfId="17117" xr:uid="{E1D75EFD-0E7E-4102-A1B9-F42DCC71A752}"/>
    <cellStyle name="Schlecht 5 4 2" xfId="36554" xr:uid="{CB88667A-A913-41B2-A16D-92424B35268A}"/>
    <cellStyle name="Schlecht 5 5" xfId="36551" xr:uid="{9AC2CFD1-60F4-4F77-873E-FC8D95623278}"/>
    <cellStyle name="Schlecht 5 6" xfId="39661" xr:uid="{5C5ABB53-ED26-4F7C-A791-2B6C6F585472}"/>
    <cellStyle name="Schlecht 6" xfId="17118" xr:uid="{1606972E-C74A-40D0-B883-20DCF287A91D}"/>
    <cellStyle name="Schlecht 6 2" xfId="17119" xr:uid="{AAA6327D-2446-4387-B67C-554D2297C653}"/>
    <cellStyle name="Schlecht 6 2 2" xfId="36556" xr:uid="{B7B6EB1A-5BD6-4B74-84A1-687DC1B45C3E}"/>
    <cellStyle name="Schlecht 6 3" xfId="17120" xr:uid="{E522B949-0B21-4599-B26A-07208638C229}"/>
    <cellStyle name="Schlecht 6 3 2" xfId="36557" xr:uid="{848925AA-F1DE-417E-9DB6-6CEEB2610C94}"/>
    <cellStyle name="Schlecht 6 4" xfId="17121" xr:uid="{9DC5DDE4-1859-49F6-9228-597CBD92C997}"/>
    <cellStyle name="Schlecht 6 4 2" xfId="36558" xr:uid="{925D166A-6363-45E8-897F-C6AF089FE814}"/>
    <cellStyle name="Schlecht 6 5" xfId="36555" xr:uid="{EF46F4F7-7A67-4BC9-9E51-1140EA6B6409}"/>
    <cellStyle name="Schlecht 6 6" xfId="39656" xr:uid="{EC86674B-C09E-4683-B457-F4D153F82CD6}"/>
    <cellStyle name="Schlecht 7" xfId="17122" xr:uid="{EA9B6A83-CE31-43AB-80E0-8E7A63F9EE95}"/>
    <cellStyle name="Schlecht 7 2" xfId="17123" xr:uid="{53240B3E-E3AB-4BD1-A646-C8D3901AE2CF}"/>
    <cellStyle name="Schlecht 7 2 2" xfId="36560" xr:uid="{FDAF1934-D3B4-4B96-98F2-93807680E11C}"/>
    <cellStyle name="Schlecht 7 3" xfId="36559" xr:uid="{CE133CDA-8092-43B0-8CAA-BB663E864D37}"/>
    <cellStyle name="Schlecht 8" xfId="17124" xr:uid="{D300DA9C-F081-418C-A112-ECB588E570F0}"/>
    <cellStyle name="Schlecht 8 2" xfId="17125" xr:uid="{99225B1D-4CFA-4B94-96DF-C81222931CDC}"/>
    <cellStyle name="Schlecht 8 2 2" xfId="36562" xr:uid="{F27968AD-946D-47AF-B20B-6C7825B44D2D}"/>
    <cellStyle name="Schlecht 8 3" xfId="36561" xr:uid="{1CF7547A-78DB-4303-B8E1-0967E9F429AC}"/>
    <cellStyle name="Schlecht 9" xfId="17126" xr:uid="{90CFD27F-AE96-44EE-84A4-08AD0C62500C}"/>
    <cellStyle name="Schlecht 9 2" xfId="17127" xr:uid="{28645925-4146-4245-9008-ABC18CE7BA50}"/>
    <cellStyle name="Schlecht 9 2 2" xfId="36564" xr:uid="{96139437-9C81-4D4A-9466-FAF3288E2F43}"/>
    <cellStyle name="Schlecht 9 3" xfId="36563" xr:uid="{1BD7970C-CFE7-4366-9D71-0137BAD3F89C}"/>
    <cellStyle name="Sheet Title" xfId="179" xr:uid="{C60C3ED9-80D4-4C61-A05C-F92ED4EE85AD}"/>
    <cellStyle name="Standard 10" xfId="39662" xr:uid="{13DFC0AC-7EAB-45C2-886A-A4D285465EBB}"/>
    <cellStyle name="Standard 10 10" xfId="17128" xr:uid="{3EDAA63A-9095-407E-A9C1-D9DDD7E91630}"/>
    <cellStyle name="Standard 10 10 2" xfId="17129" xr:uid="{63AA9F38-F41F-4B5B-80E9-667BA6635051}"/>
    <cellStyle name="Standard 10 10 2 2" xfId="36566" xr:uid="{30B523C4-A82A-41D5-9201-6A6FC8AD7C11}"/>
    <cellStyle name="Standard 10 10 3" xfId="36565" xr:uid="{787FDD4A-A05B-4F80-A912-E5A16543F6EF}"/>
    <cellStyle name="Standard 10 11" xfId="17130" xr:uid="{53A94530-C3B0-4F25-9CFB-F7ADDA9E7FC3}"/>
    <cellStyle name="Standard 10 11 2" xfId="17131" xr:uid="{B9F4479D-B20A-4B55-A4AF-5EC6A76BABDC}"/>
    <cellStyle name="Standard 10 11 2 2" xfId="36568" xr:uid="{BA8C55B0-6B36-434B-AC57-EE0CF958F982}"/>
    <cellStyle name="Standard 10 11 3" xfId="36567" xr:uid="{C0A0C379-D083-4511-9732-749A02678722}"/>
    <cellStyle name="Standard 10 12" xfId="17132" xr:uid="{E706E9F8-9803-47DA-A1C0-D515AB35F64E}"/>
    <cellStyle name="Standard 10 12 2" xfId="17133" xr:uid="{9F841527-7980-4FDD-9B45-49CB4F13C44F}"/>
    <cellStyle name="Standard 10 12 2 2" xfId="36570" xr:uid="{846B13EF-051F-4706-BD32-C4EFC54981BB}"/>
    <cellStyle name="Standard 10 12 3" xfId="36569" xr:uid="{735263A9-CFEC-40BC-823E-3C5BC989442A}"/>
    <cellStyle name="Standard 10 13" xfId="17134" xr:uid="{C700DB38-FE88-4B12-BB81-A4B1C75E42EE}"/>
    <cellStyle name="Standard 10 13 2" xfId="17135" xr:uid="{3AD97ABD-A63D-4F57-8F62-14876F625E1F}"/>
    <cellStyle name="Standard 10 13 2 2" xfId="36572" xr:uid="{630E1C37-D618-44C4-B950-CCA07025E4ED}"/>
    <cellStyle name="Standard 10 13 3" xfId="36571" xr:uid="{A0B8E71F-774A-427F-BE6D-894B1181B26A}"/>
    <cellStyle name="Standard 10 14" xfId="17136" xr:uid="{69466946-B8B1-4D5D-BD49-92343C2D367F}"/>
    <cellStyle name="Standard 10 14 2" xfId="17137" xr:uid="{EA178792-7EB9-4AFD-9472-81D21CE6F556}"/>
    <cellStyle name="Standard 10 14 2 2" xfId="36574" xr:uid="{9285EBAD-1C4E-4474-80BE-B0BF9B289E90}"/>
    <cellStyle name="Standard 10 14 3" xfId="36573" xr:uid="{F928C14D-5040-4207-8C52-CA956CEA5FB8}"/>
    <cellStyle name="Standard 10 15" xfId="17138" xr:uid="{C63E03FC-D89F-4DFE-9253-09D6759337F1}"/>
    <cellStyle name="Standard 10 15 2" xfId="17139" xr:uid="{186C020F-C5B3-4D4C-A1BD-FE931F0D1F00}"/>
    <cellStyle name="Standard 10 15 2 2" xfId="36576" xr:uid="{06D3AAAE-496B-41F1-8BC2-0C3B1E5B38B4}"/>
    <cellStyle name="Standard 10 15 3" xfId="36575" xr:uid="{C10B3173-8CED-4036-BBE5-4F063BB76260}"/>
    <cellStyle name="Standard 10 16" xfId="17140" xr:uid="{A12244CF-E080-4CFB-A6E0-D2FBFB2F4959}"/>
    <cellStyle name="Standard 10 16 2" xfId="17141" xr:uid="{7CEB91C8-1EEC-45E9-B5AC-1199EEBF9E27}"/>
    <cellStyle name="Standard 10 16 2 2" xfId="36578" xr:uid="{B12E7332-84B0-4887-80E9-8280E6B90790}"/>
    <cellStyle name="Standard 10 16 3" xfId="36577" xr:uid="{87A397DB-40A5-48D4-8B57-312A5145EA0C}"/>
    <cellStyle name="Standard 10 17" xfId="17142" xr:uid="{A53748C9-8EF1-4DDB-803D-DF070DB77EB6}"/>
    <cellStyle name="Standard 10 17 2" xfId="17143" xr:uid="{BE9B16C3-AF5A-47C5-9F49-0DEE79F9F83C}"/>
    <cellStyle name="Standard 10 17 2 2" xfId="36580" xr:uid="{05417557-7D45-4FCB-A029-5316CBEAAAAB}"/>
    <cellStyle name="Standard 10 17 3" xfId="36579" xr:uid="{1CF45D0E-E907-42C1-AA82-5B56DC9A092A}"/>
    <cellStyle name="Standard 10 18" xfId="17144" xr:uid="{9677D3BE-B2D9-4D65-8166-28CC3F3C40BC}"/>
    <cellStyle name="Standard 10 18 2" xfId="17145" xr:uid="{8604F37C-C2C3-46BD-AE98-95BDEB162FDB}"/>
    <cellStyle name="Standard 10 18 2 2" xfId="36582" xr:uid="{0B59C697-79DE-48C8-B2CF-8C005418D8EE}"/>
    <cellStyle name="Standard 10 18 3" xfId="36581" xr:uid="{184834C8-505E-4893-A306-F3F18474418E}"/>
    <cellStyle name="Standard 10 19" xfId="17146" xr:uid="{28EC4812-C864-44F0-B472-412F9A63AB83}"/>
    <cellStyle name="Standard 10 19 2" xfId="17147" xr:uid="{D3F2CCAE-2B2B-48E8-BE1F-4C99A11EA52D}"/>
    <cellStyle name="Standard 10 19 2 2" xfId="36584" xr:uid="{B70A774B-5EEB-4AD2-B243-55B377681160}"/>
    <cellStyle name="Standard 10 19 3" xfId="36583" xr:uid="{D57E4BD8-54F0-44D3-99EC-17D6D231560E}"/>
    <cellStyle name="Standard 10 2" xfId="17148" xr:uid="{EB8C854D-02F6-4260-BCCC-47CD6B54098E}"/>
    <cellStyle name="Standard 10 2 2" xfId="17149" xr:uid="{391FFFA8-F704-4CE6-8E65-692BAF428483}"/>
    <cellStyle name="Standard 10 2 2 2" xfId="36586" xr:uid="{59BF16FD-7EA7-4455-B21D-0596C8EE14E3}"/>
    <cellStyle name="Standard 10 2 2 2 2" xfId="41116" xr:uid="{4D3C7A1C-4C3D-4CBF-9CCE-9AEBAC9C9C5D}"/>
    <cellStyle name="Standard 10 2 2 3" xfId="41974" xr:uid="{75710B50-FD57-4AAC-91F3-B49A2DA38642}"/>
    <cellStyle name="Standard 10 2 2 4" xfId="40211" xr:uid="{5D20F950-A1DA-419E-B999-FB86E21D92D8}"/>
    <cellStyle name="Standard 10 2 3" xfId="36585" xr:uid="{54C341BD-CED7-4284-B46C-DEF4A653C82E}"/>
    <cellStyle name="Standard 10 2 3 2" xfId="40673" xr:uid="{62929DCC-0B2C-44DC-859A-3600358D439B}"/>
    <cellStyle name="Standard 10 2 4" xfId="41533" xr:uid="{F3ABCE1D-C35D-4249-87D6-EE3591AD5509}"/>
    <cellStyle name="Standard 10 2 5" xfId="39663" xr:uid="{4518B879-1A8B-423B-B437-BBAEAB608626}"/>
    <cellStyle name="Standard 10 20" xfId="17150" xr:uid="{9C6D13AD-13B7-4260-A509-A02355A67A77}"/>
    <cellStyle name="Standard 10 20 2" xfId="17151" xr:uid="{A22C6461-4681-4335-95CD-AA43C0D68B67}"/>
    <cellStyle name="Standard 10 20 2 2" xfId="36588" xr:uid="{85294825-75EF-4656-9CB8-1BC8C5411105}"/>
    <cellStyle name="Standard 10 20 3" xfId="36587" xr:uid="{A05BF17A-D1B6-413C-881D-EAC250519AAB}"/>
    <cellStyle name="Standard 10 21" xfId="17152" xr:uid="{3D692A51-8FA5-4FD3-8E4F-3F281D3DF95A}"/>
    <cellStyle name="Standard 10 21 2" xfId="17153" xr:uid="{C4B4626B-5078-49B8-AD63-973EFCBACCDB}"/>
    <cellStyle name="Standard 10 21 2 2" xfId="36590" xr:uid="{3982F158-ADB7-4974-8082-C06631748164}"/>
    <cellStyle name="Standard 10 21 3" xfId="36589" xr:uid="{36C1CACC-443A-44AD-9448-A3B1D9869D19}"/>
    <cellStyle name="Standard 10 22" xfId="17154" xr:uid="{5BE12F18-C8D0-4843-92F4-ED70CD488082}"/>
    <cellStyle name="Standard 10 22 2" xfId="36591" xr:uid="{432BC4B8-EF8B-482C-A685-E047A67FEAFD}"/>
    <cellStyle name="Standard 10 23" xfId="17155" xr:uid="{A45C7C19-D38F-4E90-9C71-302C4C55D9D0}"/>
    <cellStyle name="Standard 10 23 2" xfId="36592" xr:uid="{3BD3F61D-BECB-402B-8B70-74B16F3AEDE9}"/>
    <cellStyle name="Standard 10 3" xfId="17156" xr:uid="{D6640833-DC22-495A-A0F1-D9D51BA697A8}"/>
    <cellStyle name="Standard 10 3 2" xfId="17157" xr:uid="{5E6843D9-D7CF-4D0C-873A-00D47E9E2A7F}"/>
    <cellStyle name="Standard 10 3 2 2" xfId="36594" xr:uid="{5A238F9B-F811-4BC7-B42D-8A36E3AD684D}"/>
    <cellStyle name="Standard 10 3 2 3" xfId="41115" xr:uid="{80DC6FF1-5CA7-4D7A-944A-810C97ACB4DF}"/>
    <cellStyle name="Standard 10 3 3" xfId="36593" xr:uid="{818FEB80-EE06-4C10-A8F4-27837AED35CB}"/>
    <cellStyle name="Standard 10 3 3 2" xfId="41973" xr:uid="{5F4B19BE-F428-4418-A085-52B96096CFB7}"/>
    <cellStyle name="Standard 10 3 4" xfId="40210" xr:uid="{062F0546-B719-48D7-A10C-FCF76E449336}"/>
    <cellStyle name="Standard 10 4" xfId="17158" xr:uid="{C60473C9-6A40-4158-BC65-87EBFA18EDCE}"/>
    <cellStyle name="Standard 10 4 2" xfId="17159" xr:uid="{CD331AFD-5AB6-4871-B068-6247D070E60F}"/>
    <cellStyle name="Standard 10 4 2 2" xfId="36596" xr:uid="{90C0D418-BA09-443F-B22C-2174D979FA8E}"/>
    <cellStyle name="Standard 10 4 3" xfId="36595" xr:uid="{DEFF4B81-AB48-45C5-92A4-AE2351D0E2A0}"/>
    <cellStyle name="Standard 10 4 4" xfId="40672" xr:uid="{593B174F-FCCB-499A-BF8E-BB30E97AF61F}"/>
    <cellStyle name="Standard 10 5" xfId="17160" xr:uid="{2FCC4D6B-00AC-4A26-AFFD-3A6444E09E37}"/>
    <cellStyle name="Standard 10 5 2" xfId="17161" xr:uid="{8E7D7038-D42B-4689-B02A-91321BC46B4B}"/>
    <cellStyle name="Standard 10 5 2 2" xfId="36598" xr:uid="{BA62B84F-6A28-4C74-B61F-2C5DABB8774C}"/>
    <cellStyle name="Standard 10 5 3" xfId="36597" xr:uid="{0663B20E-427A-4BAD-9A8E-49E45DA6214E}"/>
    <cellStyle name="Standard 10 5 4" xfId="41532" xr:uid="{4970F1C0-FCE5-453F-8968-F31DBD76FB8C}"/>
    <cellStyle name="Standard 10 6" xfId="17162" xr:uid="{8C2B3228-19FB-47B5-B94F-4D9D4251985B}"/>
    <cellStyle name="Standard 10 6 2" xfId="17163" xr:uid="{D4D07791-B656-4AEF-AA22-2DC2F4C114DF}"/>
    <cellStyle name="Standard 10 6 2 2" xfId="36600" xr:uid="{46DB15D1-3810-4923-A573-CC083395F57C}"/>
    <cellStyle name="Standard 10 6 3" xfId="36599" xr:uid="{ACA198C7-B429-4386-815A-0C89DB24C1AB}"/>
    <cellStyle name="Standard 10 6 4" xfId="42156" xr:uid="{4C6920BF-D5F0-4E63-9CF0-523E4FD78706}"/>
    <cellStyle name="Standard 10 7" xfId="17164" xr:uid="{2C3B120A-007A-45F4-BF3F-19F7F99F7C47}"/>
    <cellStyle name="Standard 10 7 2" xfId="17165" xr:uid="{2878BDD0-983D-4D8E-B6BF-8EB3BA2C23D5}"/>
    <cellStyle name="Standard 10 7 2 2" xfId="36602" xr:uid="{0D91AD3D-4946-46DC-A9BF-103D11F9BA2D}"/>
    <cellStyle name="Standard 10 7 3" xfId="36601" xr:uid="{0ED43D0E-64CF-4864-BBD5-59AAFF0AB1D2}"/>
    <cellStyle name="Standard 10 8" xfId="17166" xr:uid="{CF2804F5-0BAD-4A04-A399-ACB49EE2AD58}"/>
    <cellStyle name="Standard 10 8 2" xfId="17167" xr:uid="{483A802E-8FCA-4A81-B7E2-8CB7FC6330B5}"/>
    <cellStyle name="Standard 10 8 2 2" xfId="36604" xr:uid="{962A522C-607E-4321-BC0C-A1A96E98F9C3}"/>
    <cellStyle name="Standard 10 8 3" xfId="36603" xr:uid="{4D93E081-C6CB-4B7B-994D-557B2C7BA169}"/>
    <cellStyle name="Standard 10 9" xfId="17168" xr:uid="{A3863C84-7401-403F-9C64-429131572754}"/>
    <cellStyle name="Standard 10 9 2" xfId="17169" xr:uid="{8797BF40-7E59-4D4E-87D0-989B89EBB33A}"/>
    <cellStyle name="Standard 10 9 2 2" xfId="36606" xr:uid="{7789C8F8-867C-4F36-B24A-B3FFA273FC3D}"/>
    <cellStyle name="Standard 10 9 3" xfId="36605" xr:uid="{C4228176-4431-486C-AF29-0C58DEF0FE60}"/>
    <cellStyle name="Standard 100" xfId="39664" xr:uid="{BA43D138-E429-4D9D-88C7-70502DA62D0F}"/>
    <cellStyle name="Standard 100 2" xfId="40212" xr:uid="{D39047A2-C528-4150-840F-B995149A490A}"/>
    <cellStyle name="Standard 100 2 2" xfId="41117" xr:uid="{BC6118F1-2D69-4B53-A135-36AFE8CBE029}"/>
    <cellStyle name="Standard 100 2 3" xfId="41975" xr:uid="{29EFD6DE-3228-4052-98BF-29A41FEE82A5}"/>
    <cellStyle name="Standard 100 3" xfId="40674" xr:uid="{8D131721-CDF6-40DA-849F-5B1966BEE063}"/>
    <cellStyle name="Standard 100 4" xfId="41534" xr:uid="{864CE81D-F883-4372-B853-40734C5BF0CF}"/>
    <cellStyle name="Standard 101" xfId="39665" xr:uid="{068A38BC-78C1-4F5C-B70F-3AE79A5342FF}"/>
    <cellStyle name="Standard 101 2" xfId="40213" xr:uid="{BB7D862E-F9FA-4A1D-977A-01D2F32CDE03}"/>
    <cellStyle name="Standard 101 2 2" xfId="41118" xr:uid="{FDC66A72-E504-4F07-BCC4-915C8C3FAD54}"/>
    <cellStyle name="Standard 101 2 3" xfId="41976" xr:uid="{4064C640-1146-426C-B347-93EE94721EC8}"/>
    <cellStyle name="Standard 101 3" xfId="40675" xr:uid="{0F809AEC-BA24-44EB-93FA-460D3386077F}"/>
    <cellStyle name="Standard 101 4" xfId="41535" xr:uid="{EE613878-1EBA-4619-B736-E92815509237}"/>
    <cellStyle name="Standard 102" xfId="39666" xr:uid="{38EB00EA-4AA8-40ED-B2DF-9F353B4E3C5D}"/>
    <cellStyle name="Standard 102 2" xfId="40214" xr:uid="{96892B57-2F4F-475C-A2A0-0BFF19020BCD}"/>
    <cellStyle name="Standard 102 2 2" xfId="41119" xr:uid="{D23ACAEB-4D85-439C-9EE6-E6DD5F41567C}"/>
    <cellStyle name="Standard 102 2 3" xfId="41977" xr:uid="{C7EEF267-2ACD-44AA-B5F0-73302EE96684}"/>
    <cellStyle name="Standard 102 3" xfId="40676" xr:uid="{47F1D799-46EC-4502-BB07-2803FC8F9613}"/>
    <cellStyle name="Standard 102 4" xfId="41536" xr:uid="{E53987A4-1EA0-49CF-9BF6-A6880DB6E8C3}"/>
    <cellStyle name="Standard 103" xfId="39667" xr:uid="{7ACDC371-57D7-4D16-975A-04A62617356E}"/>
    <cellStyle name="Standard 104" xfId="39668" xr:uid="{0B8956CB-DDA3-4B68-8369-BCC3FBE4701F}"/>
    <cellStyle name="Standard 104 2" xfId="40215" xr:uid="{92761531-1025-4BAC-ACE0-EB09FDA81690}"/>
    <cellStyle name="Standard 104 2 2" xfId="41120" xr:uid="{8326544B-0F6B-4D9D-A174-7478933D180E}"/>
    <cellStyle name="Standard 104 2 3" xfId="41978" xr:uid="{E2E24C23-1683-4821-8FE3-9DEDC46F2F7D}"/>
    <cellStyle name="Standard 104 3" xfId="40677" xr:uid="{5413326A-89FA-4CA0-BF21-77E5CBD4CEC9}"/>
    <cellStyle name="Standard 104 4" xfId="41537" xr:uid="{B7186017-FF10-42E0-843B-6FA542FF22A6}"/>
    <cellStyle name="Standard 105" xfId="39669" xr:uid="{D95A6ED9-57A4-496E-9215-92D28723B7AF}"/>
    <cellStyle name="Standard 105 2" xfId="40216" xr:uid="{3A9AD6D6-8557-44D6-B064-79A37C37B0EE}"/>
    <cellStyle name="Standard 105 2 2" xfId="41121" xr:uid="{F9D4B5DD-4D64-438C-853D-81FE35DCC672}"/>
    <cellStyle name="Standard 105 2 3" xfId="41979" xr:uid="{D67A45C3-145F-4387-8D14-2627328C3380}"/>
    <cellStyle name="Standard 105 3" xfId="40678" xr:uid="{57EA30B4-CB73-480D-BD25-944C6565C39D}"/>
    <cellStyle name="Standard 105 4" xfId="41538" xr:uid="{1843BAA4-5A9F-4E15-91E4-1F9ECCC6F113}"/>
    <cellStyle name="Standard 106" xfId="39670" xr:uid="{8B32AC8C-EA75-4009-92D5-68494FB11DF5}"/>
    <cellStyle name="Standard 106 2" xfId="40217" xr:uid="{58F90881-1ED5-4ECC-9C2D-9EA8A399D959}"/>
    <cellStyle name="Standard 106 2 2" xfId="41122" xr:uid="{B9EF83AB-E6E5-4DA4-BED9-182F068EC446}"/>
    <cellStyle name="Standard 106 2 3" xfId="41980" xr:uid="{7EE80E9C-589C-4B13-ADE4-4BFB8F60DA0C}"/>
    <cellStyle name="Standard 106 3" xfId="40679" xr:uid="{21B48A59-9699-4657-9C68-D341CAE098F5}"/>
    <cellStyle name="Standard 106 4" xfId="41539" xr:uid="{9E573636-26D2-4218-AB9E-4622BF2C5527}"/>
    <cellStyle name="Standard 107" xfId="39671" xr:uid="{CA75A4DB-EF45-43E5-B3D3-13C46038CB35}"/>
    <cellStyle name="Standard 107 2" xfId="40218" xr:uid="{BD6B4C9E-315C-4264-924B-37DED9ACE5E2}"/>
    <cellStyle name="Standard 107 2 2" xfId="41123" xr:uid="{CB4391AE-86EE-4CE5-ABAF-EF10C19545A8}"/>
    <cellStyle name="Standard 107 2 3" xfId="41981" xr:uid="{905F1C70-73D3-4691-9F46-4B5E4F6722EA}"/>
    <cellStyle name="Standard 107 3" xfId="40680" xr:uid="{0358E1EB-2BD6-4056-964B-02B42A49D8CB}"/>
    <cellStyle name="Standard 107 4" xfId="41540" xr:uid="{160E9B63-C42A-4724-8627-22FAA845B8BF}"/>
    <cellStyle name="Standard 108" xfId="39672" xr:uid="{3EB6DC69-0FFE-437D-8AC1-1193C216F758}"/>
    <cellStyle name="Standard 108 2" xfId="40219" xr:uid="{118B8D57-368D-4B50-AB98-6F1A690E66A5}"/>
    <cellStyle name="Standard 108 2 2" xfId="41124" xr:uid="{1EB827F4-8281-4D39-9E7E-809E139101CB}"/>
    <cellStyle name="Standard 108 2 3" xfId="41982" xr:uid="{4B2DF821-1C0E-43F6-B21F-FCD4C2E4AD8B}"/>
    <cellStyle name="Standard 108 3" xfId="40681" xr:uid="{C30DC802-A202-4D5A-9C7D-A3F7BFAE4F0F}"/>
    <cellStyle name="Standard 108 4" xfId="41541" xr:uid="{83F408CC-89B1-4DD7-9BE1-2A94B4AA35BC}"/>
    <cellStyle name="Standard 109" xfId="39673" xr:uid="{78020157-0269-48BA-A951-B7D58D72016C}"/>
    <cellStyle name="Standard 109 2" xfId="40220" xr:uid="{8284953A-64B8-40C8-8BD7-FE61EAFFBA57}"/>
    <cellStyle name="Standard 109 2 2" xfId="41125" xr:uid="{7BB904FB-85F1-4D0D-9EA7-D5CB216054DD}"/>
    <cellStyle name="Standard 109 2 3" xfId="41983" xr:uid="{EAB30200-654C-4B49-ABB7-B07BA6624A5E}"/>
    <cellStyle name="Standard 109 3" xfId="40682" xr:uid="{4070D6D6-4EE2-4A68-B438-389AA22240B0}"/>
    <cellStyle name="Standard 109 4" xfId="41542" xr:uid="{ACD83B67-FE69-4C59-B3C2-BA7F9220E62D}"/>
    <cellStyle name="Standard 11" xfId="39674" xr:uid="{6019AD02-055E-4784-A871-74807364551E}"/>
    <cellStyle name="Standard 11 10" xfId="17170" xr:uid="{823DC75A-AFBD-4911-8A14-31FA1EF72F67}"/>
    <cellStyle name="Standard 11 10 2" xfId="17171" xr:uid="{03EDD3A2-CEEF-43D9-8402-3CA34172C3F9}"/>
    <cellStyle name="Standard 11 10 2 2" xfId="36608" xr:uid="{17AA6B92-018C-4A49-9768-DD747B3C24A9}"/>
    <cellStyle name="Standard 11 10 3" xfId="36607" xr:uid="{9E2D8877-0A01-4D6F-BECF-2BD83067723D}"/>
    <cellStyle name="Standard 11 11" xfId="17172" xr:uid="{E1815628-EB90-42BA-84A6-136CAA8E843A}"/>
    <cellStyle name="Standard 11 11 2" xfId="17173" xr:uid="{E88451A2-DCE1-46A6-B2E2-233DFADF9E9D}"/>
    <cellStyle name="Standard 11 11 2 2" xfId="36610" xr:uid="{F6B94C5E-BA79-48A1-AF48-12EDCE9C71B3}"/>
    <cellStyle name="Standard 11 11 3" xfId="36609" xr:uid="{99E6874B-030B-4021-A8D7-3EEC44F30643}"/>
    <cellStyle name="Standard 11 12" xfId="17174" xr:uid="{A1EFCD04-0E58-48EF-B28B-5F1ADFF01FA1}"/>
    <cellStyle name="Standard 11 12 2" xfId="17175" xr:uid="{CB6E2A4F-EBB0-444F-AEF3-B8C06971B255}"/>
    <cellStyle name="Standard 11 12 2 2" xfId="36612" xr:uid="{1A2D1625-DCFD-42C1-8B7C-17093530BB7D}"/>
    <cellStyle name="Standard 11 12 3" xfId="36611" xr:uid="{9B6A16C2-BB7A-4925-B7B2-2EE248493F84}"/>
    <cellStyle name="Standard 11 13" xfId="17176" xr:uid="{E1E9C6D0-2D89-4544-9FF3-E9A7C64328EB}"/>
    <cellStyle name="Standard 11 13 2" xfId="17177" xr:uid="{D09752AC-5131-4DB0-A949-4DFA23E69052}"/>
    <cellStyle name="Standard 11 13 2 2" xfId="36614" xr:uid="{7A4AEF1C-1C57-4400-9C10-7FB3CBED0AA6}"/>
    <cellStyle name="Standard 11 13 3" xfId="36613" xr:uid="{15667247-B552-4931-8DB1-DBF314AB2733}"/>
    <cellStyle name="Standard 11 14" xfId="17178" xr:uid="{E044026E-DDEC-4C23-B5B2-0CADAB92A51B}"/>
    <cellStyle name="Standard 11 14 2" xfId="17179" xr:uid="{5494E6F6-08FF-4E76-ADD1-F6083B049C23}"/>
    <cellStyle name="Standard 11 14 2 2" xfId="36616" xr:uid="{3FF467DB-7325-4692-9B84-D7173358CDE2}"/>
    <cellStyle name="Standard 11 14 3" xfId="36615" xr:uid="{CA59EC8C-3E48-452A-BF9E-8221D159C35C}"/>
    <cellStyle name="Standard 11 15" xfId="17180" xr:uid="{CFD29AA2-9530-41AD-9560-ECF1AD1A1088}"/>
    <cellStyle name="Standard 11 15 2" xfId="17181" xr:uid="{F08D0750-9261-4051-A472-8734B7603E95}"/>
    <cellStyle name="Standard 11 15 2 2" xfId="36618" xr:uid="{35F4A79F-62BC-4788-899B-92E9D5627C98}"/>
    <cellStyle name="Standard 11 15 3" xfId="36617" xr:uid="{2F1F6F30-B034-4575-A0BE-3B57E9298128}"/>
    <cellStyle name="Standard 11 16" xfId="17182" xr:uid="{C75409BB-737A-4827-A3BF-90F654905B93}"/>
    <cellStyle name="Standard 11 16 2" xfId="17183" xr:uid="{36543972-8780-463E-94B8-E7830DECCAFA}"/>
    <cellStyle name="Standard 11 16 2 2" xfId="36620" xr:uid="{81D52A05-10EE-4D06-B0F8-123F4248E635}"/>
    <cellStyle name="Standard 11 16 3" xfId="36619" xr:uid="{FEA48281-504D-4C1C-8AA7-FB83EB3138F7}"/>
    <cellStyle name="Standard 11 17" xfId="17184" xr:uid="{2E77C2E0-F713-4C1A-9EAF-F8B48F22FA3C}"/>
    <cellStyle name="Standard 11 17 2" xfId="17185" xr:uid="{C6F1AA2F-4675-4311-B671-E6B792370A78}"/>
    <cellStyle name="Standard 11 17 2 2" xfId="36622" xr:uid="{C65C2167-C5B9-4315-A075-1F3E02E2A50E}"/>
    <cellStyle name="Standard 11 17 3" xfId="36621" xr:uid="{132AD808-76E6-4BA8-B193-3B6BE74E7FC1}"/>
    <cellStyle name="Standard 11 18" xfId="17186" xr:uid="{616ED3CE-3238-40D9-B8CB-09E334D3547D}"/>
    <cellStyle name="Standard 11 18 2" xfId="17187" xr:uid="{9F306780-ECB6-4A88-9212-6698AD537C50}"/>
    <cellStyle name="Standard 11 18 2 2" xfId="36624" xr:uid="{D20C9E1A-27A8-437E-8001-38F6C9F83ED2}"/>
    <cellStyle name="Standard 11 18 3" xfId="36623" xr:uid="{5ABC2494-98CA-4F8B-B0CB-B4D10E5C9A9C}"/>
    <cellStyle name="Standard 11 19" xfId="17188" xr:uid="{2DB70782-8BC1-43DA-B940-9A6434D9CF11}"/>
    <cellStyle name="Standard 11 19 2" xfId="17189" xr:uid="{64DCA2AE-074D-4E65-839C-BC4FD1627ACF}"/>
    <cellStyle name="Standard 11 19 2 2" xfId="36626" xr:uid="{961D5BC8-B963-49D1-A035-5CA2EFC6CD05}"/>
    <cellStyle name="Standard 11 19 3" xfId="36625" xr:uid="{3DBF27C4-44D1-4F29-BDFF-C75992C317C4}"/>
    <cellStyle name="Standard 11 2" xfId="17190" xr:uid="{CEFCB217-B8AA-4CD8-8234-9D4BA0B7764C}"/>
    <cellStyle name="Standard 11 2 2" xfId="17191" xr:uid="{B7D9C2F6-0761-4657-899A-66AB86373747}"/>
    <cellStyle name="Standard 11 2 2 2" xfId="36628" xr:uid="{69364DA9-CCA3-4CD4-B656-AFE5D0DF4EA5}"/>
    <cellStyle name="Standard 11 2 2 2 2" xfId="41127" xr:uid="{CDFE138A-A1BC-48F0-B384-F3536AFA5F57}"/>
    <cellStyle name="Standard 11 2 2 3" xfId="41985" xr:uid="{CCABA9AD-8A63-46D3-940E-6890ECB6C171}"/>
    <cellStyle name="Standard 11 2 2 4" xfId="40222" xr:uid="{AAB165E2-7511-4D3C-923A-1DDBBBCC156C}"/>
    <cellStyle name="Standard 11 2 3" xfId="36627" xr:uid="{D3ACEA38-F93C-4822-B6B7-560ED2A6AE84}"/>
    <cellStyle name="Standard 11 2 3 2" xfId="40684" xr:uid="{CC47CCD7-81C1-4C8D-8DE5-E34607C58D88}"/>
    <cellStyle name="Standard 11 2 4" xfId="41544" xr:uid="{9C586698-A87F-4B65-90F5-E1CE514E1156}"/>
    <cellStyle name="Standard 11 2 5" xfId="39675" xr:uid="{FAD843DD-8A2A-47B2-9B1D-B141B8AF7A38}"/>
    <cellStyle name="Standard 11 20" xfId="17192" xr:uid="{A9ACA332-BAE2-4419-ACEA-E5BCE81B677C}"/>
    <cellStyle name="Standard 11 20 2" xfId="17193" xr:uid="{EFF048C4-0C58-469F-9B34-D0857E6FCDBB}"/>
    <cellStyle name="Standard 11 20 2 2" xfId="36630" xr:uid="{907E2D25-42B0-4055-8A7F-19D4E0D05ED8}"/>
    <cellStyle name="Standard 11 20 3" xfId="36629" xr:uid="{EBC43ADC-26D5-4FE4-8E6C-7B9B1222877B}"/>
    <cellStyle name="Standard 11 21" xfId="17194" xr:uid="{E429A7C1-08EF-42BB-A4AE-C5F393F7BD3C}"/>
    <cellStyle name="Standard 11 21 2" xfId="17195" xr:uid="{4BC5DCB7-B8E2-4B84-943B-78A26FB8C025}"/>
    <cellStyle name="Standard 11 21 2 2" xfId="36632" xr:uid="{BE8CBDC9-7B81-4E15-8A8F-703A0F713CE8}"/>
    <cellStyle name="Standard 11 21 3" xfId="36631" xr:uid="{E665A44C-AF20-4CBD-A8AE-1BEE5A2729F8}"/>
    <cellStyle name="Standard 11 22" xfId="17196" xr:uid="{20F93FEA-7058-43FC-9BE5-A99C8C729493}"/>
    <cellStyle name="Standard 11 22 2" xfId="36633" xr:uid="{3F70EBBC-B7F1-4758-B9A2-496943648E4E}"/>
    <cellStyle name="Standard 11 23" xfId="17197" xr:uid="{F805488A-D5E4-48D4-86A2-2BED18575639}"/>
    <cellStyle name="Standard 11 23 2" xfId="36634" xr:uid="{59D76EA8-4C76-4D30-B1C3-454019BB6BAF}"/>
    <cellStyle name="Standard 11 3" xfId="17198" xr:uid="{C58217E0-9EFC-45D6-9481-4E606D095591}"/>
    <cellStyle name="Standard 11 3 2" xfId="17199" xr:uid="{EF430A66-0371-4443-8332-C58B24AE0A0E}"/>
    <cellStyle name="Standard 11 3 2 2" xfId="36636" xr:uid="{16131B20-961C-41EC-A278-CB1AF3A1CC9D}"/>
    <cellStyle name="Standard 11 3 2 3" xfId="41126" xr:uid="{52A19BE5-4A0C-4099-9BEC-E20A072DDDCF}"/>
    <cellStyle name="Standard 11 3 3" xfId="36635" xr:uid="{E8499BF1-0EB1-474F-A209-9BFA4E7CD03F}"/>
    <cellStyle name="Standard 11 3 3 2" xfId="41984" xr:uid="{EBFFD6C2-8B96-4E64-8C3A-487BBFACDA12}"/>
    <cellStyle name="Standard 11 3 4" xfId="40221" xr:uid="{D7C2138F-2CC7-4C9C-BB86-A92F5F9F1F4B}"/>
    <cellStyle name="Standard 11 4" xfId="17200" xr:uid="{2A776921-6842-417F-9C50-14A5B03E036B}"/>
    <cellStyle name="Standard 11 4 2" xfId="17201" xr:uid="{0EAD23D2-B131-4644-82EF-3D3EED3DC918}"/>
    <cellStyle name="Standard 11 4 2 2" xfId="36638" xr:uid="{1010ACEB-B814-4CA9-97E8-A8296A30AD7D}"/>
    <cellStyle name="Standard 11 4 3" xfId="36637" xr:uid="{B355E2D3-12D3-49C5-89F6-943816371DA1}"/>
    <cellStyle name="Standard 11 4 4" xfId="40683" xr:uid="{F4397185-E307-498C-BE2E-C6D5C29C37B8}"/>
    <cellStyle name="Standard 11 5" xfId="17202" xr:uid="{0EA981D5-A595-4B8B-B0E0-F59D1ECA643A}"/>
    <cellStyle name="Standard 11 5 2" xfId="17203" xr:uid="{6AEDE67B-3C7A-4A06-98CF-A753C5A6067C}"/>
    <cellStyle name="Standard 11 5 2 2" xfId="36640" xr:uid="{2F8528E7-3178-4A37-9261-AB2CEF3F23E6}"/>
    <cellStyle name="Standard 11 5 3" xfId="36639" xr:uid="{102735F6-F068-4EE1-8155-D36EF61A25B4}"/>
    <cellStyle name="Standard 11 5 4" xfId="41543" xr:uid="{19BA4EC3-AD5A-4046-BD31-2FD41ED5EB09}"/>
    <cellStyle name="Standard 11 6" xfId="17204" xr:uid="{6DD2541C-9C67-4817-8716-69BECE1215D9}"/>
    <cellStyle name="Standard 11 6 2" xfId="17205" xr:uid="{120E1C0A-3279-4D48-A13C-EF055C138223}"/>
    <cellStyle name="Standard 11 6 2 2" xfId="36642" xr:uid="{74A08D7F-ADA9-4E81-96AF-24A852EE8361}"/>
    <cellStyle name="Standard 11 6 3" xfId="36641" xr:uid="{B029C168-15B9-49E3-ADCC-274903E7750A}"/>
    <cellStyle name="Standard 11 7" xfId="17206" xr:uid="{B2E7ACE7-F70E-4E1F-AA9F-9F14E30B26CA}"/>
    <cellStyle name="Standard 11 7 2" xfId="17207" xr:uid="{9D38C6C3-31AF-4F38-8E7E-1CE6733420AB}"/>
    <cellStyle name="Standard 11 7 2 2" xfId="36644" xr:uid="{72F46357-9847-428B-9EE2-4F87A0517AF5}"/>
    <cellStyle name="Standard 11 7 3" xfId="36643" xr:uid="{75CD23CC-A800-4227-9359-6937127ED459}"/>
    <cellStyle name="Standard 11 8" xfId="17208" xr:uid="{A36234CE-3C3D-4300-8212-853F35435EB8}"/>
    <cellStyle name="Standard 11 8 2" xfId="17209" xr:uid="{FCD47221-2443-4C17-A271-A92984C1E8E3}"/>
    <cellStyle name="Standard 11 8 2 2" xfId="36646" xr:uid="{3E59B07B-4D82-4ABC-9C56-A2D1B0B96306}"/>
    <cellStyle name="Standard 11 8 3" xfId="36645" xr:uid="{AE58B8A6-8CE6-4509-9E61-9138EEFEDFB8}"/>
    <cellStyle name="Standard 11 9" xfId="17210" xr:uid="{C18194C8-9B6D-41C8-9A6A-38125DEC5CF3}"/>
    <cellStyle name="Standard 11 9 2" xfId="17211" xr:uid="{B6438DA2-76C9-4E8B-8E27-BD9684BA0E3F}"/>
    <cellStyle name="Standard 11 9 2 2" xfId="36648" xr:uid="{498B698C-C42D-4C06-AB48-0D2D86A60CC0}"/>
    <cellStyle name="Standard 11 9 3" xfId="36647" xr:uid="{70C93232-A6CE-4BFC-A368-0E6048169450}"/>
    <cellStyle name="Standard 110" xfId="39676" xr:uid="{612E57EE-0073-414C-BC1B-2ED67A849F7A}"/>
    <cellStyle name="Standard 110 2" xfId="40223" xr:uid="{DE59AD85-6363-4210-B67C-56AB0539A462}"/>
    <cellStyle name="Standard 110 2 2" xfId="41128" xr:uid="{924E2141-D3D8-443A-9DB1-F043DCAC8CF5}"/>
    <cellStyle name="Standard 110 2 3" xfId="41986" xr:uid="{EBA45F7D-26E1-4879-A161-1463B37301D9}"/>
    <cellStyle name="Standard 110 3" xfId="40685" xr:uid="{668DD483-90D2-433F-B3A8-91CAADE02DD8}"/>
    <cellStyle name="Standard 110 4" xfId="41545" xr:uid="{E61CD99F-4565-4E30-BB56-7AD3ABF64DAA}"/>
    <cellStyle name="Standard 111" xfId="39677" xr:uid="{7091C3C0-23D6-4B2A-97AF-9A05E52A8BDF}"/>
    <cellStyle name="Standard 111 2" xfId="40224" xr:uid="{5384BDC1-C5B6-4914-A0BD-A3C49910A868}"/>
    <cellStyle name="Standard 111 2 2" xfId="41129" xr:uid="{0CB8AEE9-66A7-4C1D-8A54-9C83C5DD79EA}"/>
    <cellStyle name="Standard 111 2 3" xfId="41987" xr:uid="{50F9F39B-5A2B-4947-8B29-A8A7770A987A}"/>
    <cellStyle name="Standard 111 3" xfId="40686" xr:uid="{8D4447A4-FD7D-4E8A-936C-0B7F6392A177}"/>
    <cellStyle name="Standard 111 4" xfId="41546" xr:uid="{55DBCC41-8C32-4A11-8F4A-85867F9C948A}"/>
    <cellStyle name="Standard 112" xfId="39678" xr:uid="{B019C81E-0A81-4A0D-8D98-7182421E96D9}"/>
    <cellStyle name="Standard 112 2" xfId="40225" xr:uid="{5C964DAD-AB2A-4FF4-B0F1-AEC655B3FC65}"/>
    <cellStyle name="Standard 112 2 2" xfId="41130" xr:uid="{FC047343-3B64-4310-AE32-5713857B20DF}"/>
    <cellStyle name="Standard 112 2 3" xfId="41988" xr:uid="{E71F661B-6E24-4E59-AF36-E7C6BF8E6B0F}"/>
    <cellStyle name="Standard 112 3" xfId="40687" xr:uid="{A860615E-41AB-4D05-9D7F-92D1EA3F6AA7}"/>
    <cellStyle name="Standard 112 4" xfId="41547" xr:uid="{870805C9-8ECB-48F3-A062-A1E23B0E42BF}"/>
    <cellStyle name="Standard 113" xfId="39679" xr:uid="{FC6668BA-62C7-4A8F-A470-D1D820B1C70C}"/>
    <cellStyle name="Standard 113 2" xfId="40226" xr:uid="{329764D1-AF8A-4221-BD58-E98C0F4797E4}"/>
    <cellStyle name="Standard 113 2 2" xfId="41131" xr:uid="{AB023B43-9269-4CA9-8A30-062089E47135}"/>
    <cellStyle name="Standard 113 2 3" xfId="41989" xr:uid="{756E459A-9F5A-4F61-B0A3-75D520ED1A71}"/>
    <cellStyle name="Standard 113 3" xfId="40688" xr:uid="{FB936A0A-989D-4E4B-88DC-3744CA6CC91A}"/>
    <cellStyle name="Standard 113 4" xfId="41548" xr:uid="{E7A8AB19-C937-4CCA-891A-0D3EB04C832D}"/>
    <cellStyle name="Standard 114" xfId="39680" xr:uid="{32C25F19-5E09-4E10-9237-83E86B4E95DB}"/>
    <cellStyle name="Standard 114 2" xfId="40227" xr:uid="{3B840CB0-3891-421C-AFCE-C91D887E218B}"/>
    <cellStyle name="Standard 114 2 2" xfId="41132" xr:uid="{2F9A6FFF-0FFF-4644-AB8E-F146C32B2810}"/>
    <cellStyle name="Standard 114 2 3" xfId="41990" xr:uid="{5B5F0181-7309-4735-A5C9-6FFA7633DB02}"/>
    <cellStyle name="Standard 114 3" xfId="40689" xr:uid="{071E74B6-3001-4709-9433-B1EF1A66D7E5}"/>
    <cellStyle name="Standard 114 4" xfId="41549" xr:uid="{335206E5-9246-4BAD-AA89-62A2FE8BD248}"/>
    <cellStyle name="Standard 115" xfId="39681" xr:uid="{4DB45A0B-9525-41A9-A863-F874766B61A5}"/>
    <cellStyle name="Standard 115 2" xfId="40228" xr:uid="{253B5651-FA9C-48C9-84EB-473E1CEAB96A}"/>
    <cellStyle name="Standard 115 2 2" xfId="41133" xr:uid="{1F996089-A509-4609-A698-4119F0371507}"/>
    <cellStyle name="Standard 115 2 3" xfId="41991" xr:uid="{40482ED2-4D7A-405A-9510-9A41FC2BD66C}"/>
    <cellStyle name="Standard 115 3" xfId="40690" xr:uid="{D3BC02B2-01BE-48BA-84B5-7C9DA6736955}"/>
    <cellStyle name="Standard 115 4" xfId="41550" xr:uid="{D32D7ECE-6170-4B9C-A1BD-B2A771D3750A}"/>
    <cellStyle name="Standard 116" xfId="39682" xr:uid="{48024FA1-C2F1-40F9-84CD-3E9DF661EC0F}"/>
    <cellStyle name="Standard 116 2" xfId="40229" xr:uid="{1C35D112-F6EB-40ED-A53A-21CCB2BC66D7}"/>
    <cellStyle name="Standard 116 2 2" xfId="41134" xr:uid="{FCF84E0F-7E15-43EB-A99F-D7FE17C973AB}"/>
    <cellStyle name="Standard 116 2 3" xfId="41992" xr:uid="{FF4D5EF1-461A-4214-BB60-6E631C819A66}"/>
    <cellStyle name="Standard 116 3" xfId="40691" xr:uid="{7B264024-EDEF-4D11-920E-17307434B8F3}"/>
    <cellStyle name="Standard 116 4" xfId="41551" xr:uid="{A0796447-442A-435D-BDD6-1BB675CC452C}"/>
    <cellStyle name="Standard 117" xfId="39683" xr:uid="{904933B7-0308-48A9-AECD-13BFBCE356DF}"/>
    <cellStyle name="Standard 117 2" xfId="40230" xr:uid="{02A42416-C98B-4647-BDB1-45E504C5DCC9}"/>
    <cellStyle name="Standard 117 2 2" xfId="41135" xr:uid="{D9D19B7B-84B0-42C3-8B19-45DD9E8114D0}"/>
    <cellStyle name="Standard 117 2 3" xfId="41993" xr:uid="{5A9CDFA5-CF11-4240-93BB-F5D35C429C0B}"/>
    <cellStyle name="Standard 117 3" xfId="40692" xr:uid="{04ED0726-BC55-4137-B89C-D91AC7D12CD0}"/>
    <cellStyle name="Standard 117 4" xfId="41552" xr:uid="{BB17134C-5C35-43B5-96C2-9C3BB56D26FD}"/>
    <cellStyle name="Standard 118" xfId="39684" xr:uid="{6E1EB385-E56B-43DB-A567-120C8FE86C48}"/>
    <cellStyle name="Standard 118 2" xfId="40231" xr:uid="{F610B87C-84EB-4543-A8B0-D28A02BFA42D}"/>
    <cellStyle name="Standard 118 2 2" xfId="41136" xr:uid="{6B8CC594-B75E-4AA8-89A5-AA31135C214E}"/>
    <cellStyle name="Standard 118 2 3" xfId="41994" xr:uid="{3568F2D9-50CB-4D8E-A676-A754880F72B7}"/>
    <cellStyle name="Standard 118 3" xfId="40693" xr:uid="{F3626980-3556-477D-B3AE-240FD5817E67}"/>
    <cellStyle name="Standard 118 4" xfId="41553" xr:uid="{2D42FF86-B814-4FA2-B92C-ABAD7633024C}"/>
    <cellStyle name="Standard 119" xfId="39685" xr:uid="{37151549-3E7F-43DD-9959-FB115DF181D6}"/>
    <cellStyle name="Standard 119 2" xfId="40232" xr:uid="{807F9CD8-8780-4B8E-9617-8F4914F468FD}"/>
    <cellStyle name="Standard 119 2 2" xfId="41137" xr:uid="{C92B138F-10F5-4C05-8B2F-9D1EE69F74BF}"/>
    <cellStyle name="Standard 119 2 3" xfId="41995" xr:uid="{925914FE-3728-45CB-9361-7CFD2331382C}"/>
    <cellStyle name="Standard 119 3" xfId="40694" xr:uid="{FC8F04B0-E350-4A95-944B-800C9D5B969B}"/>
    <cellStyle name="Standard 119 4" xfId="41554" xr:uid="{846409E9-539C-4011-A96F-E25B9CA3AA83}"/>
    <cellStyle name="Standard 12" xfId="39686" xr:uid="{68E1EC08-10B7-4CB2-9876-B8919C1C9224}"/>
    <cellStyle name="Standard 12 10" xfId="17212" xr:uid="{2B692F86-42B9-43A4-9E5D-E9324F369334}"/>
    <cellStyle name="Standard 12 10 2" xfId="17213" xr:uid="{45ABCE29-153C-442D-8F89-CAA2B439B80B}"/>
    <cellStyle name="Standard 12 10 2 2" xfId="36650" xr:uid="{AEF843EC-3CDD-4036-9722-E038430EE52F}"/>
    <cellStyle name="Standard 12 10 3" xfId="36649" xr:uid="{D72CB3AD-A360-49FD-9B7C-AF4D765165B2}"/>
    <cellStyle name="Standard 12 11" xfId="17214" xr:uid="{E33622FA-DDC0-480F-BE83-AAD9FE8BF02F}"/>
    <cellStyle name="Standard 12 11 2" xfId="17215" xr:uid="{B388FE9C-1DD8-4598-BFEA-823E0FFE5D51}"/>
    <cellStyle name="Standard 12 11 2 2" xfId="36652" xr:uid="{5A8D49A0-600A-4D38-86E5-96B261241BBD}"/>
    <cellStyle name="Standard 12 11 3" xfId="36651" xr:uid="{5EFCCBEF-1F44-4DF3-8B85-C0AA7511AD38}"/>
    <cellStyle name="Standard 12 12" xfId="17216" xr:uid="{2CF7DCA5-2240-48ED-9B71-1B48A6DAC8E6}"/>
    <cellStyle name="Standard 12 12 2" xfId="17217" xr:uid="{C634CED5-7F45-42B5-8A3A-0F11B1C3D869}"/>
    <cellStyle name="Standard 12 12 2 2" xfId="36654" xr:uid="{CE42D4BB-88A4-4506-A0B7-D45BAC7C9F15}"/>
    <cellStyle name="Standard 12 12 3" xfId="36653" xr:uid="{5F65753A-C7BF-4583-AD17-1AB892008913}"/>
    <cellStyle name="Standard 12 13" xfId="17218" xr:uid="{3F90087B-1682-42DA-8DCA-1922D9FC92D7}"/>
    <cellStyle name="Standard 12 13 2" xfId="17219" xr:uid="{F5942DF5-6E85-42B5-AAA6-43CEFC9CE118}"/>
    <cellStyle name="Standard 12 13 2 2" xfId="36656" xr:uid="{F567227B-A694-43A9-827C-4054581B5FF8}"/>
    <cellStyle name="Standard 12 13 3" xfId="36655" xr:uid="{AF411D1E-1C49-4FF9-AEC9-C95A9B7C8754}"/>
    <cellStyle name="Standard 12 14" xfId="17220" xr:uid="{FF57F198-9249-4DAF-8170-AE84D88E1044}"/>
    <cellStyle name="Standard 12 14 2" xfId="17221" xr:uid="{BF41D784-FF75-462F-9E7B-FF844ABACC95}"/>
    <cellStyle name="Standard 12 14 2 2" xfId="36658" xr:uid="{06158EC3-69CF-40D2-9FCF-1510FD3DD09C}"/>
    <cellStyle name="Standard 12 14 3" xfId="36657" xr:uid="{E14B6A4E-C7C7-4518-8522-EF224946B7DA}"/>
    <cellStyle name="Standard 12 15" xfId="17222" xr:uid="{2AEC6B31-6D27-4663-8709-B818E856F01B}"/>
    <cellStyle name="Standard 12 15 2" xfId="17223" xr:uid="{16DF153A-FD98-42E1-82CB-4C6D2BDBF72B}"/>
    <cellStyle name="Standard 12 15 2 2" xfId="36660" xr:uid="{5BE6D20A-D76A-4E56-9714-C41DDBF27D60}"/>
    <cellStyle name="Standard 12 15 3" xfId="36659" xr:uid="{046D480F-E77F-4263-90DC-E37CE59DCE4F}"/>
    <cellStyle name="Standard 12 16" xfId="17224" xr:uid="{EAACF39B-D563-444F-B41D-638019AD2F29}"/>
    <cellStyle name="Standard 12 16 2" xfId="17225" xr:uid="{5762D533-9502-4E82-9714-C35B9DB2F36D}"/>
    <cellStyle name="Standard 12 16 2 2" xfId="36662" xr:uid="{90C3495B-822C-46E6-A891-503F947EDAAE}"/>
    <cellStyle name="Standard 12 16 3" xfId="36661" xr:uid="{2D2B0092-BE12-40D2-A840-97D8CD28DCB9}"/>
    <cellStyle name="Standard 12 17" xfId="17226" xr:uid="{F371BEA6-8AEA-44A4-A2B4-43A64E820104}"/>
    <cellStyle name="Standard 12 17 2" xfId="17227" xr:uid="{F97D98A7-7768-40B4-9322-40BEC5520BDF}"/>
    <cellStyle name="Standard 12 17 2 2" xfId="36664" xr:uid="{07250FBE-C5B7-46FD-BAA5-BB67D4FEE201}"/>
    <cellStyle name="Standard 12 17 3" xfId="36663" xr:uid="{D705E954-CD31-40E4-938B-FA8907EBC440}"/>
    <cellStyle name="Standard 12 18" xfId="17228" xr:uid="{564BBCAF-9DBC-42DD-8322-B3641450CD2D}"/>
    <cellStyle name="Standard 12 18 2" xfId="17229" xr:uid="{2067686D-F2D8-40C3-9FB8-363E9975ADD3}"/>
    <cellStyle name="Standard 12 18 2 2" xfId="36666" xr:uid="{155037B8-EBDE-4A9A-9504-A5D5C20266B5}"/>
    <cellStyle name="Standard 12 18 3" xfId="36665" xr:uid="{9830DDE1-FAE2-4BE5-B72C-F4E111ABFE96}"/>
    <cellStyle name="Standard 12 19" xfId="17230" xr:uid="{25823D6E-FB79-4F8F-99BF-48BDB0ED3F93}"/>
    <cellStyle name="Standard 12 19 2" xfId="17231" xr:uid="{BF19D577-7597-4E18-9F75-343C35BA31CB}"/>
    <cellStyle name="Standard 12 19 2 2" xfId="36668" xr:uid="{7390D84B-433F-490C-8382-0A6F026474E8}"/>
    <cellStyle name="Standard 12 19 3" xfId="36667" xr:uid="{1A3001C7-4B89-45DB-A47E-8D283A89C99A}"/>
    <cellStyle name="Standard 12 2" xfId="17232" xr:uid="{E754C370-B5DE-4FDA-B235-408FF364DF77}"/>
    <cellStyle name="Standard 12 2 2" xfId="17233" xr:uid="{9C9D1E52-FF4F-4B73-9E6A-B23CE0AF8C27}"/>
    <cellStyle name="Standard 12 2 2 2" xfId="36670" xr:uid="{5E3122BE-97D5-4B40-8E74-2354DF379AFD}"/>
    <cellStyle name="Standard 12 2 2 2 2" xfId="41139" xr:uid="{A342BCB7-B99A-4747-9537-A546F8A413BF}"/>
    <cellStyle name="Standard 12 2 2 3" xfId="41997" xr:uid="{4D3CD403-2543-4228-AC76-5842956C9F0B}"/>
    <cellStyle name="Standard 12 2 2 4" xfId="40234" xr:uid="{BFD8A3D0-BE13-4C20-9C5A-F75BDB22031C}"/>
    <cellStyle name="Standard 12 2 3" xfId="36669" xr:uid="{F398A4D2-7076-431D-BE03-08089B2DF03E}"/>
    <cellStyle name="Standard 12 2 3 2" xfId="40696" xr:uid="{DE22522C-A15E-4CA6-A7DE-C6886780BBF3}"/>
    <cellStyle name="Standard 12 2 4" xfId="41556" xr:uid="{CEAD5A38-537F-4280-8586-01EE6835E6CE}"/>
    <cellStyle name="Standard 12 2 5" xfId="39687" xr:uid="{378CDE51-5E22-4A62-BA3C-D616F184DD20}"/>
    <cellStyle name="Standard 12 20" xfId="17234" xr:uid="{114C8A04-CAB2-4EBD-B581-4A5E0CB676B9}"/>
    <cellStyle name="Standard 12 20 2" xfId="17235" xr:uid="{C3F6C8C4-DE71-498C-8C7A-45B254404FED}"/>
    <cellStyle name="Standard 12 20 2 2" xfId="36672" xr:uid="{C1D41E15-D83F-47F9-8F68-2F941C93CCA2}"/>
    <cellStyle name="Standard 12 20 3" xfId="36671" xr:uid="{4A8B44D4-2AEC-4C89-ADC3-C1A3BE6A254E}"/>
    <cellStyle name="Standard 12 21" xfId="17236" xr:uid="{AADD8233-9C6F-4C7C-AFD4-4DFF55F97D8C}"/>
    <cellStyle name="Standard 12 21 2" xfId="17237" xr:uid="{B1A9A97E-0DE6-4320-9B2F-80625478D16F}"/>
    <cellStyle name="Standard 12 21 2 2" xfId="36674" xr:uid="{0CE2214F-7E3A-41D8-B261-AEF714EBB420}"/>
    <cellStyle name="Standard 12 21 3" xfId="36673" xr:uid="{1A8F296B-42B4-4D86-956E-A8453A79F144}"/>
    <cellStyle name="Standard 12 22" xfId="17238" xr:uid="{81236D81-6BAD-4CC3-AFC7-FAA83C80E475}"/>
    <cellStyle name="Standard 12 22 2" xfId="36675" xr:uid="{D941D5E9-0287-423C-A21A-4728A0E57E4F}"/>
    <cellStyle name="Standard 12 3" xfId="17239" xr:uid="{61F32780-06EE-4901-85B7-E785171F80D7}"/>
    <cellStyle name="Standard 12 3 2" xfId="17240" xr:uid="{D5FB021F-D5A6-4470-AFB0-5503F866DBEE}"/>
    <cellStyle name="Standard 12 3 2 2" xfId="36677" xr:uid="{95507AF7-7A3F-44E7-A3D9-7166EDD90C95}"/>
    <cellStyle name="Standard 12 3 2 3" xfId="41138" xr:uid="{AFA329BF-1690-4F02-A66C-A762E8E964B1}"/>
    <cellStyle name="Standard 12 3 3" xfId="36676" xr:uid="{F929C24C-9709-4EA2-A76D-ED9E953B8B14}"/>
    <cellStyle name="Standard 12 3 3 2" xfId="41996" xr:uid="{7EC76AD3-0FEC-485C-9639-14A2969F408A}"/>
    <cellStyle name="Standard 12 3 4" xfId="40233" xr:uid="{E56D93C1-2ED4-4D1B-9C7F-3EC6452A2941}"/>
    <cellStyle name="Standard 12 4" xfId="17241" xr:uid="{0F689529-FF00-47DF-B484-4F971C72E577}"/>
    <cellStyle name="Standard 12 4 2" xfId="17242" xr:uid="{D736FAFA-60D8-4516-99BB-7A39D2A5CDBF}"/>
    <cellStyle name="Standard 12 4 2 2" xfId="36679" xr:uid="{F1D017EF-1208-4B59-9871-93C3CE7B65C6}"/>
    <cellStyle name="Standard 12 4 3" xfId="36678" xr:uid="{9E5D51FA-E8FE-4AAD-BF31-05CC765D302F}"/>
    <cellStyle name="Standard 12 4 4" xfId="40695" xr:uid="{38CF5629-37BF-4AA4-AF89-B766D257790F}"/>
    <cellStyle name="Standard 12 5" xfId="17243" xr:uid="{63A20458-E9E8-428B-AF91-3AEBA9E14E18}"/>
    <cellStyle name="Standard 12 5 2" xfId="17244" xr:uid="{BD83D08A-2509-4692-925A-BC182CBE5504}"/>
    <cellStyle name="Standard 12 5 2 2" xfId="36681" xr:uid="{094572FE-E938-4351-87F7-453CCFFE41C0}"/>
    <cellStyle name="Standard 12 5 3" xfId="36680" xr:uid="{D75B5D81-A3DB-492E-A9CA-EBECA3F63E0F}"/>
    <cellStyle name="Standard 12 5 4" xfId="41555" xr:uid="{78F0EACC-24C7-48AA-8088-6D52695DFE2F}"/>
    <cellStyle name="Standard 12 6" xfId="17245" xr:uid="{20418F1F-3642-425F-84E8-DD182119AF6B}"/>
    <cellStyle name="Standard 12 6 2" xfId="17246" xr:uid="{62A6D850-AF9A-4A21-898C-AD911AA9D82F}"/>
    <cellStyle name="Standard 12 6 2 2" xfId="36683" xr:uid="{C2A72763-936F-4933-9C01-F332A052C3B3}"/>
    <cellStyle name="Standard 12 6 3" xfId="36682" xr:uid="{09BA49E6-9134-42F8-96DA-968D601581D1}"/>
    <cellStyle name="Standard 12 7" xfId="17247" xr:uid="{41EFCCC4-6C04-46CC-999E-88135FE19D97}"/>
    <cellStyle name="Standard 12 7 2" xfId="17248" xr:uid="{6BE818BA-66BA-4E99-9229-318573207B4D}"/>
    <cellStyle name="Standard 12 7 2 2" xfId="36685" xr:uid="{3D1CABD9-8077-4538-ADB7-7E933F8A2A4F}"/>
    <cellStyle name="Standard 12 7 3" xfId="36684" xr:uid="{13E71616-717D-4EAF-969A-E709F616052A}"/>
    <cellStyle name="Standard 12 8" xfId="17249" xr:uid="{DB185F23-4477-4FB5-8392-4E8FB5E20BAA}"/>
    <cellStyle name="Standard 12 8 2" xfId="17250" xr:uid="{88E55A97-D08D-49AD-B342-C1E89E709BE0}"/>
    <cellStyle name="Standard 12 8 2 2" xfId="36687" xr:uid="{F783484A-D1AD-48FE-AF82-EA1E671C8594}"/>
    <cellStyle name="Standard 12 8 3" xfId="36686" xr:uid="{261CF461-A1E0-4180-833C-63CD1BA8F486}"/>
    <cellStyle name="Standard 12 9" xfId="17251" xr:uid="{3C1BD794-2DC0-497A-88D0-178D5B2242DD}"/>
    <cellStyle name="Standard 12 9 2" xfId="17252" xr:uid="{7498B739-AED5-4E9D-8160-4E6AA10180C1}"/>
    <cellStyle name="Standard 12 9 2 2" xfId="36689" xr:uid="{83B1B9EB-311A-4050-9A7B-54F1CBD78D7E}"/>
    <cellStyle name="Standard 12 9 3" xfId="36688" xr:uid="{982CAE44-D7E9-432A-94FA-58F94D2FD0F9}"/>
    <cellStyle name="Standard 120" xfId="39688" xr:uid="{C6E856B3-A6E8-40B2-A555-C9C7DF133689}"/>
    <cellStyle name="Standard 120 2" xfId="40235" xr:uid="{BDCAFCFA-E178-4FE3-91FC-9C0D77EEB120}"/>
    <cellStyle name="Standard 120 2 2" xfId="41140" xr:uid="{54FFF7A1-8740-4F1E-92A3-956417EC51F5}"/>
    <cellStyle name="Standard 120 2 3" xfId="41998" xr:uid="{C70E1335-1E40-4EAA-88A1-E2ACB8DB124B}"/>
    <cellStyle name="Standard 120 3" xfId="40697" xr:uid="{93371817-986A-42C7-A485-DFA8B6255878}"/>
    <cellStyle name="Standard 120 4" xfId="41557" xr:uid="{883CB1D3-0D66-43B4-926A-48A2B77998D9}"/>
    <cellStyle name="Standard 121" xfId="39689" xr:uid="{EBCB5ACA-63DB-4848-B9C6-5328E69E43BE}"/>
    <cellStyle name="Standard 121 2" xfId="40236" xr:uid="{64FF9095-F74C-41AB-B6C5-B593C0A86CAC}"/>
    <cellStyle name="Standard 121 2 2" xfId="41141" xr:uid="{0DE6EB71-3886-403E-A81D-72BD5AC4BA0B}"/>
    <cellStyle name="Standard 121 2 3" xfId="41999" xr:uid="{79965B83-3CC8-4E9A-9DB0-13434CE37C09}"/>
    <cellStyle name="Standard 121 3" xfId="40698" xr:uid="{5522C4B5-096A-43AE-91AB-658B192EC260}"/>
    <cellStyle name="Standard 121 4" xfId="41558" xr:uid="{87BA00FD-2DCF-4EFB-9589-E3976E602DEF}"/>
    <cellStyle name="Standard 122" xfId="39690" xr:uid="{1D3B6C73-091A-4BA3-9897-1FC24B81E57B}"/>
    <cellStyle name="Standard 122 2" xfId="40237" xr:uid="{178491D4-C62F-44BE-BC5F-71007689B94E}"/>
    <cellStyle name="Standard 122 2 2" xfId="41142" xr:uid="{1D408E7D-3DE2-49ED-83C5-DDA3E13C662B}"/>
    <cellStyle name="Standard 122 2 3" xfId="42000" xr:uid="{304E30C4-9EAF-469E-964F-F55CC899212E}"/>
    <cellStyle name="Standard 122 3" xfId="40699" xr:uid="{D99FB818-8A86-4C44-B9E4-6CC915C5CB9F}"/>
    <cellStyle name="Standard 122 4" xfId="41559" xr:uid="{C73B3B15-8D47-4FE9-84C5-CE2563042781}"/>
    <cellStyle name="Standard 123" xfId="39691" xr:uid="{877EA42F-D33A-471E-804B-0F90B46CDA6C}"/>
    <cellStyle name="Standard 123 2" xfId="40238" xr:uid="{EB1C6FE0-1038-4C75-98A1-E3A26AAF6A15}"/>
    <cellStyle name="Standard 123 2 2" xfId="41143" xr:uid="{6292D9CA-CC16-419E-AC54-44F5232AAEEE}"/>
    <cellStyle name="Standard 123 2 3" xfId="42001" xr:uid="{FF13A931-44F0-4094-B760-79B288479B0A}"/>
    <cellStyle name="Standard 123 3" xfId="40700" xr:uid="{D676040E-F535-476E-8529-C86376B8B72F}"/>
    <cellStyle name="Standard 123 4" xfId="41560" xr:uid="{F2799368-222F-4996-B9D8-4F90008AA496}"/>
    <cellStyle name="Standard 124" xfId="39692" xr:uid="{27F7CF5D-1AFD-4BD2-BF2E-09DC57F6C478}"/>
    <cellStyle name="Standard 124 2" xfId="40239" xr:uid="{F7118F34-973C-4164-9D84-6BF4926C28D2}"/>
    <cellStyle name="Standard 124 2 2" xfId="41144" xr:uid="{47B1EBAF-33C9-46C3-A038-EC14BE2DB1AD}"/>
    <cellStyle name="Standard 124 2 3" xfId="42002" xr:uid="{2A36C492-8982-4D10-AC62-C689EF394E4F}"/>
    <cellStyle name="Standard 124 3" xfId="40701" xr:uid="{2D1408D0-C2B5-43E8-BDA6-10D5970595DD}"/>
    <cellStyle name="Standard 124 4" xfId="41561" xr:uid="{69A45B8F-4BDF-409A-AD15-D6AE215E574F}"/>
    <cellStyle name="Standard 125" xfId="40240" xr:uid="{EA5D61A6-0E4D-4769-B7F1-EF38037BE359}"/>
    <cellStyle name="Standard 126" xfId="39" xr:uid="{048958C7-F8F1-4B11-8A61-F86CD4B27EB8}"/>
    <cellStyle name="Standard 13" xfId="39693" xr:uid="{E16DD5EE-9B43-4235-B7B2-655E61FA11B3}"/>
    <cellStyle name="Standard 13 10" xfId="17253" xr:uid="{761472C9-083E-471A-A265-1E31F54F18B2}"/>
    <cellStyle name="Standard 13 10 2" xfId="17254" xr:uid="{C81519BA-E423-4CB3-BF11-51C17BDFCBD3}"/>
    <cellStyle name="Standard 13 10 2 2" xfId="36691" xr:uid="{AC9D8384-4342-475E-A392-84FC675A564A}"/>
    <cellStyle name="Standard 13 10 3" xfId="36690" xr:uid="{97C48103-B8B9-4F37-A7EC-EE0D89D124A6}"/>
    <cellStyle name="Standard 13 11" xfId="17255" xr:uid="{2907BD63-7654-465B-AFA4-26FC0E5D30EB}"/>
    <cellStyle name="Standard 13 11 2" xfId="17256" xr:uid="{93B4606A-21A7-47DF-A91C-481FB3596A58}"/>
    <cellStyle name="Standard 13 11 2 2" xfId="36693" xr:uid="{376C4A24-40C1-4345-B778-77A4FB246E1D}"/>
    <cellStyle name="Standard 13 11 3" xfId="36692" xr:uid="{2A2984D5-D6B1-4357-BE08-2D0358F5D49E}"/>
    <cellStyle name="Standard 13 12" xfId="17257" xr:uid="{ED251F5C-8CF3-47E9-8890-3CE552C1503D}"/>
    <cellStyle name="Standard 13 12 2" xfId="17258" xr:uid="{1B8FA2F3-8F6E-4DD3-87A9-9CF3DD1AB0D1}"/>
    <cellStyle name="Standard 13 12 2 2" xfId="36695" xr:uid="{1F76DF55-D599-4790-848C-9BB921D1EC7B}"/>
    <cellStyle name="Standard 13 12 3" xfId="36694" xr:uid="{A41A57DF-5B36-424C-9F1F-93E9378C6602}"/>
    <cellStyle name="Standard 13 13" xfId="17259" xr:uid="{F9EA6BD9-60B4-453E-9E96-8ED7ACD998FE}"/>
    <cellStyle name="Standard 13 13 2" xfId="17260" xr:uid="{C9791F0D-5FCC-437F-A7B8-ED6294C15DCA}"/>
    <cellStyle name="Standard 13 13 2 2" xfId="36697" xr:uid="{09FD7251-CE13-4523-B1D7-BB9D4EB95EBE}"/>
    <cellStyle name="Standard 13 13 3" xfId="36696" xr:uid="{F46466A7-022F-4954-A181-5A3816E4B87B}"/>
    <cellStyle name="Standard 13 14" xfId="17261" xr:uid="{5676303C-3878-4A94-AECC-F55C85F41777}"/>
    <cellStyle name="Standard 13 14 2" xfId="17262" xr:uid="{302994DD-EB31-4328-A3DD-4611036CA2A2}"/>
    <cellStyle name="Standard 13 14 2 2" xfId="36699" xr:uid="{74D43F9C-834D-49AC-81F7-E4D57BA3A21F}"/>
    <cellStyle name="Standard 13 14 3" xfId="36698" xr:uid="{0B954B8D-407D-4878-BDE9-93C9BC4B9618}"/>
    <cellStyle name="Standard 13 15" xfId="17263" xr:uid="{267C36CE-D4E1-40BE-9DB3-3ACEED5DFAB9}"/>
    <cellStyle name="Standard 13 15 2" xfId="17264" xr:uid="{7CFD73B1-C616-454A-B335-B16DC24CFCFA}"/>
    <cellStyle name="Standard 13 15 2 2" xfId="36701" xr:uid="{7E3AF2AF-B2E9-4D98-BC5B-96B368CBBF3B}"/>
    <cellStyle name="Standard 13 15 3" xfId="36700" xr:uid="{24219085-992A-4C2B-A7F5-110D2B2CD8A1}"/>
    <cellStyle name="Standard 13 16" xfId="17265" xr:uid="{7D85778A-BA72-4768-B733-1EAAA83F44EF}"/>
    <cellStyle name="Standard 13 16 2" xfId="17266" xr:uid="{1E99294A-B59E-400C-9F3D-EBE1FE191469}"/>
    <cellStyle name="Standard 13 16 2 2" xfId="36703" xr:uid="{4D2532BD-6085-4E85-9AAE-C6973E0B005D}"/>
    <cellStyle name="Standard 13 16 3" xfId="36702" xr:uid="{CB443D06-4E7B-4E5F-ABE4-86A9FBB0DFAF}"/>
    <cellStyle name="Standard 13 17" xfId="17267" xr:uid="{70C918DB-CA1C-4C00-9A36-60940AF92983}"/>
    <cellStyle name="Standard 13 17 2" xfId="17268" xr:uid="{82BB4B72-CF52-4243-A434-7EDEC5369379}"/>
    <cellStyle name="Standard 13 17 2 2" xfId="36705" xr:uid="{4A091051-E585-406C-9000-298F2B837B8E}"/>
    <cellStyle name="Standard 13 17 3" xfId="36704" xr:uid="{26E59F75-11F9-4CF2-B777-CB426EFDC119}"/>
    <cellStyle name="Standard 13 18" xfId="17269" xr:uid="{5B015956-F90B-4296-92E6-771B0D6D6C9B}"/>
    <cellStyle name="Standard 13 18 2" xfId="17270" xr:uid="{1DB1BF49-AD14-4D25-A3EF-DA30FEA55980}"/>
    <cellStyle name="Standard 13 18 2 2" xfId="36707" xr:uid="{560B05DB-05C2-414B-80D4-14C4AED4FCD3}"/>
    <cellStyle name="Standard 13 18 3" xfId="36706" xr:uid="{1D963A1D-2913-43BC-BF89-3AF016513AAB}"/>
    <cellStyle name="Standard 13 19" xfId="17271" xr:uid="{B04139AB-929A-4755-A5E2-524F4338D94C}"/>
    <cellStyle name="Standard 13 19 2" xfId="17272" xr:uid="{60FC29FB-187D-422C-9E75-7AA9B17374CC}"/>
    <cellStyle name="Standard 13 19 2 2" xfId="36709" xr:uid="{5456173A-91A0-4CCC-B27B-0841245307C5}"/>
    <cellStyle name="Standard 13 19 3" xfId="36708" xr:uid="{7B39BD72-64B8-4D40-884A-015418312701}"/>
    <cellStyle name="Standard 13 2" xfId="17273" xr:uid="{10FCF338-7702-40A2-A5AE-6A81E79293C1}"/>
    <cellStyle name="Standard 13 2 2" xfId="17274" xr:uid="{7F64CDD1-45BE-40A9-A66F-ECD0CC6A2A2C}"/>
    <cellStyle name="Standard 13 2 2 2" xfId="36711" xr:uid="{8A0D8076-4909-4728-8645-50A74938B6DD}"/>
    <cellStyle name="Standard 13 2 2 2 2" xfId="41146" xr:uid="{EE1BC07E-E769-401C-A7D9-68D6CFB5D9E2}"/>
    <cellStyle name="Standard 13 2 2 3" xfId="42004" xr:uid="{2A860D88-607E-4389-A87C-9DB4D354663F}"/>
    <cellStyle name="Standard 13 2 2 4" xfId="40242" xr:uid="{DC9B070A-CF56-4EE4-9A69-3ED284AF493C}"/>
    <cellStyle name="Standard 13 2 3" xfId="36710" xr:uid="{56EB83AD-50D1-42EE-A674-DF1BF04CE59D}"/>
    <cellStyle name="Standard 13 2 3 2" xfId="40703" xr:uid="{F7E64C06-7998-426F-BAB6-FE3D8FE3ADD6}"/>
    <cellStyle name="Standard 13 2 4" xfId="41563" xr:uid="{C80DD08E-2B12-4502-809C-A060A85D3367}"/>
    <cellStyle name="Standard 13 2 5" xfId="39694" xr:uid="{E2ED23B7-DE71-4C8D-BCBE-FEBDC387D9C2}"/>
    <cellStyle name="Standard 13 20" xfId="17275" xr:uid="{5CFD454B-5DF2-48E5-9180-06A3DC76EC13}"/>
    <cellStyle name="Standard 13 20 2" xfId="17276" xr:uid="{D77D5DB7-A19C-41D0-A2D6-CF09BCECF65B}"/>
    <cellStyle name="Standard 13 20 2 2" xfId="36713" xr:uid="{83BD6C49-A1D7-4872-BBA0-E243F6D1695E}"/>
    <cellStyle name="Standard 13 20 3" xfId="36712" xr:uid="{DBA9F243-C5BC-462B-819B-9C4471447611}"/>
    <cellStyle name="Standard 13 21" xfId="17277" xr:uid="{FE4355FD-806D-4481-9296-CDD40E86D2D7}"/>
    <cellStyle name="Standard 13 21 2" xfId="17278" xr:uid="{FC133912-5D29-41A2-9B73-A7D45EB7B4A5}"/>
    <cellStyle name="Standard 13 21 2 2" xfId="36715" xr:uid="{292EEE83-2675-4F4B-AA5F-62560F7B84C4}"/>
    <cellStyle name="Standard 13 21 3" xfId="36714" xr:uid="{BCA7910F-9C95-4A7E-BEDB-56BC93CBE742}"/>
    <cellStyle name="Standard 13 22" xfId="17279" xr:uid="{A3ACEDC9-6A17-4F3A-BC62-B812AE47FB76}"/>
    <cellStyle name="Standard 13 22 2" xfId="36716" xr:uid="{D2F867C8-9769-445D-9A96-2774C647F454}"/>
    <cellStyle name="Standard 13 23" xfId="17280" xr:uid="{06109D62-088D-44BA-A5F9-17E432FAAC92}"/>
    <cellStyle name="Standard 13 23 2" xfId="36717" xr:uid="{61F33A74-6501-4DFF-AE1C-B4C4B289B43A}"/>
    <cellStyle name="Standard 13 3" xfId="17281" xr:uid="{FD1FD59B-D87C-4845-BE5F-4CD360C00718}"/>
    <cellStyle name="Standard 13 3 2" xfId="17282" xr:uid="{2E0D133B-0662-4515-A18A-58F36FAF1F70}"/>
    <cellStyle name="Standard 13 3 2 2" xfId="36719" xr:uid="{939F2465-3CCE-454D-B2BF-5E02342203ED}"/>
    <cellStyle name="Standard 13 3 2 3" xfId="41145" xr:uid="{6E40C1B2-F0B7-4601-90F2-9D24A3102006}"/>
    <cellStyle name="Standard 13 3 3" xfId="36718" xr:uid="{5DE79AD4-3B75-4D34-A14A-F84E8CB32118}"/>
    <cellStyle name="Standard 13 3 3 2" xfId="42003" xr:uid="{0B40F3B9-D562-4B93-AAEC-81AE72ABD1F4}"/>
    <cellStyle name="Standard 13 3 4" xfId="40241" xr:uid="{9E0C4D25-6B97-4614-8D47-86DF2386A583}"/>
    <cellStyle name="Standard 13 4" xfId="17283" xr:uid="{91747EC1-526D-4FCF-B2ED-2EE92241E96C}"/>
    <cellStyle name="Standard 13 4 2" xfId="17284" xr:uid="{72F0DEB1-A4BB-4561-9758-FFA2A5220D8E}"/>
    <cellStyle name="Standard 13 4 2 2" xfId="36721" xr:uid="{99752BE1-6D37-4740-83CE-45653597BFD1}"/>
    <cellStyle name="Standard 13 4 3" xfId="36720" xr:uid="{B6BF5796-CB8B-4D92-B0BE-763070A319B1}"/>
    <cellStyle name="Standard 13 4 4" xfId="40702" xr:uid="{E1698D78-7C88-42B3-BF90-1BD10F6BB806}"/>
    <cellStyle name="Standard 13 5" xfId="17285" xr:uid="{D31F32D8-64B0-4205-9281-32EBA21EA35A}"/>
    <cellStyle name="Standard 13 5 2" xfId="17286" xr:uid="{14D19E2D-B1CC-4659-A570-6F498D9DD4A4}"/>
    <cellStyle name="Standard 13 5 2 2" xfId="36723" xr:uid="{5B8E74C5-AA5C-40BA-A52B-43143B5C3259}"/>
    <cellStyle name="Standard 13 5 3" xfId="36722" xr:uid="{46713EEF-9C50-4759-BA6B-EA8663D43431}"/>
    <cellStyle name="Standard 13 5 4" xfId="41562" xr:uid="{4C4EB82D-625D-4FA5-81A2-B890A414737A}"/>
    <cellStyle name="Standard 13 6" xfId="17287" xr:uid="{4C6457B8-E53B-4E82-A5A5-E47E5D990277}"/>
    <cellStyle name="Standard 13 6 2" xfId="17288" xr:uid="{9EE02B1B-89D8-40DE-89BF-02A512879FFB}"/>
    <cellStyle name="Standard 13 6 2 2" xfId="36725" xr:uid="{E1DBEE01-D4D5-4F54-968A-365539280F93}"/>
    <cellStyle name="Standard 13 6 3" xfId="36724" xr:uid="{7DD74427-D44D-484E-9729-B9A48DA410D0}"/>
    <cellStyle name="Standard 13 7" xfId="17289" xr:uid="{760244ED-39B1-4075-92C9-B19F1E5E685F}"/>
    <cellStyle name="Standard 13 7 2" xfId="17290" xr:uid="{64769909-5E54-4938-BC06-7FC9EE2D8750}"/>
    <cellStyle name="Standard 13 7 2 2" xfId="36727" xr:uid="{8D12397B-57D6-4DCE-A49C-F0404F9AA11C}"/>
    <cellStyle name="Standard 13 7 3" xfId="36726" xr:uid="{0E0D13BA-C205-43B1-93B8-F8FC2777B44F}"/>
    <cellStyle name="Standard 13 8" xfId="17291" xr:uid="{65CE4F97-C282-425A-AAFC-7556ACFC4B32}"/>
    <cellStyle name="Standard 13 8 2" xfId="17292" xr:uid="{CE32693E-E1B4-4508-874E-952ADBFABE8D}"/>
    <cellStyle name="Standard 13 8 2 2" xfId="36729" xr:uid="{0EB93B61-0A42-4CF2-8BBF-D34B9EA9EDA1}"/>
    <cellStyle name="Standard 13 8 3" xfId="36728" xr:uid="{3FFFC4BD-A522-4D16-92B0-E32947D35661}"/>
    <cellStyle name="Standard 13 9" xfId="17293" xr:uid="{02AA1F11-9096-45EC-AEA2-D0D5AE34B15B}"/>
    <cellStyle name="Standard 13 9 2" xfId="17294" xr:uid="{4C152241-A154-4F48-8548-61B9618FAC6A}"/>
    <cellStyle name="Standard 13 9 2 2" xfId="36731" xr:uid="{22B8C26B-00D1-4FFE-8017-91F5727E8508}"/>
    <cellStyle name="Standard 13 9 3" xfId="36730" xr:uid="{6C5A9690-1732-4899-ADB6-3259B1EFA5EA}"/>
    <cellStyle name="Standard 14" xfId="39695" xr:uid="{46614FA3-6B3E-4D52-9E8C-CF4B63FBEA42}"/>
    <cellStyle name="Standard 14 10" xfId="17295" xr:uid="{FE561E58-7FC8-46D5-BBEF-0EDDDBA4AC73}"/>
    <cellStyle name="Standard 14 10 2" xfId="17296" xr:uid="{A90F5EB1-80AF-49D6-AEA9-72F0A419B6A0}"/>
    <cellStyle name="Standard 14 10 2 2" xfId="36733" xr:uid="{908D0D23-8614-4D0E-8682-A302E245400D}"/>
    <cellStyle name="Standard 14 10 3" xfId="36732" xr:uid="{AB13E715-F321-4892-9B8F-BDCF29648EF0}"/>
    <cellStyle name="Standard 14 11" xfId="17297" xr:uid="{5CB143E2-7573-4293-8F7A-7EB39114BB3D}"/>
    <cellStyle name="Standard 14 11 2" xfId="17298" xr:uid="{27282F86-5B44-4217-A9F1-6577BE77E066}"/>
    <cellStyle name="Standard 14 11 2 2" xfId="36735" xr:uid="{BD48F916-CAE2-4AB0-85B0-EE0BC28561F1}"/>
    <cellStyle name="Standard 14 11 3" xfId="36734" xr:uid="{888298DD-28BC-45BF-85D3-4A663B035DB7}"/>
    <cellStyle name="Standard 14 12" xfId="17299" xr:uid="{F96AB82C-09C2-4DB6-958E-DF72CA964E59}"/>
    <cellStyle name="Standard 14 12 2" xfId="17300" xr:uid="{1BD8A665-E9E4-4E7B-8C75-009D30B229EA}"/>
    <cellStyle name="Standard 14 12 2 2" xfId="36737" xr:uid="{49C1B1ED-96E9-4DA3-9DAF-EE0BCB1E845E}"/>
    <cellStyle name="Standard 14 12 3" xfId="36736" xr:uid="{D7B74D43-70C4-410E-A5E3-AFA933D746AD}"/>
    <cellStyle name="Standard 14 13" xfId="17301" xr:uid="{4B9E7733-9E73-4CF1-A0D1-CCB7710AC1CA}"/>
    <cellStyle name="Standard 14 13 2" xfId="17302" xr:uid="{41CE2CAC-63F6-42BB-AB9C-37C212299EE6}"/>
    <cellStyle name="Standard 14 13 2 2" xfId="36739" xr:uid="{9596093C-AA8E-42E8-BCB6-C35ADD4BBB2E}"/>
    <cellStyle name="Standard 14 13 3" xfId="36738" xr:uid="{88D791CC-ABDD-4144-BCD9-8D1DB540A2BD}"/>
    <cellStyle name="Standard 14 14" xfId="17303" xr:uid="{DA61A809-4D26-404A-8499-36A6B9D4F493}"/>
    <cellStyle name="Standard 14 14 2" xfId="17304" xr:uid="{BA13E3D5-6AC5-45CE-9D04-72380A1CCBAB}"/>
    <cellStyle name="Standard 14 14 2 2" xfId="36741" xr:uid="{7471A46A-AFD7-4EED-A275-26FF98D49C75}"/>
    <cellStyle name="Standard 14 14 3" xfId="36740" xr:uid="{91107FEF-E99A-4B3C-B2F0-20FF96AA0DB5}"/>
    <cellStyle name="Standard 14 15" xfId="17305" xr:uid="{2E9C4ACA-9817-4E12-8A4D-D80B936F462A}"/>
    <cellStyle name="Standard 14 15 2" xfId="17306" xr:uid="{4EEDFD8C-8311-4239-9494-47C7E7A53BBB}"/>
    <cellStyle name="Standard 14 15 2 2" xfId="36743" xr:uid="{D07C2697-7F52-4877-B661-C61D2E1C2832}"/>
    <cellStyle name="Standard 14 15 3" xfId="36742" xr:uid="{7866BC74-940E-4346-B41E-81E971FDC885}"/>
    <cellStyle name="Standard 14 16" xfId="17307" xr:uid="{E9F57EB0-C331-4505-B258-0643A5DB6701}"/>
    <cellStyle name="Standard 14 16 2" xfId="17308" xr:uid="{8CCBDC36-36BC-4F79-9D73-6BA08B5FA612}"/>
    <cellStyle name="Standard 14 16 2 2" xfId="36745" xr:uid="{542E0D9C-CA80-4767-99B3-A8C9FEA0058D}"/>
    <cellStyle name="Standard 14 16 3" xfId="36744" xr:uid="{99679DD8-4047-42D8-B98D-CAEC3E4C35E0}"/>
    <cellStyle name="Standard 14 17" xfId="17309" xr:uid="{4BE86139-8289-4F14-9110-2865B5C9DCC4}"/>
    <cellStyle name="Standard 14 17 2" xfId="17310" xr:uid="{2422598F-20C8-49EC-8E00-90039307547F}"/>
    <cellStyle name="Standard 14 17 2 2" xfId="36747" xr:uid="{4C9858FB-E314-4472-A734-CF1A2696605F}"/>
    <cellStyle name="Standard 14 17 3" xfId="36746" xr:uid="{2DFF0AE4-59FF-4B30-BCBE-12630436C55E}"/>
    <cellStyle name="Standard 14 18" xfId="17311" xr:uid="{F09E49E9-7269-434D-979F-49DDFBC4BFB8}"/>
    <cellStyle name="Standard 14 18 2" xfId="17312" xr:uid="{D81F5AD6-38C7-4A7E-B8BE-5BBD22DA6B94}"/>
    <cellStyle name="Standard 14 18 2 2" xfId="36749" xr:uid="{F2F85108-33FA-45A7-9B97-5459BD9FC753}"/>
    <cellStyle name="Standard 14 18 3" xfId="36748" xr:uid="{663F1C40-56F0-4160-BD9A-B33E7809D289}"/>
    <cellStyle name="Standard 14 19" xfId="17313" xr:uid="{A4804D89-0895-4D54-BA9B-352E83B12F8D}"/>
    <cellStyle name="Standard 14 19 2" xfId="17314" xr:uid="{64114B92-FAED-492F-B78C-0E4F4E1E60AE}"/>
    <cellStyle name="Standard 14 19 2 2" xfId="36751" xr:uid="{7C468C2D-4C4A-495E-9D6C-7E6D4ED20FFB}"/>
    <cellStyle name="Standard 14 19 3" xfId="36750" xr:uid="{A619B460-2956-492A-A21E-3073899A04DB}"/>
    <cellStyle name="Standard 14 2" xfId="17315" xr:uid="{CE991225-F6BA-4396-8A6B-6029A8B1C12E}"/>
    <cellStyle name="Standard 14 2 2" xfId="17316" xr:uid="{6D2360D8-CB7D-4518-AC2B-8242758C8B3D}"/>
    <cellStyle name="Standard 14 2 2 2" xfId="36753" xr:uid="{B1459BCB-C474-410D-82FC-1A57DABA4651}"/>
    <cellStyle name="Standard 14 2 2 2 2" xfId="41148" xr:uid="{CDA919C4-FDFD-4A4D-8AF1-91CA5E75FE90}"/>
    <cellStyle name="Standard 14 2 2 3" xfId="42006" xr:uid="{D4290202-C37A-4A52-B46C-83F5ACD24BCB}"/>
    <cellStyle name="Standard 14 2 2 4" xfId="40244" xr:uid="{FF87FA06-2C94-455A-8967-FE28C474BA6E}"/>
    <cellStyle name="Standard 14 2 3" xfId="36752" xr:uid="{AC99E52F-8D8D-4B89-B620-D1AD23EC4CFF}"/>
    <cellStyle name="Standard 14 2 3 2" xfId="40705" xr:uid="{79DA007F-B845-486F-9639-81E61D856F09}"/>
    <cellStyle name="Standard 14 2 4" xfId="41565" xr:uid="{F589839E-36E8-4E23-8B9C-6A54141EAF0D}"/>
    <cellStyle name="Standard 14 2 5" xfId="39696" xr:uid="{EE07DDB4-6D30-4273-8756-00D8D54B5B37}"/>
    <cellStyle name="Standard 14 20" xfId="17317" xr:uid="{530E41CD-3429-4633-A503-1F9351ABD298}"/>
    <cellStyle name="Standard 14 20 2" xfId="17318" xr:uid="{803DE1D2-99C2-4B6E-94FD-662B39165375}"/>
    <cellStyle name="Standard 14 20 2 2" xfId="36755" xr:uid="{7F1D4AFA-800B-46DC-AB73-02276B1E7491}"/>
    <cellStyle name="Standard 14 20 3" xfId="36754" xr:uid="{56166FD0-F60C-44BE-984E-14FD00E0B925}"/>
    <cellStyle name="Standard 14 21" xfId="17319" xr:uid="{7D43211D-9C37-4DB2-A8C7-E84AEBF55B7C}"/>
    <cellStyle name="Standard 14 21 2" xfId="17320" xr:uid="{89E96824-672B-4B7E-999C-728B5F754F12}"/>
    <cellStyle name="Standard 14 21 2 2" xfId="36757" xr:uid="{909B92B6-9BE0-40A7-B362-320DDAFCD069}"/>
    <cellStyle name="Standard 14 21 3" xfId="36756" xr:uid="{25B8614F-9F1A-49DD-9109-3C176FBBB9E3}"/>
    <cellStyle name="Standard 14 22" xfId="17321" xr:uid="{4ABB313B-283B-402D-B512-1F454524D9B0}"/>
    <cellStyle name="Standard 14 22 2" xfId="36758" xr:uid="{DD872DC0-A4C0-4D44-BB1A-269A9C3E4127}"/>
    <cellStyle name="Standard 14 23" xfId="17322" xr:uid="{C5FFDC84-FE4D-4566-AEE4-C6656F1A519F}"/>
    <cellStyle name="Standard 14 23 2" xfId="36759" xr:uid="{9B5C0840-FCBF-49E1-BED7-45526800DDC7}"/>
    <cellStyle name="Standard 14 3" xfId="17323" xr:uid="{CE5727D3-B873-4E21-9266-060167855636}"/>
    <cellStyle name="Standard 14 3 2" xfId="17324" xr:uid="{D0110DBE-9632-4AFC-B05F-E3C61F56D62B}"/>
    <cellStyle name="Standard 14 3 2 2" xfId="36761" xr:uid="{9520DF15-1C01-4D18-8758-0C9649B92FB3}"/>
    <cellStyle name="Standard 14 3 2 3" xfId="41147" xr:uid="{DB805130-D672-48BB-8F9A-E9F93FBEE421}"/>
    <cellStyle name="Standard 14 3 3" xfId="36760" xr:uid="{8E52804C-56FA-4C94-A48B-1E87C48D014A}"/>
    <cellStyle name="Standard 14 3 3 2" xfId="42005" xr:uid="{EB7114F9-2090-4714-B464-467D073A9735}"/>
    <cellStyle name="Standard 14 3 4" xfId="40243" xr:uid="{C7609233-4DCD-4371-8BC5-E68079E0B842}"/>
    <cellStyle name="Standard 14 4" xfId="17325" xr:uid="{68393A0D-ECA6-4214-8958-6F83CBBFC0C8}"/>
    <cellStyle name="Standard 14 4 2" xfId="17326" xr:uid="{1539F12E-AD03-49B0-B285-34AA44A91EC7}"/>
    <cellStyle name="Standard 14 4 2 2" xfId="36763" xr:uid="{144DF4B5-940B-4DB6-A629-9B1A778EF818}"/>
    <cellStyle name="Standard 14 4 3" xfId="36762" xr:uid="{20C415A9-27CB-4018-8127-6E0B3105E918}"/>
    <cellStyle name="Standard 14 4 4" xfId="40704" xr:uid="{1648E682-6B7D-464E-8319-B92BCB2B1D5C}"/>
    <cellStyle name="Standard 14 5" xfId="17327" xr:uid="{5F57337B-CF85-4B75-B2FF-077719677952}"/>
    <cellStyle name="Standard 14 5 2" xfId="17328" xr:uid="{AA620FAE-2BB5-4B39-A884-EBA83485AF3F}"/>
    <cellStyle name="Standard 14 5 2 2" xfId="36765" xr:uid="{EEFA8197-D369-4AC0-9B36-366D8D8A0279}"/>
    <cellStyle name="Standard 14 5 3" xfId="36764" xr:uid="{95CB6A58-48D4-48D4-94A7-438761E625B4}"/>
    <cellStyle name="Standard 14 5 4" xfId="41564" xr:uid="{0BE6E482-8A4C-459A-9DEE-5FD1F2D82829}"/>
    <cellStyle name="Standard 14 6" xfId="17329" xr:uid="{B849F5FA-5DFC-4827-8536-011B3D9367DE}"/>
    <cellStyle name="Standard 14 6 2" xfId="17330" xr:uid="{9A61C9FC-5555-41C0-B02F-22D231C2DB8C}"/>
    <cellStyle name="Standard 14 6 2 2" xfId="36767" xr:uid="{7B54AA89-4EA8-4FD1-A78C-D4CE8337C53D}"/>
    <cellStyle name="Standard 14 6 3" xfId="36766" xr:uid="{0A12AF41-AFAD-4A6A-A5AA-28CC26C5FB26}"/>
    <cellStyle name="Standard 14 7" xfId="17331" xr:uid="{432B7653-FE7C-453F-95F6-75D24C9D418E}"/>
    <cellStyle name="Standard 14 7 2" xfId="17332" xr:uid="{9DCF1BD4-C657-4D51-B4FD-EAACBF1DC129}"/>
    <cellStyle name="Standard 14 7 2 2" xfId="36769" xr:uid="{69BCB1AC-45B4-4F27-ADD9-9D542635D5D2}"/>
    <cellStyle name="Standard 14 7 3" xfId="36768" xr:uid="{D67E3A22-4425-4829-B75E-F62A0BCEDB2F}"/>
    <cellStyle name="Standard 14 8" xfId="17333" xr:uid="{9BE576F5-50DB-493C-A750-4D1B2389A88F}"/>
    <cellStyle name="Standard 14 8 2" xfId="17334" xr:uid="{07BE3879-0F3A-4B66-9D46-F5A156BD06C6}"/>
    <cellStyle name="Standard 14 8 2 2" xfId="36771" xr:uid="{7861ABB1-9A6C-47A2-8EE0-72BB49CF9F91}"/>
    <cellStyle name="Standard 14 8 3" xfId="36770" xr:uid="{560D6701-7835-4258-BAD4-4DC18F191D02}"/>
    <cellStyle name="Standard 14 9" xfId="17335" xr:uid="{330A8393-F246-4D8D-BEB2-5F2EC86898C8}"/>
    <cellStyle name="Standard 14 9 2" xfId="17336" xr:uid="{29811739-250C-4E3C-B7D0-4ADA037B45B3}"/>
    <cellStyle name="Standard 14 9 2 2" xfId="36773" xr:uid="{39903E93-F9A6-4BE5-ACB0-31E3E29BB355}"/>
    <cellStyle name="Standard 14 9 3" xfId="36772" xr:uid="{BA98594B-96B4-4A1A-BCD4-32F40C6581C0}"/>
    <cellStyle name="Standard 15" xfId="39697" xr:uid="{5A8604E6-7D02-4715-9542-00099406C872}"/>
    <cellStyle name="Standard 15 10" xfId="17337" xr:uid="{23B33683-0248-4A6F-B75C-78CB3CD67B85}"/>
    <cellStyle name="Standard 15 10 2" xfId="17338" xr:uid="{41E3A72A-2788-41D6-A6CD-288D76855EC4}"/>
    <cellStyle name="Standard 15 10 2 2" xfId="36775" xr:uid="{F2BD2A23-6142-4532-8021-320950235FC0}"/>
    <cellStyle name="Standard 15 10 3" xfId="36774" xr:uid="{ED8766B4-C5B4-49B1-9287-AFF6E8C763C1}"/>
    <cellStyle name="Standard 15 11" xfId="17339" xr:uid="{282328B4-F47C-4185-AE10-C840EFDBA8F4}"/>
    <cellStyle name="Standard 15 11 2" xfId="17340" xr:uid="{F7C06001-5878-40DA-9D3A-05DDB0CA370F}"/>
    <cellStyle name="Standard 15 11 2 2" xfId="36777" xr:uid="{AE90752C-FA8D-49D1-B0E8-EB1CA4B1DE9A}"/>
    <cellStyle name="Standard 15 11 3" xfId="36776" xr:uid="{345CE2E1-AF74-4D28-A129-72FDFAE9AE56}"/>
    <cellStyle name="Standard 15 12" xfId="17341" xr:uid="{5992F16E-FFA3-42A4-A168-B2A510701850}"/>
    <cellStyle name="Standard 15 12 2" xfId="17342" xr:uid="{8A5CE80B-C138-49E8-BEF4-721242834EA0}"/>
    <cellStyle name="Standard 15 12 2 2" xfId="36779" xr:uid="{4A88F949-075B-46FC-87E5-84A230C715D1}"/>
    <cellStyle name="Standard 15 12 3" xfId="36778" xr:uid="{3DBF8D58-BBDE-4356-9B41-2F4DC52C62F5}"/>
    <cellStyle name="Standard 15 13" xfId="17343" xr:uid="{21158A0C-A208-47B5-B617-D3B72B9ED73F}"/>
    <cellStyle name="Standard 15 13 2" xfId="17344" xr:uid="{541B4278-ACC4-4329-AD01-78CB1A05BACB}"/>
    <cellStyle name="Standard 15 13 2 2" xfId="36781" xr:uid="{CDC67376-F236-408E-A8B0-E93CF7DDE257}"/>
    <cellStyle name="Standard 15 13 3" xfId="36780" xr:uid="{CA844F75-9B9E-4989-8654-05E90AFEF85F}"/>
    <cellStyle name="Standard 15 14" xfId="17345" xr:uid="{B9FEBC36-C9DC-4AF1-873E-06B96CBA20CC}"/>
    <cellStyle name="Standard 15 14 2" xfId="17346" xr:uid="{D6B3F2D5-F9CF-4E98-A64B-1221C6EF02B3}"/>
    <cellStyle name="Standard 15 14 2 2" xfId="36783" xr:uid="{A64FE83A-0132-483D-B047-5D6962A73E77}"/>
    <cellStyle name="Standard 15 14 3" xfId="36782" xr:uid="{CE6B747B-279C-4A4A-AF12-3FA2A3B5EBD8}"/>
    <cellStyle name="Standard 15 15" xfId="17347" xr:uid="{A8BAFA1F-75FD-4C47-97B0-F0E4CD28DF62}"/>
    <cellStyle name="Standard 15 15 2" xfId="17348" xr:uid="{FBB27139-7C9A-4831-8D2B-DB255C6CACAB}"/>
    <cellStyle name="Standard 15 15 2 2" xfId="36785" xr:uid="{8C183E32-30BC-4B69-97BF-1BF4C83A8FD5}"/>
    <cellStyle name="Standard 15 15 3" xfId="36784" xr:uid="{987E79A6-D030-4EC7-A602-5BAE3AEDB4EA}"/>
    <cellStyle name="Standard 15 16" xfId="17349" xr:uid="{609D20AD-313D-4713-8DBD-C752FAEB9EC7}"/>
    <cellStyle name="Standard 15 16 2" xfId="17350" xr:uid="{2A3B17D6-B9C4-44DC-A97C-67304C80AE6E}"/>
    <cellStyle name="Standard 15 16 2 2" xfId="36787" xr:uid="{64F3E65E-E4DD-48C8-B980-6B217F98DBC0}"/>
    <cellStyle name="Standard 15 16 3" xfId="36786" xr:uid="{B14E4646-62BC-4BAF-B703-346CF64DB565}"/>
    <cellStyle name="Standard 15 17" xfId="17351" xr:uid="{1210E10C-6B64-4919-85F0-B78FE16E8C29}"/>
    <cellStyle name="Standard 15 17 2" xfId="17352" xr:uid="{9C7AAAC0-48E7-48E4-9FDF-CAFB8A49313A}"/>
    <cellStyle name="Standard 15 17 2 2" xfId="36789" xr:uid="{6D90B1D3-9AF3-4490-9932-C8C5029AB986}"/>
    <cellStyle name="Standard 15 17 3" xfId="36788" xr:uid="{9B34207A-DA73-4F76-A067-A1F7A99108F3}"/>
    <cellStyle name="Standard 15 18" xfId="17353" xr:uid="{79D8BF37-6470-4EB2-8F71-D05819CA5AE8}"/>
    <cellStyle name="Standard 15 18 2" xfId="17354" xr:uid="{A2C7F56B-E204-4E97-AE04-06FCE5A2772E}"/>
    <cellStyle name="Standard 15 18 2 2" xfId="36791" xr:uid="{D48EFA44-BB24-4B62-9A54-093AB875AA09}"/>
    <cellStyle name="Standard 15 18 3" xfId="36790" xr:uid="{AC6D99FD-4B90-4407-B2C3-147E8DB0BBBF}"/>
    <cellStyle name="Standard 15 19" xfId="17355" xr:uid="{0490DDF1-E0CD-4694-AAEF-56CFAD8E5CED}"/>
    <cellStyle name="Standard 15 19 2" xfId="17356" xr:uid="{6048A7A9-3885-4853-BB0D-7D6124D1A819}"/>
    <cellStyle name="Standard 15 19 2 2" xfId="36793" xr:uid="{ADE10BB1-894D-4BAE-A07E-73A0F63E9AF1}"/>
    <cellStyle name="Standard 15 19 3" xfId="36792" xr:uid="{B5BA4F3D-C723-4372-8875-9941F40503FE}"/>
    <cellStyle name="Standard 15 2" xfId="17357" xr:uid="{094EA76D-FE27-4046-B682-F3335111B0E8}"/>
    <cellStyle name="Standard 15 2 2" xfId="17358" xr:uid="{B9134E12-2ED8-4B63-90B3-CC74DB7514B1}"/>
    <cellStyle name="Standard 15 2 2 2" xfId="36795" xr:uid="{0835F4CB-0FBA-49EB-B83E-6C51F0FE8678}"/>
    <cellStyle name="Standard 15 2 2 2 2" xfId="41150" xr:uid="{224B3CA3-6C90-4D4F-9785-2F910BFD7C34}"/>
    <cellStyle name="Standard 15 2 2 3" xfId="42008" xr:uid="{C9B621D8-8501-4575-9C44-BB4C9735F1BF}"/>
    <cellStyle name="Standard 15 2 2 4" xfId="40246" xr:uid="{D258728B-0C13-4751-B269-14608CD956D7}"/>
    <cellStyle name="Standard 15 2 3" xfId="36794" xr:uid="{14AFD808-2C63-4BD3-B59A-55EC7212BA21}"/>
    <cellStyle name="Standard 15 2 3 2" xfId="40707" xr:uid="{80822A84-098D-4C7B-BD07-BDDA66ADB9D2}"/>
    <cellStyle name="Standard 15 2 4" xfId="41567" xr:uid="{9CED1B8C-800C-4D37-8394-68843A614EDE}"/>
    <cellStyle name="Standard 15 2 5" xfId="39698" xr:uid="{5EE0AEDB-243C-4B0F-AFAB-7BE9CD5ECDD9}"/>
    <cellStyle name="Standard 15 20" xfId="17359" xr:uid="{164977B6-206E-458E-B564-CFFC0F2F8368}"/>
    <cellStyle name="Standard 15 20 2" xfId="17360" xr:uid="{7F47AF38-2DF6-43E2-A651-AA94B7B5566E}"/>
    <cellStyle name="Standard 15 20 2 2" xfId="36797" xr:uid="{CC0D0F84-B580-47B1-956B-C708F30B3FFB}"/>
    <cellStyle name="Standard 15 20 3" xfId="36796" xr:uid="{7D856E74-71F7-4C29-A649-62E194A44AAD}"/>
    <cellStyle name="Standard 15 21" xfId="17361" xr:uid="{622AE297-BADB-407C-B544-698A97D1E27B}"/>
    <cellStyle name="Standard 15 21 2" xfId="17362" xr:uid="{2F5BFB6A-6577-4A7A-90A1-8D7CF74536D1}"/>
    <cellStyle name="Standard 15 21 2 2" xfId="36799" xr:uid="{F146CD49-EF44-4281-A841-60A53A904B56}"/>
    <cellStyle name="Standard 15 21 3" xfId="36798" xr:uid="{D833413F-7D16-4E81-A2AC-AEF08C20685D}"/>
    <cellStyle name="Standard 15 22" xfId="17363" xr:uid="{636BFCE9-B916-455C-86AC-5EA823D7A944}"/>
    <cellStyle name="Standard 15 22 2" xfId="36800" xr:uid="{7F950FC5-B00A-4A98-A52B-E9B2A5A01FE3}"/>
    <cellStyle name="Standard 15 23" xfId="17364" xr:uid="{40FD8407-852C-4BFB-9B4C-6904F8B33331}"/>
    <cellStyle name="Standard 15 23 2" xfId="36801" xr:uid="{5DD65EAE-A2FF-4BFC-99FD-7343FEEC5014}"/>
    <cellStyle name="Standard 15 3" xfId="17365" xr:uid="{B975FC3C-CE5D-49B9-B9AF-D4CD1F5492BE}"/>
    <cellStyle name="Standard 15 3 2" xfId="17366" xr:uid="{4C4DA58C-C0BC-429C-A33D-E7F8F9A5B8D9}"/>
    <cellStyle name="Standard 15 3 2 2" xfId="36803" xr:uid="{D5A28645-14B1-45C0-A013-88D931EDBDE0}"/>
    <cellStyle name="Standard 15 3 2 3" xfId="41149" xr:uid="{A11D5DDC-3983-426B-A996-9DAB34510C6E}"/>
    <cellStyle name="Standard 15 3 3" xfId="36802" xr:uid="{77312FA1-958B-4031-98F7-62A28ED70A5D}"/>
    <cellStyle name="Standard 15 3 3 2" xfId="42007" xr:uid="{3D1A28FB-CF64-4112-8B5A-94723E7B8AB5}"/>
    <cellStyle name="Standard 15 3 4" xfId="40245" xr:uid="{C1D60DF8-8212-4A0D-B231-9550653292FE}"/>
    <cellStyle name="Standard 15 4" xfId="17367" xr:uid="{9B1DA5AE-AC94-42EC-A7E3-B91819FE9481}"/>
    <cellStyle name="Standard 15 4 2" xfId="17368" xr:uid="{CBD4F43D-A23D-4FB0-A4D3-1D0F69F30C4B}"/>
    <cellStyle name="Standard 15 4 2 2" xfId="36805" xr:uid="{31468E91-1E96-44FA-92A9-89C1C45B5BD2}"/>
    <cellStyle name="Standard 15 4 3" xfId="36804" xr:uid="{2B8E952C-6E2B-48F3-8B9D-8DBA1285B4BD}"/>
    <cellStyle name="Standard 15 4 4" xfId="40706" xr:uid="{086DCDA9-611E-49FF-B0CD-B0BEB8215660}"/>
    <cellStyle name="Standard 15 5" xfId="17369" xr:uid="{C35347C4-C842-483D-B9B9-AA50106D6AC6}"/>
    <cellStyle name="Standard 15 5 2" xfId="17370" xr:uid="{D5C97E6B-BF24-48A3-9462-38DF9A81A98F}"/>
    <cellStyle name="Standard 15 5 2 2" xfId="36807" xr:uid="{9294EAC5-6D96-4A9E-B570-30C2DDB958CB}"/>
    <cellStyle name="Standard 15 5 3" xfId="36806" xr:uid="{CA960551-2427-4903-88D9-F274FB72DF3C}"/>
    <cellStyle name="Standard 15 5 4" xfId="41566" xr:uid="{3961ADFD-4394-45D1-9B6D-4EE776CD2564}"/>
    <cellStyle name="Standard 15 6" xfId="17371" xr:uid="{F562F2D5-31EA-4996-B3C1-B199FFD01024}"/>
    <cellStyle name="Standard 15 6 2" xfId="17372" xr:uid="{57ADAA33-FB63-465C-91EE-78BA68647D4B}"/>
    <cellStyle name="Standard 15 6 2 2" xfId="36809" xr:uid="{297366D2-528A-46BF-8221-BCCBCC49AB83}"/>
    <cellStyle name="Standard 15 6 3" xfId="36808" xr:uid="{A527F1DD-F2CC-412E-9971-69A14DE3C56B}"/>
    <cellStyle name="Standard 15 7" xfId="17373" xr:uid="{79EC099C-FD95-4C82-A164-4EC6E59C6FD2}"/>
    <cellStyle name="Standard 15 7 2" xfId="17374" xr:uid="{281FAAA0-0D02-4936-B587-2143300D9253}"/>
    <cellStyle name="Standard 15 7 2 2" xfId="36811" xr:uid="{245BB51B-71D7-43FB-AF61-2A914BD033E2}"/>
    <cellStyle name="Standard 15 7 3" xfId="36810" xr:uid="{65FBB148-49D4-4BAA-BA99-E5B1CE4BF76F}"/>
    <cellStyle name="Standard 15 8" xfId="17375" xr:uid="{ECE94EDD-01A0-4861-B3D9-5981A81AD6BE}"/>
    <cellStyle name="Standard 15 8 2" xfId="17376" xr:uid="{C5A2CBD2-8346-40F6-B32C-8D0EB01D06B0}"/>
    <cellStyle name="Standard 15 8 2 2" xfId="36813" xr:uid="{5108A9ED-09A0-4683-BE52-54ECD16691AD}"/>
    <cellStyle name="Standard 15 8 3" xfId="36812" xr:uid="{656F9DE2-81A4-4150-9D7D-4ECA5C4A25A2}"/>
    <cellStyle name="Standard 15 9" xfId="17377" xr:uid="{11FD09C8-7567-4EA5-A451-C8DFACC03521}"/>
    <cellStyle name="Standard 15 9 2" xfId="17378" xr:uid="{B53FB640-0BE5-4D3A-93EB-F9207E4FDB21}"/>
    <cellStyle name="Standard 15 9 2 2" xfId="36815" xr:uid="{8100A283-D91F-4568-A3CE-312C819496AC}"/>
    <cellStyle name="Standard 15 9 3" xfId="36814" xr:uid="{5B743432-3367-4FF6-A420-A8C612F25AB8}"/>
    <cellStyle name="Standard 16" xfId="39699" xr:uid="{AC92E491-42FB-4228-A91C-5015C5F02BFF}"/>
    <cellStyle name="Standard 16 10" xfId="17379" xr:uid="{C06E5E1C-3459-49F8-BB1E-D3F739B659B3}"/>
    <cellStyle name="Standard 16 10 2" xfId="17380" xr:uid="{FBC69B16-D413-4C80-A655-9679D74B75AB}"/>
    <cellStyle name="Standard 16 10 2 2" xfId="36817" xr:uid="{7E4EECBE-3432-47BD-8D08-476CE06DECF4}"/>
    <cellStyle name="Standard 16 10 3" xfId="36816" xr:uid="{89931305-B76D-4EDF-A477-E35CD5D6DCAB}"/>
    <cellStyle name="Standard 16 11" xfId="17381" xr:uid="{53BC5052-05B5-4780-9799-D4660C5D0383}"/>
    <cellStyle name="Standard 16 11 2" xfId="17382" xr:uid="{A27E8E23-F46E-4EEE-BDB0-7B416FDD493A}"/>
    <cellStyle name="Standard 16 11 2 2" xfId="36819" xr:uid="{94BCF1A0-9900-48A8-8DBA-6A51C9FBC0D0}"/>
    <cellStyle name="Standard 16 11 3" xfId="36818" xr:uid="{7D524108-9891-4855-AE70-3C547C797126}"/>
    <cellStyle name="Standard 16 12" xfId="17383" xr:uid="{46AD983D-992A-4763-BCC8-8D36EAFC8C8D}"/>
    <cellStyle name="Standard 16 12 2" xfId="17384" xr:uid="{07FA65AB-00DE-4C28-A132-4A106516EC45}"/>
    <cellStyle name="Standard 16 12 2 2" xfId="36821" xr:uid="{DB37C07D-924D-4D10-A815-AE750E4FE106}"/>
    <cellStyle name="Standard 16 12 3" xfId="36820" xr:uid="{19A72605-3A61-49EB-9F08-363FE6BC4531}"/>
    <cellStyle name="Standard 16 13" xfId="17385" xr:uid="{56A641FB-6FAF-46E2-AEB6-8CCE7A2AF48A}"/>
    <cellStyle name="Standard 16 13 2" xfId="17386" xr:uid="{B7294792-FEC4-4D14-ABA3-03F974960B3C}"/>
    <cellStyle name="Standard 16 13 2 2" xfId="36823" xr:uid="{017741C7-2279-4ABC-B0A6-B5C1168854D6}"/>
    <cellStyle name="Standard 16 13 3" xfId="36822" xr:uid="{58D75ED3-F961-4CE8-85B8-E14023D3CE72}"/>
    <cellStyle name="Standard 16 14" xfId="17387" xr:uid="{34BC5A68-3011-49B3-90D8-72C38548F943}"/>
    <cellStyle name="Standard 16 14 2" xfId="17388" xr:uid="{2BA6167B-F2B1-417A-AD53-54EC95DDA21A}"/>
    <cellStyle name="Standard 16 14 2 2" xfId="36825" xr:uid="{B6731D36-FD93-42D3-859A-68E6425863B6}"/>
    <cellStyle name="Standard 16 14 3" xfId="36824" xr:uid="{86CF8795-A13E-4F72-BA4C-120BCFB9FEFB}"/>
    <cellStyle name="Standard 16 15" xfId="17389" xr:uid="{74AC65EA-C0CF-454D-8874-4C4A4783D9AD}"/>
    <cellStyle name="Standard 16 15 2" xfId="17390" xr:uid="{0B164BAE-83E9-42FD-BC62-EACD50A25D08}"/>
    <cellStyle name="Standard 16 15 2 2" xfId="36827" xr:uid="{FCF64A3A-A32A-41CA-83D8-E4565EE610AF}"/>
    <cellStyle name="Standard 16 15 3" xfId="36826" xr:uid="{F4204DB9-0909-4BED-881B-5A967699CA63}"/>
    <cellStyle name="Standard 16 16" xfId="17391" xr:uid="{260DE502-4849-49CA-A560-89C1C6CEDC06}"/>
    <cellStyle name="Standard 16 16 2" xfId="17392" xr:uid="{068AC893-E9D9-4649-B827-7DCBAE9BCEB0}"/>
    <cellStyle name="Standard 16 16 2 2" xfId="36829" xr:uid="{51D66F3D-FEDD-44C0-B442-B9B317312586}"/>
    <cellStyle name="Standard 16 16 3" xfId="36828" xr:uid="{DA6B4D95-0261-4BFE-9FEE-225E0488DC39}"/>
    <cellStyle name="Standard 16 17" xfId="17393" xr:uid="{E5271CA2-0704-4428-943F-15A1E90BE965}"/>
    <cellStyle name="Standard 16 17 2" xfId="17394" xr:uid="{F7CBB274-6CEA-481D-B627-F1FF96BAD694}"/>
    <cellStyle name="Standard 16 17 2 2" xfId="36831" xr:uid="{C59B7E3D-4DF7-467E-A8BB-45A4ABBF6C2A}"/>
    <cellStyle name="Standard 16 17 3" xfId="36830" xr:uid="{578D62B1-BD91-456D-ABCB-60502B981076}"/>
    <cellStyle name="Standard 16 18" xfId="17395" xr:uid="{0FA32F61-705B-4756-85F4-A6CE10B490B2}"/>
    <cellStyle name="Standard 16 18 2" xfId="17396" xr:uid="{5E91E91C-C29D-4524-A26F-559A2155CA26}"/>
    <cellStyle name="Standard 16 18 2 2" xfId="36833" xr:uid="{610D5332-ACA1-4FB4-9627-A10A979FBC23}"/>
    <cellStyle name="Standard 16 18 3" xfId="36832" xr:uid="{13371A1A-E292-4CF0-A8D1-2532A495EC9B}"/>
    <cellStyle name="Standard 16 19" xfId="17397" xr:uid="{1BEAADEC-361C-426B-A475-4A93B6F2ED44}"/>
    <cellStyle name="Standard 16 19 2" xfId="17398" xr:uid="{9C9A945D-959B-4E84-B26C-05760F2FD01D}"/>
    <cellStyle name="Standard 16 19 2 2" xfId="36835" xr:uid="{4F85F5E6-FCEF-4FC7-8009-D5E520F6D0FE}"/>
    <cellStyle name="Standard 16 19 3" xfId="36834" xr:uid="{C02E1C97-750C-482F-B2C8-5012FAAE2B9E}"/>
    <cellStyle name="Standard 16 2" xfId="17399" xr:uid="{5297AC96-A79D-44A5-A6AD-46A98DA8044E}"/>
    <cellStyle name="Standard 16 2 2" xfId="17400" xr:uid="{6A92A39E-6398-40EC-A213-0ADA720B93A2}"/>
    <cellStyle name="Standard 16 2 2 2" xfId="36837" xr:uid="{7B34DAB4-B3A7-47B8-A97B-11C9E0BBD343}"/>
    <cellStyle name="Standard 16 2 2 2 2" xfId="41152" xr:uid="{EE74570D-FEF1-415F-B0D0-9B866D3F14CE}"/>
    <cellStyle name="Standard 16 2 2 3" xfId="42010" xr:uid="{09970E74-B6D3-4689-86C1-E4AD7301261F}"/>
    <cellStyle name="Standard 16 2 2 4" xfId="40248" xr:uid="{7D505B32-9D75-4CEF-BA34-F85CA923FF97}"/>
    <cellStyle name="Standard 16 2 3" xfId="36836" xr:uid="{41972EC2-1DF2-42DE-98C5-CE02292A31B5}"/>
    <cellStyle name="Standard 16 2 3 2" xfId="40709" xr:uid="{1299111E-15E5-4188-94A9-8AD185B2B329}"/>
    <cellStyle name="Standard 16 2 4" xfId="41569" xr:uid="{EBDEBE72-B412-4952-B32A-F7A1035F1366}"/>
    <cellStyle name="Standard 16 2 5" xfId="39700" xr:uid="{4547D7AC-BE8D-4B4C-962A-1FE99E14045F}"/>
    <cellStyle name="Standard 16 20" xfId="17401" xr:uid="{445954E8-196C-4CF1-B77F-4E2FC63D6CF5}"/>
    <cellStyle name="Standard 16 20 2" xfId="17402" xr:uid="{4082505E-600F-469E-8476-18ED4DFA6519}"/>
    <cellStyle name="Standard 16 20 2 2" xfId="36839" xr:uid="{DF73AA40-59AE-45CB-909A-13AD3AB174B8}"/>
    <cellStyle name="Standard 16 20 3" xfId="36838" xr:uid="{29A716BB-C172-48AA-9831-CEBFB4138ECA}"/>
    <cellStyle name="Standard 16 21" xfId="17403" xr:uid="{5B975FE8-A7E5-48B4-A723-16EEA1DE8416}"/>
    <cellStyle name="Standard 16 21 2" xfId="17404" xr:uid="{C6C6ABC3-9E30-4F50-A5A3-E509F48FA736}"/>
    <cellStyle name="Standard 16 21 2 2" xfId="36841" xr:uid="{682D6DF1-777E-4F64-83D1-6475BEB6AA14}"/>
    <cellStyle name="Standard 16 21 3" xfId="36840" xr:uid="{4A80DA56-AC61-4766-A757-1C52C4B2B871}"/>
    <cellStyle name="Standard 16 22" xfId="17405" xr:uid="{3E72B2D4-4A0D-4FDD-A8AE-C82C08FA0016}"/>
    <cellStyle name="Standard 16 22 2" xfId="36842" xr:uid="{46A95FEC-308D-4EDB-B9A5-4C50CF8FC15E}"/>
    <cellStyle name="Standard 16 23" xfId="17406" xr:uid="{747094DA-00F4-45FD-95A2-3116444634E4}"/>
    <cellStyle name="Standard 16 23 2" xfId="36843" xr:uid="{5C686EEE-9949-4DB5-A05A-3D039DB11FDD}"/>
    <cellStyle name="Standard 16 3" xfId="17407" xr:uid="{A4886222-B0F5-49BF-BCF9-910A0A776BB4}"/>
    <cellStyle name="Standard 16 3 2" xfId="17408" xr:uid="{D23C27BF-ECEE-42AA-B09B-60C822851BD8}"/>
    <cellStyle name="Standard 16 3 2 2" xfId="36845" xr:uid="{2C82057D-C576-423B-A71B-5DC0F565B934}"/>
    <cellStyle name="Standard 16 3 2 3" xfId="41151" xr:uid="{08747DC4-9031-4ADB-BBA3-7C729F6E95BC}"/>
    <cellStyle name="Standard 16 3 3" xfId="36844" xr:uid="{6F43EE21-8A2C-414B-8808-EFEAEDE9A57F}"/>
    <cellStyle name="Standard 16 3 3 2" xfId="42009" xr:uid="{D81DF3B3-BC91-4DCA-A23E-E13B1426C6C0}"/>
    <cellStyle name="Standard 16 3 4" xfId="40247" xr:uid="{E2BF000E-78D2-48DE-8E67-1A4D6388E8E7}"/>
    <cellStyle name="Standard 16 4" xfId="17409" xr:uid="{EADD4BB7-164F-45A8-BD86-CB5D939FEDC3}"/>
    <cellStyle name="Standard 16 4 2" xfId="17410" xr:uid="{E4E921CD-DB6A-4A60-97CF-2F790EAB6C8F}"/>
    <cellStyle name="Standard 16 4 2 2" xfId="36847" xr:uid="{FC03C058-EF73-4B87-B7B8-85692A92E2A3}"/>
    <cellStyle name="Standard 16 4 3" xfId="36846" xr:uid="{2A27166E-EB5A-44B2-8B1E-D2354BED5ACD}"/>
    <cellStyle name="Standard 16 4 4" xfId="40708" xr:uid="{E0063277-6B35-4515-903A-848BDCF8C2F7}"/>
    <cellStyle name="Standard 16 5" xfId="17411" xr:uid="{E7EB96B7-07A7-487D-8394-06879F9CCFF3}"/>
    <cellStyle name="Standard 16 5 2" xfId="17412" xr:uid="{AC147896-DE4E-449F-AE4E-76B24121D0C0}"/>
    <cellStyle name="Standard 16 5 2 2" xfId="36849" xr:uid="{24F98B13-AE11-4467-BBD6-626E1560EF2F}"/>
    <cellStyle name="Standard 16 5 3" xfId="36848" xr:uid="{E3472330-B1FB-41D3-9D55-25B581FB2123}"/>
    <cellStyle name="Standard 16 5 4" xfId="41568" xr:uid="{7BD94B6D-0CCB-441F-A86A-25081C441D43}"/>
    <cellStyle name="Standard 16 6" xfId="17413" xr:uid="{97EF193B-2228-4051-B29A-7F424B8C9F35}"/>
    <cellStyle name="Standard 16 6 2" xfId="17414" xr:uid="{089F8A6D-5B71-47A5-BA57-8F562A66816E}"/>
    <cellStyle name="Standard 16 6 2 2" xfId="36851" xr:uid="{81885F8B-017B-49E4-828F-97AE81B8571D}"/>
    <cellStyle name="Standard 16 6 3" xfId="36850" xr:uid="{9A63294F-8734-4AC1-B647-F9439ECEF741}"/>
    <cellStyle name="Standard 16 7" xfId="17415" xr:uid="{54166B33-0746-42CF-860C-E17573C1B913}"/>
    <cellStyle name="Standard 16 7 2" xfId="17416" xr:uid="{79B592F0-054C-43B1-B830-7D87C3C62C14}"/>
    <cellStyle name="Standard 16 7 2 2" xfId="36853" xr:uid="{68E8840B-A70C-44E7-86AE-B69B1A856CE5}"/>
    <cellStyle name="Standard 16 7 3" xfId="36852" xr:uid="{A0FB2B64-FCBE-4FF9-BD32-F29CBF1A52B8}"/>
    <cellStyle name="Standard 16 8" xfId="17417" xr:uid="{8E97CB02-AFEA-420A-A499-91579086032A}"/>
    <cellStyle name="Standard 16 8 2" xfId="17418" xr:uid="{F8326CF3-DEC1-4B9E-A69A-32C7955980D3}"/>
    <cellStyle name="Standard 16 8 2 2" xfId="36855" xr:uid="{2EECE1C0-8E1D-43D2-8F15-DBBE95808EA1}"/>
    <cellStyle name="Standard 16 8 3" xfId="36854" xr:uid="{CBC7C55B-340B-44B6-ABE1-EDEF89DA8737}"/>
    <cellStyle name="Standard 16 9" xfId="17419" xr:uid="{CCB5F630-0FEA-45A3-8159-5971FB91096F}"/>
    <cellStyle name="Standard 16 9 2" xfId="17420" xr:uid="{CA2B429F-3754-45EB-B828-8C3AE2E85A5E}"/>
    <cellStyle name="Standard 16 9 2 2" xfId="36857" xr:uid="{C5F40AF7-625B-4859-8491-39F675A08080}"/>
    <cellStyle name="Standard 16 9 3" xfId="36856" xr:uid="{48C7BACA-3A1D-4FE9-B57A-FF0ADC828618}"/>
    <cellStyle name="Standard 17" xfId="39701" xr:uid="{77B65160-372F-4710-AC97-9CBEFDC355ED}"/>
    <cellStyle name="Standard 17 10" xfId="17421" xr:uid="{4D7DC8FB-8408-4656-90AF-3CC2E5C74810}"/>
    <cellStyle name="Standard 17 10 2" xfId="17422" xr:uid="{28CFCB11-1327-4696-B7E8-F5B0C0512F3D}"/>
    <cellStyle name="Standard 17 10 2 2" xfId="36859" xr:uid="{0D43EBAA-8E9A-4546-B5A4-F22CE0CED251}"/>
    <cellStyle name="Standard 17 10 3" xfId="36858" xr:uid="{7432B40D-A7FC-42F2-81C7-19C6B55BE62A}"/>
    <cellStyle name="Standard 17 11" xfId="17423" xr:uid="{A76949C1-3003-4B32-BC87-29A8DAA0D0FF}"/>
    <cellStyle name="Standard 17 11 2" xfId="17424" xr:uid="{42043A95-722C-4EF8-8B17-5818141066F1}"/>
    <cellStyle name="Standard 17 11 2 2" xfId="36861" xr:uid="{6703EA1C-A247-47D2-A0B3-2372FE1336FA}"/>
    <cellStyle name="Standard 17 11 3" xfId="36860" xr:uid="{64FA6091-5FF5-4087-952F-A2E263F07E8C}"/>
    <cellStyle name="Standard 17 12" xfId="17425" xr:uid="{E054A2DB-B5A1-4F1B-B0DB-B1C526F9DDBA}"/>
    <cellStyle name="Standard 17 12 2" xfId="17426" xr:uid="{FDB7D2B9-2578-4258-97F7-376088B2D5C7}"/>
    <cellStyle name="Standard 17 12 2 2" xfId="36863" xr:uid="{1B18E602-B49C-485B-B625-4A20A12CAD24}"/>
    <cellStyle name="Standard 17 12 3" xfId="36862" xr:uid="{552F242C-0FAC-4BEF-9A98-A5489186EAEA}"/>
    <cellStyle name="Standard 17 13" xfId="17427" xr:uid="{258D0A40-2EB4-4228-8BAB-A4764AAB691D}"/>
    <cellStyle name="Standard 17 13 2" xfId="17428" xr:uid="{ED2EA89A-0C95-489E-B52B-E7A5CB571A54}"/>
    <cellStyle name="Standard 17 13 2 2" xfId="36865" xr:uid="{4AF08D7E-12CF-4914-AE77-36FD4DF8C9DB}"/>
    <cellStyle name="Standard 17 13 3" xfId="36864" xr:uid="{C0BF5ADC-AF5D-41B8-9283-6B68FEF9FDF5}"/>
    <cellStyle name="Standard 17 14" xfId="17429" xr:uid="{4397A1AB-07EF-44DB-889D-80CF5F7CD5BE}"/>
    <cellStyle name="Standard 17 14 2" xfId="17430" xr:uid="{759D48A0-9EB4-4050-891A-7BBBBC343EDA}"/>
    <cellStyle name="Standard 17 14 2 2" xfId="36867" xr:uid="{081C0288-9587-45C5-9D98-86FE00116207}"/>
    <cellStyle name="Standard 17 14 3" xfId="36866" xr:uid="{B778FCA9-FFC3-4F19-91C2-42DB60CF18F1}"/>
    <cellStyle name="Standard 17 15" xfId="17431" xr:uid="{81985D49-7C08-4595-BB39-87BEE1B7857E}"/>
    <cellStyle name="Standard 17 15 2" xfId="17432" xr:uid="{B7899B72-3299-4A00-A15E-879100608F21}"/>
    <cellStyle name="Standard 17 15 2 2" xfId="36869" xr:uid="{FC94BC24-08B4-495F-9393-BB208DE72A9C}"/>
    <cellStyle name="Standard 17 15 3" xfId="36868" xr:uid="{95BA9C2E-6485-4B4A-A6BA-06735B6F3746}"/>
    <cellStyle name="Standard 17 16" xfId="17433" xr:uid="{B8927486-679A-4589-86F5-99D7C614E644}"/>
    <cellStyle name="Standard 17 16 2" xfId="17434" xr:uid="{2C84D410-612C-49C9-9478-4311A1B479FD}"/>
    <cellStyle name="Standard 17 16 2 2" xfId="36871" xr:uid="{9A5B5C58-E1CA-47E0-BF33-D10C82F52DB4}"/>
    <cellStyle name="Standard 17 16 3" xfId="36870" xr:uid="{997D132F-6FF6-4F10-AE11-43FE189E0945}"/>
    <cellStyle name="Standard 17 17" xfId="17435" xr:uid="{1BF26201-84D4-4D76-9734-5175B369552A}"/>
    <cellStyle name="Standard 17 17 2" xfId="17436" xr:uid="{FEB398C5-08BC-4F66-A827-3BF4288841B9}"/>
    <cellStyle name="Standard 17 17 2 2" xfId="36873" xr:uid="{FAC297E7-E517-4F38-A9E7-9FCA0BAEA79D}"/>
    <cellStyle name="Standard 17 17 3" xfId="36872" xr:uid="{9C817CA0-9A8A-47DD-86F3-BC1165CE9F1D}"/>
    <cellStyle name="Standard 17 18" xfId="17437" xr:uid="{47C14498-170F-485A-96B9-25D3CFBF11B4}"/>
    <cellStyle name="Standard 17 18 2" xfId="17438" xr:uid="{DC52F711-DA1A-4ECA-A4C3-FF0C0BFC79AA}"/>
    <cellStyle name="Standard 17 18 2 2" xfId="36875" xr:uid="{FD286086-7F29-4EEE-87CB-3E424DCA840D}"/>
    <cellStyle name="Standard 17 18 3" xfId="36874" xr:uid="{BA7C7AA0-6F1F-4591-996D-9F759AE0AD18}"/>
    <cellStyle name="Standard 17 19" xfId="17439" xr:uid="{3C944089-4B2D-47F9-83AB-B0B8F5BA56CF}"/>
    <cellStyle name="Standard 17 19 2" xfId="17440" xr:uid="{B9A5B8E9-37AA-4CBD-A92F-C3E0AF83D468}"/>
    <cellStyle name="Standard 17 19 2 2" xfId="36877" xr:uid="{1D6F0BF8-C196-4CBE-AFA9-55653722B002}"/>
    <cellStyle name="Standard 17 19 3" xfId="36876" xr:uid="{543D538B-D266-45CA-93B9-4363FC892EA3}"/>
    <cellStyle name="Standard 17 2" xfId="17441" xr:uid="{248A8EC2-511D-4FE9-95B8-F772982CF692}"/>
    <cellStyle name="Standard 17 2 2" xfId="17442" xr:uid="{E01F85BF-5F58-4E43-9288-E0B4A787E777}"/>
    <cellStyle name="Standard 17 2 2 2" xfId="36879" xr:uid="{9E9EB30C-4941-4A5B-9BC6-3BA644253D89}"/>
    <cellStyle name="Standard 17 2 2 2 2" xfId="41154" xr:uid="{C1C554FE-5EA8-40CC-B722-18595AA2BE1A}"/>
    <cellStyle name="Standard 17 2 2 3" xfId="42012" xr:uid="{C9AEC0DB-A6F0-4B7F-93CF-4F70058952EB}"/>
    <cellStyle name="Standard 17 2 2 4" xfId="40250" xr:uid="{DDDD5205-9F85-465A-BFC2-A673EE8A48CA}"/>
    <cellStyle name="Standard 17 2 3" xfId="36878" xr:uid="{F06A415F-C0D7-4CE0-BFA6-670C88BC9279}"/>
    <cellStyle name="Standard 17 2 3 2" xfId="40711" xr:uid="{93F4D38E-B08E-445E-9028-E9064B939ECB}"/>
    <cellStyle name="Standard 17 2 4" xfId="41571" xr:uid="{C63393FD-EE29-4AE9-B096-98BC7C5B4AB1}"/>
    <cellStyle name="Standard 17 2 5" xfId="39702" xr:uid="{901F2E97-962F-4949-8098-3E4E08F9F0D0}"/>
    <cellStyle name="Standard 17 20" xfId="17443" xr:uid="{11D6FBA5-BD09-4F6A-A278-4AC86AFD494E}"/>
    <cellStyle name="Standard 17 20 2" xfId="17444" xr:uid="{1149778E-EACE-483F-A1AE-E120B524C621}"/>
    <cellStyle name="Standard 17 20 2 2" xfId="36881" xr:uid="{8AAAB267-E785-425E-8297-342FBFA149C2}"/>
    <cellStyle name="Standard 17 20 3" xfId="36880" xr:uid="{50FCF352-1D92-43AC-AB12-2270BAEB5547}"/>
    <cellStyle name="Standard 17 21" xfId="17445" xr:uid="{B8F7347C-7E75-42F2-9E18-C4033E8E6712}"/>
    <cellStyle name="Standard 17 21 2" xfId="17446" xr:uid="{365D1DC7-4309-4777-92A3-E47C27755EBC}"/>
    <cellStyle name="Standard 17 21 2 2" xfId="36883" xr:uid="{8D096911-4FFC-4370-8191-837EEE09C69C}"/>
    <cellStyle name="Standard 17 21 3" xfId="36882" xr:uid="{53EB3187-D5B4-49B0-9FFE-FF57132A3969}"/>
    <cellStyle name="Standard 17 22" xfId="17447" xr:uid="{57D58AB3-2D47-4AF1-9E86-A7129F728A41}"/>
    <cellStyle name="Standard 17 22 2" xfId="36884" xr:uid="{233195C8-67FB-44D7-A8D0-4ED4DBECFB19}"/>
    <cellStyle name="Standard 17 23" xfId="17448" xr:uid="{434A2500-30AB-4019-A7CC-114E75B4CACB}"/>
    <cellStyle name="Standard 17 23 2" xfId="36885" xr:uid="{B990B4EE-0FB5-4D04-99A4-244F9738FC1F}"/>
    <cellStyle name="Standard 17 3" xfId="17449" xr:uid="{FE92DE76-93A1-4563-A0C6-AE76887FFD2B}"/>
    <cellStyle name="Standard 17 3 2" xfId="17450" xr:uid="{47E827C7-4146-4889-B380-A9D8FDFD30AB}"/>
    <cellStyle name="Standard 17 3 2 2" xfId="36887" xr:uid="{0DA768FB-0D86-45E4-AB07-19A110DFA95C}"/>
    <cellStyle name="Standard 17 3 2 3" xfId="41153" xr:uid="{083CEF40-2B87-4391-B966-7C6EFF241486}"/>
    <cellStyle name="Standard 17 3 3" xfId="36886" xr:uid="{D1FD2CE1-56C9-4C06-86D4-1F0B20111CFF}"/>
    <cellStyle name="Standard 17 3 3 2" xfId="42011" xr:uid="{430E159B-9415-4456-B34E-9A05DC573375}"/>
    <cellStyle name="Standard 17 3 4" xfId="40249" xr:uid="{FDDC6320-9EFB-4994-80BC-241C7E5C7E89}"/>
    <cellStyle name="Standard 17 4" xfId="17451" xr:uid="{852A9300-2FCF-4FA2-BF14-F7837FB7D082}"/>
    <cellStyle name="Standard 17 4 2" xfId="17452" xr:uid="{F8AD6108-04A5-4410-8796-2654593545DF}"/>
    <cellStyle name="Standard 17 4 2 2" xfId="36889" xr:uid="{7638BA29-04DC-46B9-96D8-C6ED1F09B6F1}"/>
    <cellStyle name="Standard 17 4 3" xfId="36888" xr:uid="{2997B8F3-6D1D-44BB-821F-2073A472E811}"/>
    <cellStyle name="Standard 17 4 4" xfId="40710" xr:uid="{83108068-6844-4F25-A3C4-67725711C5C4}"/>
    <cellStyle name="Standard 17 5" xfId="17453" xr:uid="{CD4DCB4E-B7FB-4E12-8754-C32D7AF684C4}"/>
    <cellStyle name="Standard 17 5 2" xfId="17454" xr:uid="{E7C4CFF9-4BE4-45B6-A036-C3CF62A2DE6D}"/>
    <cellStyle name="Standard 17 5 2 2" xfId="36891" xr:uid="{C65D158A-0C4C-4682-97A3-8BCBC5BCE2FB}"/>
    <cellStyle name="Standard 17 5 3" xfId="36890" xr:uid="{5D49F9BD-744B-45C4-AAE3-AD2D3E873B9D}"/>
    <cellStyle name="Standard 17 5 4" xfId="41570" xr:uid="{9405847B-7010-49FD-8AF2-2F6D1B4DDFE9}"/>
    <cellStyle name="Standard 17 6" xfId="17455" xr:uid="{BBAB9434-F5D4-43E2-9E43-D0EDFA234C74}"/>
    <cellStyle name="Standard 17 6 2" xfId="17456" xr:uid="{DDA05630-5CB2-4E53-9D5E-637E345C54D1}"/>
    <cellStyle name="Standard 17 6 2 2" xfId="36893" xr:uid="{37537C42-AB95-485A-B67B-8E56D8108B4F}"/>
    <cellStyle name="Standard 17 6 3" xfId="36892" xr:uid="{0B645332-7272-4038-B412-A657E2D42059}"/>
    <cellStyle name="Standard 17 7" xfId="17457" xr:uid="{11089E02-49A7-40C0-905B-1C403E2C5E9A}"/>
    <cellStyle name="Standard 17 7 2" xfId="17458" xr:uid="{F3310271-0066-4AF4-9092-908BF8597D9E}"/>
    <cellStyle name="Standard 17 7 2 2" xfId="36895" xr:uid="{52F9E38C-1141-4A88-B3FF-FE8DED221940}"/>
    <cellStyle name="Standard 17 7 3" xfId="36894" xr:uid="{AC76AC0F-31BD-43B6-8DA0-D5E92FBC2644}"/>
    <cellStyle name="Standard 17 8" xfId="17459" xr:uid="{17ACF435-826D-49D0-8832-265E62FDE637}"/>
    <cellStyle name="Standard 17 8 2" xfId="17460" xr:uid="{AC371A24-6609-41CB-8480-D5A4DA6E1FAC}"/>
    <cellStyle name="Standard 17 8 2 2" xfId="36897" xr:uid="{80E68950-E5B8-4EEE-BAE2-407F5A67801A}"/>
    <cellStyle name="Standard 17 8 3" xfId="36896" xr:uid="{EACFD6CD-B258-4173-B869-4A08961E0B39}"/>
    <cellStyle name="Standard 17 9" xfId="17461" xr:uid="{EAA60251-9B55-4561-8C03-E3CD05E7AF42}"/>
    <cellStyle name="Standard 17 9 2" xfId="17462" xr:uid="{3DBB93AB-8A3F-4CE0-A7C6-46FDD458494F}"/>
    <cellStyle name="Standard 17 9 2 2" xfId="36899" xr:uid="{EC5E8E3C-7868-458F-96DC-9768AE9AB40B}"/>
    <cellStyle name="Standard 17 9 3" xfId="36898" xr:uid="{8C911EB5-8180-47CA-AA70-C3780185F7FD}"/>
    <cellStyle name="Standard 18" xfId="39703" xr:uid="{F3C129F5-9E5E-4FBC-88DF-7D6912D50E38}"/>
    <cellStyle name="Standard 18 10" xfId="17463" xr:uid="{84CB0872-F78B-4CE6-B007-6BC6E0EA62A7}"/>
    <cellStyle name="Standard 18 10 2" xfId="17464" xr:uid="{BAB8896D-BBD9-44D3-9F40-6431E25A4E3C}"/>
    <cellStyle name="Standard 18 10 2 2" xfId="36901" xr:uid="{1ABA756E-3C44-4047-A8AA-015957787195}"/>
    <cellStyle name="Standard 18 10 3" xfId="36900" xr:uid="{DC151726-3CFD-4788-A92D-1B7730FE6F2F}"/>
    <cellStyle name="Standard 18 11" xfId="17465" xr:uid="{528BE037-AC5A-460A-8DDE-D1F9006B0196}"/>
    <cellStyle name="Standard 18 11 2" xfId="17466" xr:uid="{96EEF129-9ACA-4299-A9AE-F25B050F695A}"/>
    <cellStyle name="Standard 18 11 2 2" xfId="36903" xr:uid="{71D3E0DF-201E-4713-8577-A35769A5CFA4}"/>
    <cellStyle name="Standard 18 11 3" xfId="36902" xr:uid="{C4B177C2-C1AC-4BC0-814B-3EAD93412E30}"/>
    <cellStyle name="Standard 18 12" xfId="17467" xr:uid="{41D28045-F783-44DA-8473-010F787E994A}"/>
    <cellStyle name="Standard 18 12 2" xfId="17468" xr:uid="{83C8A9BF-A7A1-4D25-BB6D-512EB5CCC664}"/>
    <cellStyle name="Standard 18 12 2 2" xfId="36905" xr:uid="{B835ACA6-619C-4B0D-980A-9F0F2E5A69AE}"/>
    <cellStyle name="Standard 18 12 3" xfId="36904" xr:uid="{7F576C93-D400-4BD4-93D5-7C9E385C1CCA}"/>
    <cellStyle name="Standard 18 13" xfId="17469" xr:uid="{1960341E-E0C6-4A29-BF43-0190C95303FE}"/>
    <cellStyle name="Standard 18 13 2" xfId="17470" xr:uid="{AEFB436F-ECFA-4C52-A441-0168BBF6DD57}"/>
    <cellStyle name="Standard 18 13 2 2" xfId="36907" xr:uid="{47B9153C-6EB6-452C-9161-93B44DCC505F}"/>
    <cellStyle name="Standard 18 13 3" xfId="36906" xr:uid="{0D6B41B6-053F-4B2D-A818-6F5617CFC363}"/>
    <cellStyle name="Standard 18 14" xfId="17471" xr:uid="{2BF702DA-9033-4C79-B820-2264C3E8484E}"/>
    <cellStyle name="Standard 18 14 2" xfId="17472" xr:uid="{4356D94A-B3A4-4465-A3DB-27D0CEC46227}"/>
    <cellStyle name="Standard 18 14 2 2" xfId="36909" xr:uid="{9B9D9556-1495-407A-9E31-84E905D2504E}"/>
    <cellStyle name="Standard 18 14 3" xfId="36908" xr:uid="{7F36C7C0-9443-44F1-BB0C-43C3C35CD1C8}"/>
    <cellStyle name="Standard 18 15" xfId="17473" xr:uid="{F25C3F2B-CB2D-4E5C-91F6-A5A8A454E9E7}"/>
    <cellStyle name="Standard 18 15 2" xfId="17474" xr:uid="{ADA7FF0B-3841-46F4-802B-5E69CBE95491}"/>
    <cellStyle name="Standard 18 15 2 2" xfId="36911" xr:uid="{899DE651-F856-4356-A439-DE2EEE474FE8}"/>
    <cellStyle name="Standard 18 15 3" xfId="36910" xr:uid="{EC98C733-BCC2-41F0-998F-0177BDA4D586}"/>
    <cellStyle name="Standard 18 16" xfId="17475" xr:uid="{84570C66-6215-4513-944B-F5DBF67D53BA}"/>
    <cellStyle name="Standard 18 16 2" xfId="17476" xr:uid="{3B8390FF-3DB5-4C3C-9C6E-AA2931FFDD6F}"/>
    <cellStyle name="Standard 18 16 2 2" xfId="36913" xr:uid="{94F45420-CAF4-41D4-B3F3-3E45BEFED3A4}"/>
    <cellStyle name="Standard 18 16 3" xfId="36912" xr:uid="{0DE19E5E-105E-4E46-8462-FDB2716604B4}"/>
    <cellStyle name="Standard 18 17" xfId="17477" xr:uid="{CF66CAB2-5A1A-4309-A3E2-CE535AEF1CAA}"/>
    <cellStyle name="Standard 18 17 2" xfId="17478" xr:uid="{81D6D021-9DE8-44F8-B212-B8DB4F28BEDD}"/>
    <cellStyle name="Standard 18 17 2 2" xfId="36915" xr:uid="{82707BE4-7259-4919-95E6-1F05136B19AF}"/>
    <cellStyle name="Standard 18 17 3" xfId="36914" xr:uid="{055948E9-5EFD-4123-8A53-B9ADB0BBD5D5}"/>
    <cellStyle name="Standard 18 18" xfId="17479" xr:uid="{AD1851CC-93F8-478F-B90A-5F3F118DDB35}"/>
    <cellStyle name="Standard 18 18 2" xfId="17480" xr:uid="{4C33F742-B166-4279-A57F-52779683B285}"/>
    <cellStyle name="Standard 18 18 2 2" xfId="36917" xr:uid="{A24BCD13-8FEF-47D8-9B5E-C2377C797CA5}"/>
    <cellStyle name="Standard 18 18 3" xfId="36916" xr:uid="{F345E1AB-270F-4C54-9145-15B3E6113FAE}"/>
    <cellStyle name="Standard 18 19" xfId="17481" xr:uid="{5F094F5D-4037-4BE0-AFC3-3E09BB6A4175}"/>
    <cellStyle name="Standard 18 19 2" xfId="17482" xr:uid="{1F53B3BD-D9A9-4439-B899-59CF7159269E}"/>
    <cellStyle name="Standard 18 19 2 2" xfId="36919" xr:uid="{DC1B485D-CCD3-4DDB-81BA-E1DAF4EC61E6}"/>
    <cellStyle name="Standard 18 19 3" xfId="36918" xr:uid="{D3DD6B2E-E3D8-4E33-A998-0EC181B1B897}"/>
    <cellStyle name="Standard 18 2" xfId="17483" xr:uid="{4110DCD7-ECB7-4EFB-8608-5A0EE51FBE88}"/>
    <cellStyle name="Standard 18 2 2" xfId="17484" xr:uid="{BA78EF87-A7BA-4EE0-A58E-F159B656AF8A}"/>
    <cellStyle name="Standard 18 2 2 2" xfId="36921" xr:uid="{78EDDB75-5314-4FAD-B8F4-A7961B0C51D7}"/>
    <cellStyle name="Standard 18 2 2 2 2" xfId="41156" xr:uid="{58749ABC-F78E-478E-B410-4EDF134E9902}"/>
    <cellStyle name="Standard 18 2 2 3" xfId="42014" xr:uid="{B2696BAC-0664-472C-BC24-8413CF7CE20F}"/>
    <cellStyle name="Standard 18 2 2 4" xfId="40252" xr:uid="{8A49392B-12AF-469A-B583-A9A8BBD88212}"/>
    <cellStyle name="Standard 18 2 3" xfId="36920" xr:uid="{1599CA1D-3A53-4CF5-9C1A-FA47743F4878}"/>
    <cellStyle name="Standard 18 2 3 2" xfId="40713" xr:uid="{C9DF9D86-62F2-48B5-86DA-82E9ED4682F0}"/>
    <cellStyle name="Standard 18 2 4" xfId="41573" xr:uid="{B189DD97-276F-4C6A-B77F-EB750D129F93}"/>
    <cellStyle name="Standard 18 2 5" xfId="39704" xr:uid="{7C7AC6DC-53FE-414C-94F6-62EA7CE99CE4}"/>
    <cellStyle name="Standard 18 20" xfId="17485" xr:uid="{FB0BC627-00B7-41A2-B921-F34EE920189C}"/>
    <cellStyle name="Standard 18 20 2" xfId="17486" xr:uid="{C0AD9DC1-2135-4F4B-A07A-D0935719605B}"/>
    <cellStyle name="Standard 18 20 2 2" xfId="36923" xr:uid="{4F2A91C8-5549-4F87-999A-FEAF3347A98B}"/>
    <cellStyle name="Standard 18 20 3" xfId="36922" xr:uid="{19B73B6C-7D83-45C5-AB76-0B338D90BF5C}"/>
    <cellStyle name="Standard 18 21" xfId="17487" xr:uid="{56593716-4F12-4509-9CE9-3CCFBDC93B8D}"/>
    <cellStyle name="Standard 18 21 2" xfId="17488" xr:uid="{CC395623-9A10-41E5-9712-11AAF026C634}"/>
    <cellStyle name="Standard 18 21 2 2" xfId="36925" xr:uid="{D0FA6ECC-9B2C-4528-909E-B4FEB420A3AD}"/>
    <cellStyle name="Standard 18 21 3" xfId="36924" xr:uid="{2DFF8256-1568-4838-9028-82DAD9AE365A}"/>
    <cellStyle name="Standard 18 22" xfId="17489" xr:uid="{90FD86D2-AC5E-4C0D-9EB0-4BE43EE65112}"/>
    <cellStyle name="Standard 18 22 2" xfId="36926" xr:uid="{0B34877E-B8DB-459B-A9D3-0C6271587489}"/>
    <cellStyle name="Standard 18 23" xfId="17490" xr:uid="{5B437446-DC0A-4EA9-8926-E622DF1042B8}"/>
    <cellStyle name="Standard 18 23 2" xfId="36927" xr:uid="{21A5A130-0336-4073-8985-767BD7DA464B}"/>
    <cellStyle name="Standard 18 3" xfId="17491" xr:uid="{5C332C68-53C9-449D-BB79-BA8D150C512D}"/>
    <cellStyle name="Standard 18 3 2" xfId="17492" xr:uid="{DA02D11B-8CF6-4D72-A75C-A91A9769D69C}"/>
    <cellStyle name="Standard 18 3 2 2" xfId="36929" xr:uid="{33ED9F00-112F-4765-9FC8-93CE25C2CA27}"/>
    <cellStyle name="Standard 18 3 2 3" xfId="41155" xr:uid="{B8094DC9-8D7A-4AB2-8D57-BFC8B890CBC2}"/>
    <cellStyle name="Standard 18 3 3" xfId="36928" xr:uid="{610AECE4-4AE0-45CC-A0B5-16F51C73CE34}"/>
    <cellStyle name="Standard 18 3 3 2" xfId="42013" xr:uid="{FAC3EE05-C47F-4709-A25D-630107D4C7AD}"/>
    <cellStyle name="Standard 18 3 4" xfId="40251" xr:uid="{C253C666-5D90-4C19-9075-9421FA80C627}"/>
    <cellStyle name="Standard 18 4" xfId="17493" xr:uid="{F6B6E842-DA5B-4D8B-A43A-BC09C11BF5F0}"/>
    <cellStyle name="Standard 18 4 2" xfId="17494" xr:uid="{94FF371B-601F-4DF5-B719-82DE127B3422}"/>
    <cellStyle name="Standard 18 4 2 2" xfId="36931" xr:uid="{B9B1B1BE-3ED8-4ADA-9C38-68A4D455CCC5}"/>
    <cellStyle name="Standard 18 4 3" xfId="36930" xr:uid="{4AC1FF63-A269-443F-84B3-8569FCA54C83}"/>
    <cellStyle name="Standard 18 4 4" xfId="40712" xr:uid="{CC0491DD-ED8C-4F96-82D4-6A0F3CC3CB52}"/>
    <cellStyle name="Standard 18 5" xfId="17495" xr:uid="{9998952D-A2A5-468A-8BF4-A0D42E6DA62D}"/>
    <cellStyle name="Standard 18 5 2" xfId="17496" xr:uid="{68032014-17C0-463A-9349-232E089BC2EF}"/>
    <cellStyle name="Standard 18 5 2 2" xfId="36933" xr:uid="{2EFD879F-512E-4246-980C-84122D42F91F}"/>
    <cellStyle name="Standard 18 5 3" xfId="36932" xr:uid="{189F4ED0-E7E8-4AFC-8214-77DB4F9818BE}"/>
    <cellStyle name="Standard 18 5 4" xfId="41572" xr:uid="{542B3FD1-2F1B-45F6-B6A1-E4183A1E33B9}"/>
    <cellStyle name="Standard 18 6" xfId="17497" xr:uid="{2E9E5A73-C5D5-46C6-92BB-41FBCAE83270}"/>
    <cellStyle name="Standard 18 6 2" xfId="17498" xr:uid="{8C3ADE24-D0B5-4019-9E2C-24E9B0685EA2}"/>
    <cellStyle name="Standard 18 6 2 2" xfId="36935" xr:uid="{45F1D8C4-B3C2-4F80-AFB7-70A37656C57E}"/>
    <cellStyle name="Standard 18 6 3" xfId="36934" xr:uid="{E139E3B7-67C3-4B32-86E6-C99222A44E1B}"/>
    <cellStyle name="Standard 18 7" xfId="17499" xr:uid="{2F77A07C-D5DF-4671-99DC-79E4017DB24A}"/>
    <cellStyle name="Standard 18 7 2" xfId="17500" xr:uid="{2592B750-9F8B-451E-B595-5C2998B382FA}"/>
    <cellStyle name="Standard 18 7 2 2" xfId="36937" xr:uid="{42D8343B-D651-4F7C-8194-F38B4DEA77FB}"/>
    <cellStyle name="Standard 18 7 3" xfId="36936" xr:uid="{B88ABC50-8B52-4BAC-99ED-0DD2E85F93F1}"/>
    <cellStyle name="Standard 18 8" xfId="17501" xr:uid="{B9F80D9D-CFAE-46C5-86FF-55E1500D391F}"/>
    <cellStyle name="Standard 18 8 2" xfId="17502" xr:uid="{5F4864DF-BE85-4489-BCAA-8C12A8CF09B8}"/>
    <cellStyle name="Standard 18 8 2 2" xfId="36939" xr:uid="{B58FDFFF-2846-4966-97EB-B5B259DA7AC8}"/>
    <cellStyle name="Standard 18 8 3" xfId="36938" xr:uid="{D8A0DAFF-14CB-4CBE-B477-D91C41609674}"/>
    <cellStyle name="Standard 18 9" xfId="17503" xr:uid="{662314B8-0585-4BF9-ADB2-2DD9A5DA9F3D}"/>
    <cellStyle name="Standard 18 9 2" xfId="17504" xr:uid="{E031A07E-EA45-46E9-98CC-5AA9C4120466}"/>
    <cellStyle name="Standard 18 9 2 2" xfId="36941" xr:uid="{91F6861D-2329-42A1-B823-396C1017B04F}"/>
    <cellStyle name="Standard 18 9 3" xfId="36940" xr:uid="{C39F2B2C-E465-4052-9EBD-BD8520853EB2}"/>
    <cellStyle name="Standard 19" xfId="39705" xr:uid="{EDF99A2E-F61F-415E-9E1A-A233C72A43F9}"/>
    <cellStyle name="Standard 19 10" xfId="17505" xr:uid="{227EF89C-D970-4C55-850E-4324F9154CD7}"/>
    <cellStyle name="Standard 19 10 2" xfId="17506" xr:uid="{DB5CBB21-A3E3-4C3B-BB02-8467C5221D18}"/>
    <cellStyle name="Standard 19 10 2 2" xfId="36943" xr:uid="{391A7F4B-6A12-43DF-84E1-64B1BEF46F13}"/>
    <cellStyle name="Standard 19 10 3" xfId="36942" xr:uid="{611F51B7-E7AB-4038-BD59-2A879CA0F536}"/>
    <cellStyle name="Standard 19 11" xfId="17507" xr:uid="{B1446A21-A373-4921-B106-63A1B6F94DAB}"/>
    <cellStyle name="Standard 19 11 2" xfId="17508" xr:uid="{EEDC84CC-AA72-4B10-A58E-8EE906D8CC93}"/>
    <cellStyle name="Standard 19 11 2 2" xfId="36945" xr:uid="{A46BCA99-9BB1-4272-94B6-C5B20307122E}"/>
    <cellStyle name="Standard 19 11 3" xfId="36944" xr:uid="{4C95E0F7-FF8E-4D6F-8A44-6B12173B3783}"/>
    <cellStyle name="Standard 19 12" xfId="17509" xr:uid="{883DE9BF-254D-42F4-8018-65E193FE1DA1}"/>
    <cellStyle name="Standard 19 12 2" xfId="17510" xr:uid="{1C400833-E024-49BF-A83E-E57450B6A7F7}"/>
    <cellStyle name="Standard 19 12 2 2" xfId="36947" xr:uid="{1DDF7D94-4A6B-4CE7-BE1C-CA516D9E67C0}"/>
    <cellStyle name="Standard 19 12 3" xfId="36946" xr:uid="{9850B634-B5A8-4E6C-93A7-F1DD6047BC4B}"/>
    <cellStyle name="Standard 19 13" xfId="17511" xr:uid="{452322BA-A958-432A-B8AF-84CFFFABDF64}"/>
    <cellStyle name="Standard 19 13 2" xfId="17512" xr:uid="{D926B99E-69AB-478D-A2F4-35FEA36F32E9}"/>
    <cellStyle name="Standard 19 13 2 2" xfId="36949" xr:uid="{BC6E7F5C-C2EF-44DD-B6F4-2559BDFCF55B}"/>
    <cellStyle name="Standard 19 13 3" xfId="36948" xr:uid="{12261CB0-B572-4D68-8C86-EE15E383249D}"/>
    <cellStyle name="Standard 19 14" xfId="17513" xr:uid="{3538790A-8C99-49D3-9A64-77EC54099816}"/>
    <cellStyle name="Standard 19 14 2" xfId="17514" xr:uid="{74632B90-DE3E-41BB-AD02-EF69FDF52400}"/>
    <cellStyle name="Standard 19 14 2 2" xfId="36951" xr:uid="{D0153721-A1A7-4340-8C75-023E64EE4A64}"/>
    <cellStyle name="Standard 19 14 3" xfId="36950" xr:uid="{1D54EDBD-9C64-4BB2-BA3E-011DEA1889F0}"/>
    <cellStyle name="Standard 19 15" xfId="17515" xr:uid="{980948BE-7DED-4952-974B-C3EE991B441A}"/>
    <cellStyle name="Standard 19 15 2" xfId="17516" xr:uid="{CBBA6166-E8E6-42D8-811F-8FCD6EAE420D}"/>
    <cellStyle name="Standard 19 15 2 2" xfId="36953" xr:uid="{78DD66F0-3BBA-4C85-A87A-9E8597675D33}"/>
    <cellStyle name="Standard 19 15 3" xfId="36952" xr:uid="{C01DCC42-0F4F-4864-9E20-6003DA6C7095}"/>
    <cellStyle name="Standard 19 16" xfId="17517" xr:uid="{EAA85813-A854-492E-B0DF-5E329C4BCAD0}"/>
    <cellStyle name="Standard 19 16 2" xfId="17518" xr:uid="{8A717DB7-BEFD-490F-88B1-BCB3F7A98AE6}"/>
    <cellStyle name="Standard 19 16 2 2" xfId="36955" xr:uid="{4C0F8DC0-5200-4AB2-AE9D-C62C4141763D}"/>
    <cellStyle name="Standard 19 16 3" xfId="36954" xr:uid="{609B00D6-FEB0-4CD0-997B-9DE806C07865}"/>
    <cellStyle name="Standard 19 17" xfId="17519" xr:uid="{67BB3B64-2EB2-47E5-9A68-E4B418C563C5}"/>
    <cellStyle name="Standard 19 17 2" xfId="17520" xr:uid="{4AE5F866-BDE2-49F8-BBD3-D670F2C715FA}"/>
    <cellStyle name="Standard 19 17 2 2" xfId="36957" xr:uid="{1DCF8C00-6568-417B-BC09-E6B260AD46FF}"/>
    <cellStyle name="Standard 19 17 3" xfId="36956" xr:uid="{069A1847-DFFE-48AF-A774-5A02B26AEFF0}"/>
    <cellStyle name="Standard 19 18" xfId="17521" xr:uid="{41E70C37-BE7D-4B57-8A55-20930C13BBE9}"/>
    <cellStyle name="Standard 19 18 2" xfId="17522" xr:uid="{F3DE0B5D-22D8-414B-B8F1-3D9CA571F9E8}"/>
    <cellStyle name="Standard 19 18 2 2" xfId="36959" xr:uid="{B32BBCA4-4593-49F2-AC74-6E7F376CF3B3}"/>
    <cellStyle name="Standard 19 18 3" xfId="36958" xr:uid="{F1AD66BF-FDC9-4A7F-9536-51238BD267D8}"/>
    <cellStyle name="Standard 19 19" xfId="17523" xr:uid="{67111B38-716C-4B29-8584-2466C352DB9C}"/>
    <cellStyle name="Standard 19 19 2" xfId="17524" xr:uid="{587A94AC-5479-40DC-8349-69B225EAC3DE}"/>
    <cellStyle name="Standard 19 19 2 2" xfId="36961" xr:uid="{2D9ADFCC-C21A-4838-9C47-20AC05EEBC9A}"/>
    <cellStyle name="Standard 19 19 3" xfId="36960" xr:uid="{D28FD28D-893D-4D07-BD99-ACDCBCF90107}"/>
    <cellStyle name="Standard 19 2" xfId="17525" xr:uid="{25E4D577-4B14-4F28-91B8-F37B664B84B2}"/>
    <cellStyle name="Standard 19 2 2" xfId="17526" xr:uid="{CC0F85A8-BC3A-4D7B-91F7-C17CB66B4941}"/>
    <cellStyle name="Standard 19 2 2 2" xfId="36963" xr:uid="{EFFE650A-71AF-4393-807D-2219C44A7E08}"/>
    <cellStyle name="Standard 19 2 2 2 2" xfId="41158" xr:uid="{BF1CF9B8-D31F-42E1-86EC-030FD2E766BD}"/>
    <cellStyle name="Standard 19 2 2 3" xfId="42016" xr:uid="{59912035-F8B2-44D0-B782-5D6811C1E08E}"/>
    <cellStyle name="Standard 19 2 2 4" xfId="40254" xr:uid="{A14CB3B7-F11B-499F-83FA-EBBEBC39CA2A}"/>
    <cellStyle name="Standard 19 2 3" xfId="36962" xr:uid="{77DF9469-F6F4-4328-BF5F-4FA552F410C4}"/>
    <cellStyle name="Standard 19 2 3 2" xfId="40715" xr:uid="{0D70C288-BA88-45DF-BFBE-39AC4911C59B}"/>
    <cellStyle name="Standard 19 2 4" xfId="41575" xr:uid="{88F56BF7-A2E6-4060-9790-205587C9F151}"/>
    <cellStyle name="Standard 19 2 5" xfId="39706" xr:uid="{9D7ADE86-20FC-47D0-A38D-B724A2AC9EEF}"/>
    <cellStyle name="Standard 19 20" xfId="17527" xr:uid="{079C09E5-7CA8-4013-B922-FB9E43D1C6E2}"/>
    <cellStyle name="Standard 19 20 2" xfId="17528" xr:uid="{10E010F8-5293-4E35-B939-1A133B051F43}"/>
    <cellStyle name="Standard 19 20 2 2" xfId="36965" xr:uid="{1E2EB915-ED1F-4496-9736-CE98FF945E20}"/>
    <cellStyle name="Standard 19 20 3" xfId="36964" xr:uid="{11321121-5AC0-4346-8A57-363060B49D42}"/>
    <cellStyle name="Standard 19 21" xfId="17529" xr:uid="{E494D35D-FA4B-402A-97AE-F42AA47224D6}"/>
    <cellStyle name="Standard 19 21 2" xfId="17530" xr:uid="{224EB5C0-6EF5-4AEE-8FF8-808A1691AFB4}"/>
    <cellStyle name="Standard 19 21 2 2" xfId="36967" xr:uid="{5F6B8AC1-553E-450C-A655-5A945F7651FE}"/>
    <cellStyle name="Standard 19 21 3" xfId="36966" xr:uid="{DA548155-8286-4448-912B-4FB2B882ABB6}"/>
    <cellStyle name="Standard 19 22" xfId="17531" xr:uid="{517AA81A-1788-4B57-A3C7-946A279DB629}"/>
    <cellStyle name="Standard 19 22 2" xfId="36968" xr:uid="{3213EFBF-E09F-4430-827C-D154901E89CE}"/>
    <cellStyle name="Standard 19 23" xfId="17532" xr:uid="{0DA90091-18D6-474E-8574-C2F956C9D94C}"/>
    <cellStyle name="Standard 19 23 2" xfId="36969" xr:uid="{9D83321A-4272-4BE6-B0A2-80A1E4A03AA5}"/>
    <cellStyle name="Standard 19 3" xfId="17533" xr:uid="{0BA5900F-3213-4D0A-8F67-65564FFF686D}"/>
    <cellStyle name="Standard 19 3 2" xfId="17534" xr:uid="{04C86CAA-F0A8-45D0-BA42-F18C900BFE00}"/>
    <cellStyle name="Standard 19 3 2 2" xfId="36971" xr:uid="{5216D774-F019-42B5-8F33-4EC1FC05C765}"/>
    <cellStyle name="Standard 19 3 2 3" xfId="41157" xr:uid="{DC848521-FC22-4127-8A37-038C41B02954}"/>
    <cellStyle name="Standard 19 3 3" xfId="36970" xr:uid="{EA87FADE-E990-49FF-B2A2-A43B2C973806}"/>
    <cellStyle name="Standard 19 3 3 2" xfId="42015" xr:uid="{4FA6E824-CF62-4170-9B7D-4255779C7177}"/>
    <cellStyle name="Standard 19 3 4" xfId="40253" xr:uid="{18D948A4-5066-42DF-9908-C3969DFE3FDB}"/>
    <cellStyle name="Standard 19 4" xfId="17535" xr:uid="{E6C0A86D-1997-4214-A4A5-BB1918966B2B}"/>
    <cellStyle name="Standard 19 4 2" xfId="17536" xr:uid="{38B9591D-4AD8-4576-90A5-193D3320F9EA}"/>
    <cellStyle name="Standard 19 4 2 2" xfId="36973" xr:uid="{FBE4D41D-8973-455A-8426-36E794570DFC}"/>
    <cellStyle name="Standard 19 4 3" xfId="36972" xr:uid="{6D9D4FBB-C0DB-4415-960D-D889DC9D9B54}"/>
    <cellStyle name="Standard 19 4 4" xfId="40714" xr:uid="{61FAADE9-CA85-417F-AA45-20BEE9C4BA06}"/>
    <cellStyle name="Standard 19 5" xfId="17537" xr:uid="{0C07BBEF-5801-4AE2-9792-7A1B3D37C0D9}"/>
    <cellStyle name="Standard 19 5 2" xfId="17538" xr:uid="{A962B9E2-9DA2-4DC8-86BB-A8F9D0F5B836}"/>
    <cellStyle name="Standard 19 5 2 2" xfId="36975" xr:uid="{92709FF9-A584-490A-86B3-BDA434568FB6}"/>
    <cellStyle name="Standard 19 5 3" xfId="36974" xr:uid="{CD519DBD-BA8D-4529-A886-1CF7B77D1043}"/>
    <cellStyle name="Standard 19 5 4" xfId="41574" xr:uid="{377D6B01-8DE6-40DD-B3CE-33B1D16164B9}"/>
    <cellStyle name="Standard 19 6" xfId="17539" xr:uid="{63C7CEB9-0E47-487C-A218-9D91239CC3C2}"/>
    <cellStyle name="Standard 19 6 2" xfId="17540" xr:uid="{73231F15-0A11-498D-9063-8A62DB10D1E6}"/>
    <cellStyle name="Standard 19 6 2 2" xfId="36977" xr:uid="{8AD87F3C-0390-447E-9834-10CE762EFAD2}"/>
    <cellStyle name="Standard 19 6 3" xfId="36976" xr:uid="{20B69308-69EB-4FDE-A2CE-34E70BDF1DB7}"/>
    <cellStyle name="Standard 19 7" xfId="17541" xr:uid="{277A4214-8C3A-4A94-BCD3-C7BDBE1F9688}"/>
    <cellStyle name="Standard 19 7 2" xfId="17542" xr:uid="{7176AD13-F674-4F53-B471-854E93674B0A}"/>
    <cellStyle name="Standard 19 7 2 2" xfId="36979" xr:uid="{59A4E94D-07F1-449B-A293-2B85C0B90267}"/>
    <cellStyle name="Standard 19 7 3" xfId="36978" xr:uid="{14110D3B-B339-482A-9767-CD81B8F4FE42}"/>
    <cellStyle name="Standard 19 8" xfId="17543" xr:uid="{BAC7990D-A078-4D8F-A7A0-8798A3664359}"/>
    <cellStyle name="Standard 19 8 2" xfId="17544" xr:uid="{68A314AD-299D-4F5C-A299-F522F9DC6D2C}"/>
    <cellStyle name="Standard 19 8 2 2" xfId="36981" xr:uid="{63E05844-2F26-4A2D-95A2-1D39CA511504}"/>
    <cellStyle name="Standard 19 8 3" xfId="36980" xr:uid="{1DF1E0C1-DDDA-4ECC-92AC-34158A4EC318}"/>
    <cellStyle name="Standard 19 9" xfId="17545" xr:uid="{9CE3BBFC-40E9-4EBC-8119-DFA53E7AC6C2}"/>
    <cellStyle name="Standard 19 9 2" xfId="17546" xr:uid="{7B003171-EFBE-4870-BF72-8706CC0062D9}"/>
    <cellStyle name="Standard 19 9 2 2" xfId="36983" xr:uid="{15D3BE7C-EEFA-4209-9D10-4F580F6EA601}"/>
    <cellStyle name="Standard 19 9 3" xfId="36982" xr:uid="{EEE2ADE2-96D3-4695-B575-FF0B51FEACC5}"/>
    <cellStyle name="Standard 2" xfId="6" xr:uid="{00000000-0005-0000-0000-000008000000}"/>
    <cellStyle name="Standard 2 10" xfId="17547" xr:uid="{84F75247-F73F-4F20-B1AB-1FB1ADFA97FE}"/>
    <cellStyle name="Standard 2 10 2" xfId="17548" xr:uid="{40F86E69-4FFD-4B0A-9E2D-72ED5A55D6DF}"/>
    <cellStyle name="Standard 2 10 2 2" xfId="36985" xr:uid="{28751310-804D-430F-8D7F-04F60DD1E05A}"/>
    <cellStyle name="Standard 2 10 3" xfId="17549" xr:uid="{2E20100C-1082-43FA-ADA7-F3717F057D38}"/>
    <cellStyle name="Standard 2 10 3 2" xfId="36986" xr:uid="{1B6BF5BD-BB65-4E39-A3B1-08EF6BF3C1F9}"/>
    <cellStyle name="Standard 2 10 4" xfId="17550" xr:uid="{DAF20D0B-E09E-498A-A84E-A2D5C5E4FE04}"/>
    <cellStyle name="Standard 2 10 4 2" xfId="36987" xr:uid="{78BF72C5-40AD-446D-AE8C-CFEE68FEA1B2}"/>
    <cellStyle name="Standard 2 10 5" xfId="36984" xr:uid="{1093DBE1-92BF-4EF6-A281-E8B55FD2BFE8}"/>
    <cellStyle name="Standard 2 10 6" xfId="42160" xr:uid="{BF3E0352-6AFD-4D5F-8357-6FA7886FF7E9}"/>
    <cellStyle name="Standard 2 11" xfId="17551" xr:uid="{99F02772-35C5-419E-8D26-D670FE1E55A3}"/>
    <cellStyle name="Standard 2 11 2" xfId="17552" xr:uid="{ACE27672-1913-4667-9A38-6DBC1A822871}"/>
    <cellStyle name="Standard 2 11 2 2" xfId="36989" xr:uid="{ACDB2003-175E-4872-B494-52440D658D06}"/>
    <cellStyle name="Standard 2 11 3" xfId="17553" xr:uid="{48DB7379-F35D-4F2A-B7B3-B48823C74C41}"/>
    <cellStyle name="Standard 2 11 3 2" xfId="36990" xr:uid="{0F8F18B2-5BC6-4372-BE64-A27761583EF0}"/>
    <cellStyle name="Standard 2 11 4" xfId="17554" xr:uid="{A09DB2E7-A385-4FE5-A8EC-553B7F1B2B31}"/>
    <cellStyle name="Standard 2 11 4 2" xfId="36991" xr:uid="{1B8F77A1-BD2C-4583-8228-906B12269DA8}"/>
    <cellStyle name="Standard 2 11 5" xfId="36988" xr:uid="{C25211AD-4577-462B-9765-8E729E549DE3}"/>
    <cellStyle name="Standard 2 12" xfId="17555" xr:uid="{25E2A4DD-CB5A-4D0C-99DB-79C57FEC8919}"/>
    <cellStyle name="Standard 2 12 10" xfId="17556" xr:uid="{AC609A03-6A42-4566-9044-F11C00060282}"/>
    <cellStyle name="Standard 2 12 10 2" xfId="17557" xr:uid="{197D5614-CE26-4A56-8199-2D68E5D21E55}"/>
    <cellStyle name="Standard 2 12 10 2 2" xfId="36994" xr:uid="{5543A992-157B-4D72-822D-08EF9FFA7109}"/>
    <cellStyle name="Standard 2 12 10 3" xfId="36993" xr:uid="{D86B1EF5-E277-495D-A595-7E2F47224A82}"/>
    <cellStyle name="Standard 2 12 11" xfId="17558" xr:uid="{BC1B51F6-F916-4B89-8031-C97076531730}"/>
    <cellStyle name="Standard 2 12 11 2" xfId="17559" xr:uid="{8B54D469-A495-4C92-BB38-E1B8F57AF806}"/>
    <cellStyle name="Standard 2 12 11 2 2" xfId="36996" xr:uid="{9712D793-748F-4155-911E-C048E2A91D45}"/>
    <cellStyle name="Standard 2 12 11 3" xfId="36995" xr:uid="{94168BFC-5E34-4C2A-8408-46BCD0C69502}"/>
    <cellStyle name="Standard 2 12 12" xfId="17560" xr:uid="{06691A9C-5C77-43BD-82CE-9C510667A52C}"/>
    <cellStyle name="Standard 2 12 12 2" xfId="17561" xr:uid="{667E7CB2-2EC1-4DA1-B74C-92465FBD91F3}"/>
    <cellStyle name="Standard 2 12 12 2 2" xfId="36998" xr:uid="{1E863CAD-EC72-429C-8F10-48206262FA9A}"/>
    <cellStyle name="Standard 2 12 12 3" xfId="36997" xr:uid="{FC12FACF-10FA-4663-AC15-36170C2554B7}"/>
    <cellStyle name="Standard 2 12 13" xfId="17562" xr:uid="{572D3AD0-EF9E-41FA-919E-A2BDC89B19A3}"/>
    <cellStyle name="Standard 2 12 13 2" xfId="17563" xr:uid="{9EFE9E27-979C-407C-844B-33613C94C6D3}"/>
    <cellStyle name="Standard 2 12 13 2 2" xfId="37000" xr:uid="{5C44E009-6647-4328-8B73-290EFDF408ED}"/>
    <cellStyle name="Standard 2 12 13 3" xfId="36999" xr:uid="{0DAD3298-31C7-4B76-9897-A1157D983D8A}"/>
    <cellStyle name="Standard 2 12 14" xfId="17564" xr:uid="{7BCE7194-D8BD-4F57-891C-C8F1DE9184AF}"/>
    <cellStyle name="Standard 2 12 14 2" xfId="17565" xr:uid="{F17C3D28-29CE-4615-A0F0-6FB911619D59}"/>
    <cellStyle name="Standard 2 12 14 2 2" xfId="37002" xr:uid="{7BF02BDB-6FC6-47E3-AC9F-EE69AD4BBF99}"/>
    <cellStyle name="Standard 2 12 14 3" xfId="37001" xr:uid="{8E2DBBC3-7398-4322-B750-737212C6AE39}"/>
    <cellStyle name="Standard 2 12 15" xfId="17566" xr:uid="{C8C99E26-25C6-45C3-8407-655F2EDDB9C1}"/>
    <cellStyle name="Standard 2 12 15 2" xfId="17567" xr:uid="{72D37869-9648-4C42-B2A1-38BAAFA31EAE}"/>
    <cellStyle name="Standard 2 12 15 2 2" xfId="37004" xr:uid="{165D9FAC-8800-495C-B50C-2247215954AD}"/>
    <cellStyle name="Standard 2 12 15 3" xfId="37003" xr:uid="{01761AB6-488F-4723-94B3-D86E0C54380B}"/>
    <cellStyle name="Standard 2 12 16" xfId="17568" xr:uid="{E45B6BD9-FE27-4390-89EA-82B1653DEB21}"/>
    <cellStyle name="Standard 2 12 16 2" xfId="17569" xr:uid="{E56C3124-F669-4A52-886E-545422CA87B4}"/>
    <cellStyle name="Standard 2 12 16 2 2" xfId="37006" xr:uid="{1CF669DC-C4B0-449C-80D0-A7446807E455}"/>
    <cellStyle name="Standard 2 12 16 3" xfId="37005" xr:uid="{40042BC5-60FA-4952-BC2A-1FB6084EF173}"/>
    <cellStyle name="Standard 2 12 17" xfId="17570" xr:uid="{580A68D2-2E6E-4CF5-8DFC-84E68369C1C9}"/>
    <cellStyle name="Standard 2 12 17 2" xfId="17571" xr:uid="{41F6CB8A-084F-42C1-9027-DE838865C92C}"/>
    <cellStyle name="Standard 2 12 17 2 2" xfId="37008" xr:uid="{647976C8-F638-4B29-A7FB-FB1B32DBF6D9}"/>
    <cellStyle name="Standard 2 12 17 3" xfId="37007" xr:uid="{00C8D5F1-B1D4-46C2-B84D-569D200DDEB0}"/>
    <cellStyle name="Standard 2 12 18" xfId="17572" xr:uid="{5CE139B7-F193-47B3-A517-5D8484853853}"/>
    <cellStyle name="Standard 2 12 18 2" xfId="17573" xr:uid="{16F9EA2A-BB0E-4612-AFE1-9AEC397AFFFF}"/>
    <cellStyle name="Standard 2 12 18 2 2" xfId="37010" xr:uid="{EA9FA02B-0A6D-45C9-896F-ABB77D70AC38}"/>
    <cellStyle name="Standard 2 12 18 3" xfId="37009" xr:uid="{91F4D4E7-690D-4365-A024-24DD032CC57F}"/>
    <cellStyle name="Standard 2 12 19" xfId="17574" xr:uid="{BAF2E805-622F-4337-9A81-DAEB1A433937}"/>
    <cellStyle name="Standard 2 12 19 2" xfId="17575" xr:uid="{F7DDC28E-C9A3-4228-81ED-55EE9C4D2A6E}"/>
    <cellStyle name="Standard 2 12 19 2 2" xfId="37012" xr:uid="{8F909B32-F91C-4DB8-BA27-F2852608658D}"/>
    <cellStyle name="Standard 2 12 19 3" xfId="37011" xr:uid="{5314129C-FAED-4D97-AFC8-323D36A042D4}"/>
    <cellStyle name="Standard 2 12 2" xfId="17576" xr:uid="{F602DE29-B981-463C-8F0A-B810E713857E}"/>
    <cellStyle name="Standard 2 12 2 2" xfId="17577" xr:uid="{A5A3EB00-5643-43BB-875C-6F1E0F18C5F8}"/>
    <cellStyle name="Standard 2 12 2 2 2" xfId="37014" xr:uid="{13B5A626-7393-462C-B81A-F38ECFF65B2B}"/>
    <cellStyle name="Standard 2 12 2 3" xfId="37013" xr:uid="{D8C546D0-3B40-4DDA-8B61-243E38F63A1D}"/>
    <cellStyle name="Standard 2 12 20" xfId="17578" xr:uid="{F2E1C678-1C9C-436A-95EB-64B8D5892224}"/>
    <cellStyle name="Standard 2 12 20 2" xfId="17579" xr:uid="{7CCA796C-755D-429C-83D7-9F9B80695DD4}"/>
    <cellStyle name="Standard 2 12 20 2 2" xfId="37016" xr:uid="{7D02B4CE-5A28-4CDF-8B21-B9B7DEF72098}"/>
    <cellStyle name="Standard 2 12 20 3" xfId="37015" xr:uid="{F40490D8-355C-4A82-AC23-60E1E76307FD}"/>
    <cellStyle name="Standard 2 12 21" xfId="17580" xr:uid="{FCA71585-492D-4881-9590-511BBC6A0DEE}"/>
    <cellStyle name="Standard 2 12 21 2" xfId="17581" xr:uid="{D015E7C3-6230-44FE-9F39-86A8DA99EBA7}"/>
    <cellStyle name="Standard 2 12 21 2 2" xfId="37018" xr:uid="{89DF263F-5388-4DC2-8600-D7422D104F27}"/>
    <cellStyle name="Standard 2 12 21 3" xfId="37017" xr:uid="{DD72F9ED-403F-4DE4-9057-E31A663D7403}"/>
    <cellStyle name="Standard 2 12 22" xfId="17582" xr:uid="{6205FE81-3340-4D7E-BE01-D5DE0E57065F}"/>
    <cellStyle name="Standard 2 12 22 2" xfId="37019" xr:uid="{B7DF5D5E-7592-4102-81FF-A7837E5A7CD6}"/>
    <cellStyle name="Standard 2 12 23" xfId="36992" xr:uid="{2C757887-C91B-45DD-8F99-FC1BE169F13D}"/>
    <cellStyle name="Standard 2 12 3" xfId="17583" xr:uid="{B05131ED-2237-47C8-810C-2E8342C443F3}"/>
    <cellStyle name="Standard 2 12 3 2" xfId="17584" xr:uid="{0F03E798-55E9-47BB-B0B4-81FA244F6203}"/>
    <cellStyle name="Standard 2 12 3 2 2" xfId="37021" xr:uid="{CEF1B19F-89EE-4728-A16F-6DEB3777923E}"/>
    <cellStyle name="Standard 2 12 3 3" xfId="37020" xr:uid="{03440385-74C9-4EEC-A375-E197FBB4826A}"/>
    <cellStyle name="Standard 2 12 4" xfId="17585" xr:uid="{6D6B9322-33F5-45E4-A8D9-B4687E071E9B}"/>
    <cellStyle name="Standard 2 12 4 2" xfId="17586" xr:uid="{161B3C4A-8490-411E-BDD4-507AD0ED9DD7}"/>
    <cellStyle name="Standard 2 12 4 2 2" xfId="37023" xr:uid="{9A8D813B-633A-4977-BD75-B432594A7DE2}"/>
    <cellStyle name="Standard 2 12 4 3" xfId="37022" xr:uid="{657BD4B6-3530-4C5B-B257-C270FF879FF9}"/>
    <cellStyle name="Standard 2 12 5" xfId="17587" xr:uid="{6DD48490-AA37-461C-9204-CCC569A8047E}"/>
    <cellStyle name="Standard 2 12 5 2" xfId="17588" xr:uid="{DC752591-16DA-4611-B4EE-1CA2B468EC64}"/>
    <cellStyle name="Standard 2 12 5 2 2" xfId="37025" xr:uid="{B8A84B8B-EB87-48EA-9429-EFFF1242B0EF}"/>
    <cellStyle name="Standard 2 12 5 3" xfId="37024" xr:uid="{6521EC67-803E-4891-8F7C-F62AFEEEF521}"/>
    <cellStyle name="Standard 2 12 6" xfId="17589" xr:uid="{73A8FA49-8DD9-49D3-9636-05E5665A309B}"/>
    <cellStyle name="Standard 2 12 6 2" xfId="17590" xr:uid="{6B033EE9-E696-428A-900D-7154279D32B2}"/>
    <cellStyle name="Standard 2 12 6 2 2" xfId="37027" xr:uid="{DFA30E39-F166-4601-BACF-52598AC8C87F}"/>
    <cellStyle name="Standard 2 12 6 3" xfId="37026" xr:uid="{96C19416-7CF4-45BE-9CD2-2C9968FDEAE8}"/>
    <cellStyle name="Standard 2 12 7" xfId="17591" xr:uid="{5626F59E-A518-48DE-B60F-52B2EA595719}"/>
    <cellStyle name="Standard 2 12 7 2" xfId="17592" xr:uid="{D1B74083-C725-466E-8270-0B13AB79B2C7}"/>
    <cellStyle name="Standard 2 12 7 2 2" xfId="37029" xr:uid="{D1C48E0B-DC66-4407-B896-C8E20B60C027}"/>
    <cellStyle name="Standard 2 12 7 3" xfId="37028" xr:uid="{96E4F40F-FD7A-477E-A822-ADB526656969}"/>
    <cellStyle name="Standard 2 12 8" xfId="17593" xr:uid="{F66B76EB-F923-454A-B57A-EAF13130D22A}"/>
    <cellStyle name="Standard 2 12 8 2" xfId="17594" xr:uid="{16092CB9-9C99-45E0-9440-16DDB1BD628B}"/>
    <cellStyle name="Standard 2 12 8 2 2" xfId="37031" xr:uid="{C11EA57C-0F6A-4BD2-A880-7F2687873186}"/>
    <cellStyle name="Standard 2 12 8 3" xfId="37030" xr:uid="{E00EEE1E-EA43-4DFA-9BDE-25351CE6B2A9}"/>
    <cellStyle name="Standard 2 12 9" xfId="17595" xr:uid="{4B71BF26-F3D7-4694-BBFC-4D8D7CB354F3}"/>
    <cellStyle name="Standard 2 12 9 2" xfId="17596" xr:uid="{CC5F075A-A181-4243-BA07-47BF5143D02D}"/>
    <cellStyle name="Standard 2 12 9 2 2" xfId="37033" xr:uid="{3F85E2CC-8E8F-40E8-92DF-C5A3151008C3}"/>
    <cellStyle name="Standard 2 12 9 3" xfId="37032" xr:uid="{C8E6CF50-0DBF-4A21-99C8-1CEEEE5C767F}"/>
    <cellStyle name="Standard 2 13" xfId="17597" xr:uid="{667217F2-14C6-4AC5-BC12-07CB1CC30456}"/>
    <cellStyle name="Standard 2 13 10" xfId="17598" xr:uid="{67E72CB1-F0D1-4D99-BC03-F5FE0A6E73C9}"/>
    <cellStyle name="Standard 2 13 10 2" xfId="17599" xr:uid="{F0A5267F-4B4E-44B7-83B1-9D87C4E13219}"/>
    <cellStyle name="Standard 2 13 10 2 2" xfId="37036" xr:uid="{8CFEB094-EED4-4667-977B-F1C5EE843067}"/>
    <cellStyle name="Standard 2 13 10 3" xfId="37035" xr:uid="{918080E6-E50B-46CB-86CE-08088644F88C}"/>
    <cellStyle name="Standard 2 13 11" xfId="17600" xr:uid="{8C5F8FC9-C71B-40E0-992B-D266EECF8457}"/>
    <cellStyle name="Standard 2 13 11 2" xfId="17601" xr:uid="{AA01371F-AF59-4BEB-BD63-64B0D3F5185A}"/>
    <cellStyle name="Standard 2 13 11 2 2" xfId="37038" xr:uid="{70C0B255-2FFC-4500-BF22-67F38A93D082}"/>
    <cellStyle name="Standard 2 13 11 3" xfId="37037" xr:uid="{F6A620B6-F5C4-4490-A875-751B51971AC3}"/>
    <cellStyle name="Standard 2 13 12" xfId="17602" xr:uid="{DD9FFAB2-1C5F-4B1E-8416-8544F62E3D77}"/>
    <cellStyle name="Standard 2 13 12 2" xfId="17603" xr:uid="{D3D149D6-9507-4851-BD37-F742F27801F1}"/>
    <cellStyle name="Standard 2 13 12 2 2" xfId="37040" xr:uid="{20916CE7-1E72-458B-96A6-248933B1B4E6}"/>
    <cellStyle name="Standard 2 13 12 3" xfId="37039" xr:uid="{87E96FC7-CE58-4759-804D-70A1315FF50F}"/>
    <cellStyle name="Standard 2 13 13" xfId="17604" xr:uid="{A25F18C5-A250-4397-823B-03C4E3BD8877}"/>
    <cellStyle name="Standard 2 13 13 2" xfId="17605" xr:uid="{44209DCD-6223-48A2-BADB-6944AC4CD724}"/>
    <cellStyle name="Standard 2 13 13 2 2" xfId="37042" xr:uid="{F453FC79-BE44-46CC-A276-2F57B87110DD}"/>
    <cellStyle name="Standard 2 13 13 3" xfId="37041" xr:uid="{E291146A-80BB-4CCB-910F-27982E809CD1}"/>
    <cellStyle name="Standard 2 13 14" xfId="17606" xr:uid="{BDAE8882-E698-47B0-B582-4D7D89754268}"/>
    <cellStyle name="Standard 2 13 14 2" xfId="17607" xr:uid="{16F464CF-E892-4015-8E5E-A971B74F94F5}"/>
    <cellStyle name="Standard 2 13 14 2 2" xfId="37044" xr:uid="{CCB2BC44-254A-4998-B0F4-0FD1C2C63BFC}"/>
    <cellStyle name="Standard 2 13 14 3" xfId="37043" xr:uid="{CF935406-DAE1-4793-8343-00E3BEB5F5BA}"/>
    <cellStyle name="Standard 2 13 15" xfId="17608" xr:uid="{95109CFB-7A26-49C3-AE5A-97E04653568C}"/>
    <cellStyle name="Standard 2 13 15 2" xfId="17609" xr:uid="{0CF13489-9200-4E04-A2C5-DFED55E87A10}"/>
    <cellStyle name="Standard 2 13 15 2 2" xfId="37046" xr:uid="{E35D7E31-8B66-4B15-B515-C84626590075}"/>
    <cellStyle name="Standard 2 13 15 3" xfId="37045" xr:uid="{4F78218A-FF5F-4283-ACD6-C0BE597D3D2E}"/>
    <cellStyle name="Standard 2 13 16" xfId="17610" xr:uid="{C4492E77-BAE2-4E8F-94F2-4EE7C9279E8F}"/>
    <cellStyle name="Standard 2 13 16 2" xfId="17611" xr:uid="{4727E817-0BD3-41A5-AED0-8CE0C8D0B975}"/>
    <cellStyle name="Standard 2 13 16 2 2" xfId="37048" xr:uid="{FCF964AB-96B7-4CA6-882F-2C5B3A4044AF}"/>
    <cellStyle name="Standard 2 13 16 3" xfId="37047" xr:uid="{F1F379B6-778E-4A0A-9186-497BEB0564E6}"/>
    <cellStyle name="Standard 2 13 17" xfId="17612" xr:uid="{5454815B-C2B5-4E76-BAD7-AFD8BBA93459}"/>
    <cellStyle name="Standard 2 13 17 2" xfId="17613" xr:uid="{DA8CE4BC-B647-493C-A845-54B41E6F958C}"/>
    <cellStyle name="Standard 2 13 17 2 2" xfId="37050" xr:uid="{CB0A100C-8EC2-4772-B422-228A7A26CE07}"/>
    <cellStyle name="Standard 2 13 17 3" xfId="37049" xr:uid="{99A61F3B-6A7E-461F-A2CA-7377472A2171}"/>
    <cellStyle name="Standard 2 13 18" xfId="17614" xr:uid="{3557379F-5743-4748-946E-3D2C884488BE}"/>
    <cellStyle name="Standard 2 13 18 2" xfId="17615" xr:uid="{54E09BC8-0853-40E5-850C-B5CA2D7E626E}"/>
    <cellStyle name="Standard 2 13 18 2 2" xfId="37052" xr:uid="{994D379F-7B30-40AB-B7FB-64C4D89BDF8C}"/>
    <cellStyle name="Standard 2 13 18 3" xfId="37051" xr:uid="{47E3BF01-702E-4D3E-8B82-29ECDE644752}"/>
    <cellStyle name="Standard 2 13 19" xfId="17616" xr:uid="{53B999DE-975E-4030-BE7A-3ED193174A9C}"/>
    <cellStyle name="Standard 2 13 19 2" xfId="17617" xr:uid="{699F2693-9E56-4793-84DA-D838391DA056}"/>
    <cellStyle name="Standard 2 13 19 2 2" xfId="37054" xr:uid="{E6BE3997-38EB-4F28-8547-C670B9006077}"/>
    <cellStyle name="Standard 2 13 19 3" xfId="37053" xr:uid="{F02C247D-7BBA-488F-A334-438B0F70FB70}"/>
    <cellStyle name="Standard 2 13 2" xfId="17618" xr:uid="{F7CEDC7D-A849-4D9B-9AE5-148720AC79EA}"/>
    <cellStyle name="Standard 2 13 2 2" xfId="17619" xr:uid="{E431BFF8-4F1D-4C2C-9C48-9D0A7C997CDA}"/>
    <cellStyle name="Standard 2 13 2 2 2" xfId="37056" xr:uid="{EDDDABDA-F536-45A0-963A-47950F70992F}"/>
    <cellStyle name="Standard 2 13 2 3" xfId="37055" xr:uid="{D61ACE4F-3E92-4697-9A2D-291EA68C6701}"/>
    <cellStyle name="Standard 2 13 20" xfId="17620" xr:uid="{29A16E0D-79FF-4B1F-AFBE-5F9DA7A2B709}"/>
    <cellStyle name="Standard 2 13 20 2" xfId="17621" xr:uid="{7F7C5543-6D2C-421A-8BA9-BA6EF70CE2FE}"/>
    <cellStyle name="Standard 2 13 20 2 2" xfId="37058" xr:uid="{7408CC7A-365D-45A7-9B68-0F599B76A925}"/>
    <cellStyle name="Standard 2 13 20 3" xfId="37057" xr:uid="{EB4DDF41-DBE0-4468-B1C2-02494B6EC96C}"/>
    <cellStyle name="Standard 2 13 21" xfId="17622" xr:uid="{3667298E-2045-4555-A279-953D20799F90}"/>
    <cellStyle name="Standard 2 13 21 2" xfId="17623" xr:uid="{7BE84453-2C2A-4681-A7F9-F12268D8A023}"/>
    <cellStyle name="Standard 2 13 21 2 2" xfId="37060" xr:uid="{0A3ECF36-4BE0-4E06-A21A-2D8FF927A044}"/>
    <cellStyle name="Standard 2 13 21 3" xfId="37059" xr:uid="{8E989773-8998-41A6-A514-5D6FE380797D}"/>
    <cellStyle name="Standard 2 13 22" xfId="17624" xr:uid="{DF0E98E1-E796-4775-AB0C-76C8F797A10D}"/>
    <cellStyle name="Standard 2 13 22 2" xfId="37061" xr:uid="{F83B800E-565A-4904-8C6C-D68156C56C5D}"/>
    <cellStyle name="Standard 2 13 23" xfId="37034" xr:uid="{24C86859-19F9-45D4-9244-C4E69C020817}"/>
    <cellStyle name="Standard 2 13 3" xfId="17625" xr:uid="{326B79C6-43DF-4AA3-93CE-84E2409F1CB1}"/>
    <cellStyle name="Standard 2 13 3 2" xfId="17626" xr:uid="{A076E0C1-2B2E-43E9-929D-BEB408D69854}"/>
    <cellStyle name="Standard 2 13 3 2 2" xfId="37063" xr:uid="{F21D2C91-832A-4F2D-88A4-ADDFE4EED42E}"/>
    <cellStyle name="Standard 2 13 3 3" xfId="37062" xr:uid="{098A798D-1B80-4BB2-AAB8-A2F1DC5C551B}"/>
    <cellStyle name="Standard 2 13 4" xfId="17627" xr:uid="{E5A26790-6859-4A6D-A8C1-6D1D5557A844}"/>
    <cellStyle name="Standard 2 13 4 2" xfId="17628" xr:uid="{0B3E93E6-9C9B-4FD8-9CCF-1BFE1327C864}"/>
    <cellStyle name="Standard 2 13 4 2 2" xfId="37065" xr:uid="{C3E9C644-EDE7-4063-91EF-045B52121FDB}"/>
    <cellStyle name="Standard 2 13 4 3" xfId="37064" xr:uid="{9DB62CCD-20E4-429A-9C73-C7CF0DCD69DA}"/>
    <cellStyle name="Standard 2 13 5" xfId="17629" xr:uid="{B0B7D42C-C58A-474E-AAD6-90E885D25F7B}"/>
    <cellStyle name="Standard 2 13 5 2" xfId="17630" xr:uid="{054B5995-6CD7-4B25-889E-184B5641AA38}"/>
    <cellStyle name="Standard 2 13 5 2 2" xfId="37067" xr:uid="{ABA355B9-5EF0-4DC0-BFC8-10F44F5DC27D}"/>
    <cellStyle name="Standard 2 13 5 3" xfId="37066" xr:uid="{17B101B0-C519-49B5-B3BD-0FE859EAF3F5}"/>
    <cellStyle name="Standard 2 13 6" xfId="17631" xr:uid="{D3035D03-3B18-43DB-AEEC-FCA9EA01FCB7}"/>
    <cellStyle name="Standard 2 13 6 2" xfId="17632" xr:uid="{CDBD393C-9373-4FE6-A2AC-718E40640D2B}"/>
    <cellStyle name="Standard 2 13 6 2 2" xfId="37069" xr:uid="{8D5D66EF-256C-404D-BE20-178B2BFADF86}"/>
    <cellStyle name="Standard 2 13 6 3" xfId="37068" xr:uid="{8FD7D0E1-874B-4EF8-A92E-EB4B36F26A09}"/>
    <cellStyle name="Standard 2 13 7" xfId="17633" xr:uid="{6C1D14D0-A8D4-445B-916B-D2D5BA7A4054}"/>
    <cellStyle name="Standard 2 13 7 2" xfId="17634" xr:uid="{1DBCCFC6-7582-448C-BBF8-C96B821D533F}"/>
    <cellStyle name="Standard 2 13 7 2 2" xfId="37071" xr:uid="{BCA7073D-6EFE-407D-A1BA-096A8F5D1124}"/>
    <cellStyle name="Standard 2 13 7 3" xfId="37070" xr:uid="{629783D4-4C22-4BE3-8639-151854358EA3}"/>
    <cellStyle name="Standard 2 13 8" xfId="17635" xr:uid="{09C2C5C8-8567-4E7A-9804-68D2F8ADFA60}"/>
    <cellStyle name="Standard 2 13 8 2" xfId="17636" xr:uid="{C36BF799-CD12-4CF7-9233-404D5A7B8606}"/>
    <cellStyle name="Standard 2 13 8 2 2" xfId="37073" xr:uid="{331ECE5D-85EE-4067-8E09-77CDA5D6BE96}"/>
    <cellStyle name="Standard 2 13 8 3" xfId="37072" xr:uid="{BB526EC1-1AD0-4D2E-907A-9F07BBABD149}"/>
    <cellStyle name="Standard 2 13 9" xfId="17637" xr:uid="{E483B879-A407-4879-B664-AD2CA20F1AB5}"/>
    <cellStyle name="Standard 2 13 9 2" xfId="17638" xr:uid="{5234F892-C0CC-4341-8F02-60908B23B9D5}"/>
    <cellStyle name="Standard 2 13 9 2 2" xfId="37075" xr:uid="{2AC9629C-14B7-4A68-944C-94C5AC8AECF1}"/>
    <cellStyle name="Standard 2 13 9 3" xfId="37074" xr:uid="{68E3CADC-7A07-46EE-9DEA-CA2E6F3B4205}"/>
    <cellStyle name="Standard 2 14" xfId="17639" xr:uid="{5BB8A09E-1D7B-4239-B1F3-9F9ECD59B3C6}"/>
    <cellStyle name="Standard 2 14 2" xfId="17640" xr:uid="{296C8755-3DFA-4556-847F-EB9323609292}"/>
    <cellStyle name="Standard 2 14 2 2" xfId="37077" xr:uid="{764C66DA-D6A2-4ACC-B988-25DEF845FB74}"/>
    <cellStyle name="Standard 2 14 3" xfId="37076" xr:uid="{CA98B078-B757-4797-BFF2-1106D47EC93B}"/>
    <cellStyle name="Standard 2 15" xfId="17641" xr:uid="{281CC7DB-68C1-401A-A76F-EB74513661BD}"/>
    <cellStyle name="Standard 2 15 2" xfId="17642" xr:uid="{ED96045D-2689-4E3D-B55D-D5C22B6C8BAC}"/>
    <cellStyle name="Standard 2 15 2 2" xfId="37079" xr:uid="{3E99AF0E-BBD3-46D4-B657-BC3CB10EAE64}"/>
    <cellStyle name="Standard 2 15 3" xfId="37078" xr:uid="{F3A4742C-55ED-4399-A0D7-99652627DDB5}"/>
    <cellStyle name="Standard 2 16" xfId="17643" xr:uid="{DB25F965-FB5A-4AA3-B8A0-098D7C5EC4E5}"/>
    <cellStyle name="Standard 2 16 2" xfId="17644" xr:uid="{479CA040-6971-49B9-AC5D-23B0EDD4B4DB}"/>
    <cellStyle name="Standard 2 16 2 2" xfId="37081" xr:uid="{C198A5E0-FD93-4F3B-ABE0-DDD52E83C515}"/>
    <cellStyle name="Standard 2 16 3" xfId="37080" xr:uid="{160BB879-F7BE-4BFD-BF1F-556FCC73FED6}"/>
    <cellStyle name="Standard 2 17" xfId="17645" xr:uid="{91EC7B31-E9D7-45E7-9867-C31EF6F5EB52}"/>
    <cellStyle name="Standard 2 17 2" xfId="17646" xr:uid="{FD40F206-7150-48F6-8DD2-4749C885BAFB}"/>
    <cellStyle name="Standard 2 17 2 2" xfId="37083" xr:uid="{1F7ABCE6-091B-4319-9A43-BF958C71B452}"/>
    <cellStyle name="Standard 2 17 3" xfId="37082" xr:uid="{C7372A86-B82F-4341-A82A-1591F7386504}"/>
    <cellStyle name="Standard 2 18" xfId="17647" xr:uid="{2B44BE7E-F63E-438E-8FD4-ED8B7824A4FD}"/>
    <cellStyle name="Standard 2 18 2" xfId="17648" xr:uid="{BB335D7B-AC11-4BD9-8F86-D01808B8E804}"/>
    <cellStyle name="Standard 2 18 2 2" xfId="37085" xr:uid="{B1A6569D-B7E0-4202-B9DE-7111660A2BBE}"/>
    <cellStyle name="Standard 2 18 3" xfId="37084" xr:uid="{BEAC9FEA-A5BC-4BEB-91F8-D6C542B6B3AE}"/>
    <cellStyle name="Standard 2 19" xfId="17649" xr:uid="{5C6560B7-F2B1-4671-8B46-3C45713B7B1C}"/>
    <cellStyle name="Standard 2 19 2" xfId="17650" xr:uid="{6AB1DDDB-3BEE-4D44-BA94-3D9E9D87C4F2}"/>
    <cellStyle name="Standard 2 19 2 2" xfId="37087" xr:uid="{65AEA7E2-330F-4A83-A605-1E35BC5E0F9A}"/>
    <cellStyle name="Standard 2 19 3" xfId="37086" xr:uid="{33C6F5E4-7A6E-425D-9D06-7743454A62D1}"/>
    <cellStyle name="Standard 2 2" xfId="5" xr:uid="{00000000-0005-0000-0000-000009000000}"/>
    <cellStyle name="Standard 2 2 10" xfId="17652" xr:uid="{EFC24CF3-D620-4C4A-85AC-6FFEA5C9CC9E}"/>
    <cellStyle name="Standard 2 2 10 2" xfId="37089" xr:uid="{145B7584-FA59-4EE0-B829-829F0888D97C}"/>
    <cellStyle name="Standard 2 2 11" xfId="17653" xr:uid="{EA1FA256-E8C2-484E-A6AB-3DAA8B7442E7}"/>
    <cellStyle name="Standard 2 2 11 2" xfId="37090" xr:uid="{BB2A1E97-8925-463F-B610-107D0C428657}"/>
    <cellStyle name="Standard 2 2 12" xfId="17654" xr:uid="{5EA03331-D5BE-4D46-A164-7ADC3ECED7DA}"/>
    <cellStyle name="Standard 2 2 12 2" xfId="37091" xr:uid="{CA88C8E0-3777-4092-8B03-E0F7EF8A61EF}"/>
    <cellStyle name="Standard 2 2 13" xfId="17655" xr:uid="{2758D571-7CF4-4E97-A3FF-BB14F595DEC7}"/>
    <cellStyle name="Standard 2 2 13 2" xfId="37092" xr:uid="{7EA02A0B-C320-4519-A533-19A7BD2A777A}"/>
    <cellStyle name="Standard 2 2 14" xfId="17656" xr:uid="{231A604E-E88F-490A-BF17-C560DF57F9F9}"/>
    <cellStyle name="Standard 2 2 14 2" xfId="37093" xr:uid="{B07CABFC-9370-4E4F-91B5-87A10AFC5CE6}"/>
    <cellStyle name="Standard 2 2 15" xfId="17657" xr:uid="{23825785-6C05-41BA-8833-3BF3ED8916F8}"/>
    <cellStyle name="Standard 2 2 15 2" xfId="37094" xr:uid="{587CB700-2420-4AA2-B744-EE3F29F7159E}"/>
    <cellStyle name="Standard 2 2 16" xfId="17658" xr:uid="{CCE8AA74-62D3-4C34-ADCE-C19CC4EAC3DF}"/>
    <cellStyle name="Standard 2 2 16 2" xfId="37095" xr:uid="{C2B32875-6454-487A-ADFF-1734280BE596}"/>
    <cellStyle name="Standard 2 2 17" xfId="17659" xr:uid="{24735034-31F4-4E53-9415-F57BE259C596}"/>
    <cellStyle name="Standard 2 2 17 2" xfId="37096" xr:uid="{8ACC34C4-08CC-49E1-B198-D7A29E6F231E}"/>
    <cellStyle name="Standard 2 2 18" xfId="17660" xr:uid="{DA2D572D-32CD-43DD-B6BC-D2272B46D1B3}"/>
    <cellStyle name="Standard 2 2 18 2" xfId="37097" xr:uid="{7F3CA99A-0395-402E-B8FC-3A6C964FCF46}"/>
    <cellStyle name="Standard 2 2 19" xfId="17661" xr:uid="{3AD558C0-98CF-4197-AA61-1814D3536A96}"/>
    <cellStyle name="Standard 2 2 19 2" xfId="37098" xr:uid="{16F1582C-5EB5-4569-B93B-F7F241A05EFF}"/>
    <cellStyle name="Standard 2 2 2" xfId="17662" xr:uid="{C2A5E3C8-E3BD-407A-A37C-8941A52F78C1}"/>
    <cellStyle name="Standard 2 2 2 2" xfId="17663" xr:uid="{B8AB91B1-D8A2-42A4-8814-D6DA6A45180B}"/>
    <cellStyle name="Standard 2 2 2 2 2" xfId="37100" xr:uid="{39D3B369-5639-48F7-917D-D792A60FB638}"/>
    <cellStyle name="Standard 2 2 2 3" xfId="17664" xr:uid="{B378B068-6546-4903-853D-93AEA30E9F21}"/>
    <cellStyle name="Standard 2 2 2 3 2" xfId="37101" xr:uid="{A5466F83-A4EA-477E-9BF7-9A316E1E6FB4}"/>
    <cellStyle name="Standard 2 2 2 4" xfId="37099" xr:uid="{621798F6-C4D0-4CD0-8407-E8C827C814DF}"/>
    <cellStyle name="Standard 2 2 2 5" xfId="39708" xr:uid="{4404B39C-F49C-4A3B-9CE8-F4B1F7BCEF7A}"/>
    <cellStyle name="Standard 2 2 20" xfId="17665" xr:uid="{00DCF1C0-2AFE-41A2-8469-6EB157274535}"/>
    <cellStyle name="Standard 2 2 20 2" xfId="37102" xr:uid="{21F39AE6-81D3-4A33-9760-39F75A433A10}"/>
    <cellStyle name="Standard 2 2 21" xfId="17666" xr:uid="{0B658C75-2642-41F4-8620-E8FC0E94CF1D}"/>
    <cellStyle name="Standard 2 2 21 2" xfId="37103" xr:uid="{49150091-6A6B-468B-9FDE-D92F8B3A4E74}"/>
    <cellStyle name="Standard 2 2 22" xfId="17667" xr:uid="{348D5685-22FE-4981-A11A-48F5D055C04C}"/>
    <cellStyle name="Standard 2 2 22 2" xfId="37104" xr:uid="{959B8883-724C-4E27-AF32-F1C83421517D}"/>
    <cellStyle name="Standard 2 2 23" xfId="17668" xr:uid="{7DAFE618-6C30-4453-ABA9-11DF15DD23DD}"/>
    <cellStyle name="Standard 2 2 23 2" xfId="37105" xr:uid="{F3EA4FA4-BD46-430A-A448-62F50C9DE2D0}"/>
    <cellStyle name="Standard 2 2 24" xfId="17669" xr:uid="{2B0B57BC-0704-4352-9604-991D6416BB26}"/>
    <cellStyle name="Standard 2 2 24 2" xfId="37106" xr:uid="{52342AA9-E2A8-41F0-A5C4-9FBFEB2BCE8F}"/>
    <cellStyle name="Standard 2 2 25" xfId="17670" xr:uid="{FFEDBBDB-ED22-4FCD-862A-B52ED592EAB6}"/>
    <cellStyle name="Standard 2 2 25 2" xfId="37107" xr:uid="{AE5DC1CC-12F2-4D84-929B-6DCFCA2ADA0F}"/>
    <cellStyle name="Standard 2 2 26" xfId="17671" xr:uid="{C8186F66-04C0-4C8D-B3B9-0F267E0266A9}"/>
    <cellStyle name="Standard 2 2 26 2" xfId="37108" xr:uid="{73038837-EFEA-45DC-9660-5451320D50CC}"/>
    <cellStyle name="Standard 2 2 27" xfId="17672" xr:uid="{01A38D1B-12A5-428C-9618-52A90E29A088}"/>
    <cellStyle name="Standard 2 2 27 2" xfId="37109" xr:uid="{6A5F54BE-22ED-4339-AAFB-0E75279F5D5B}"/>
    <cellStyle name="Standard 2 2 28" xfId="37088" xr:uid="{1420055D-37D1-40B0-821D-46A935B65BA3}"/>
    <cellStyle name="Standard 2 2 29" xfId="39707" xr:uid="{8D400F60-0E8E-44CC-8A19-79E9F5216A0E}"/>
    <cellStyle name="Standard 2 2 3" xfId="17673" xr:uid="{20BB7DD0-27D0-491B-8273-A8CEAE113D8E}"/>
    <cellStyle name="Standard 2 2 3 2" xfId="17674" xr:uid="{1880599A-29BD-488F-9043-8EC4251CD21D}"/>
    <cellStyle name="Standard 2 2 3 2 2" xfId="37111" xr:uid="{C8E0DB2B-0427-4116-B2E7-A8B74200967C}"/>
    <cellStyle name="Standard 2 2 3 3" xfId="37110" xr:uid="{6320D06F-5167-4A69-A02E-DF85E3AACEFB}"/>
    <cellStyle name="Standard 2 2 3 4" xfId="39709" xr:uid="{D481D79F-A3A1-4463-ADAA-8083E1BFFE75}"/>
    <cellStyle name="Standard 2 2 30" xfId="17651" xr:uid="{64F23134-EC91-4909-875F-7370F2E8A1D5}"/>
    <cellStyle name="Standard 2 2 31" xfId="109" xr:uid="{B1880257-F966-4C7D-926D-5893EFCF1BDE}"/>
    <cellStyle name="Standard 2 2 4" xfId="17675" xr:uid="{F26F7A08-2BD8-4241-BFA9-9B72F9DECA84}"/>
    <cellStyle name="Standard 2 2 4 2" xfId="17676" xr:uid="{8FCEBDEB-D072-41AF-928C-DE09EB3CC82E}"/>
    <cellStyle name="Standard 2 2 4 2 2" xfId="37113" xr:uid="{62343585-1775-456F-86DD-58B30A93D3C8}"/>
    <cellStyle name="Standard 2 2 4 3" xfId="37112" xr:uid="{E0AFD736-9A84-480C-8EAB-B3D25598B100}"/>
    <cellStyle name="Standard 2 2 5" xfId="17677" xr:uid="{195EC871-FF01-49C4-A562-4D4CC49B0474}"/>
    <cellStyle name="Standard 2 2 5 2" xfId="17678" xr:uid="{CA906AE2-E35D-4331-B7D0-5E1CB7FC0BB2}"/>
    <cellStyle name="Standard 2 2 5 2 2" xfId="37115" xr:uid="{69D22E07-AE03-4618-8EE0-970516863555}"/>
    <cellStyle name="Standard 2 2 5 3" xfId="37114" xr:uid="{4805E9F1-912A-4EEC-9801-B492022511B3}"/>
    <cellStyle name="Standard 2 2 6" xfId="17679" xr:uid="{68D8DC3E-08C0-4E12-82A4-438ADC381FD8}"/>
    <cellStyle name="Standard 2 2 6 2" xfId="17680" xr:uid="{AB5B0043-2729-457C-8CD3-AB7ECFDB4496}"/>
    <cellStyle name="Standard 2 2 6 2 2" xfId="37117" xr:uid="{31C1BEA9-C2AD-4C38-ABA2-91F76857530E}"/>
    <cellStyle name="Standard 2 2 6 3" xfId="37116" xr:uid="{9341E3BB-F689-4102-9C4D-4C33092DEFDD}"/>
    <cellStyle name="Standard 2 2 7" xfId="17681" xr:uid="{B09CDF58-4CD6-44BC-9AD5-3242E8B4FDB4}"/>
    <cellStyle name="Standard 2 2 7 2" xfId="17682" xr:uid="{9A9D60C6-54FC-4EF3-9654-FC867643074E}"/>
    <cellStyle name="Standard 2 2 7 2 2" xfId="37119" xr:uid="{5D46F61D-F0B2-46D2-9FE5-5B044D5A2C25}"/>
    <cellStyle name="Standard 2 2 7 3" xfId="37118" xr:uid="{9C9F57B0-0CC5-4C43-8598-288E2474ACE7}"/>
    <cellStyle name="Standard 2 2 8" xfId="17683" xr:uid="{D698CB03-3A29-4140-815F-DA4AAB8335B9}"/>
    <cellStyle name="Standard 2 2 8 2" xfId="37120" xr:uid="{D3BD8A16-5F7D-4C0A-BFBD-2A45AB7904D2}"/>
    <cellStyle name="Standard 2 2 9" xfId="17684" xr:uid="{B6205E55-73A0-4E6D-908F-00860AB9BC9E}"/>
    <cellStyle name="Standard 2 2 9 2" xfId="37121" xr:uid="{90936A51-B4D4-45FB-AE92-469DD5A4B941}"/>
    <cellStyle name="Standard 2 20" xfId="17685" xr:uid="{7D2BDC90-9850-4278-AA10-B7F72C9CDEBE}"/>
    <cellStyle name="Standard 2 20 2" xfId="17686" xr:uid="{E56AE2C5-8BBC-42EC-9389-11AC87209639}"/>
    <cellStyle name="Standard 2 20 2 2" xfId="37123" xr:uid="{A7E83792-104F-4D21-994D-9CCC84A81B31}"/>
    <cellStyle name="Standard 2 20 3" xfId="37122" xr:uid="{BE8B7984-8D73-41DB-A587-11F4D46A6326}"/>
    <cellStyle name="Standard 2 21" xfId="17687" xr:uid="{D4828E9C-1E6D-4B47-958B-F5236BF53424}"/>
    <cellStyle name="Standard 2 21 2" xfId="17688" xr:uid="{63A3494F-72BE-469D-ACDE-21E7DBF7A033}"/>
    <cellStyle name="Standard 2 21 2 2" xfId="37125" xr:uid="{12D3AAC4-0604-484C-B957-DEBAAD10D5E2}"/>
    <cellStyle name="Standard 2 21 3" xfId="37124" xr:uid="{CB7BB97C-1725-4BC2-B768-477FC983B661}"/>
    <cellStyle name="Standard 2 22" xfId="17689" xr:uid="{307CB091-EFB4-4B02-B0A5-425623E831FE}"/>
    <cellStyle name="Standard 2 22 2" xfId="17690" xr:uid="{963BF45A-D132-4AEB-802B-8C83336C8368}"/>
    <cellStyle name="Standard 2 22 2 2" xfId="37127" xr:uid="{A572138B-0343-4179-B036-0AAE65230E5A}"/>
    <cellStyle name="Standard 2 22 3" xfId="37126" xr:uid="{D07B40E1-F754-4FFD-8EBB-D2FF41619DA4}"/>
    <cellStyle name="Standard 2 23" xfId="17691" xr:uid="{F70503BD-70C5-4A74-AA6E-51F1D69705E3}"/>
    <cellStyle name="Standard 2 23 2" xfId="17692" xr:uid="{F2A5C3FF-58E6-433F-A810-BEB426718F80}"/>
    <cellStyle name="Standard 2 23 2 2" xfId="37129" xr:uid="{CDD283C5-C494-44A6-A2AC-B5CDCF1F39FD}"/>
    <cellStyle name="Standard 2 23 3" xfId="37128" xr:uid="{241A7A09-9CEB-4C21-BE96-E8B10E6FAB8C}"/>
    <cellStyle name="Standard 2 24" xfId="17693" xr:uid="{45534063-9348-47DE-8E90-1811CF43D96F}"/>
    <cellStyle name="Standard 2 24 2" xfId="17694" xr:uid="{5288E7AF-A555-4951-86D4-90D57245C770}"/>
    <cellStyle name="Standard 2 24 2 2" xfId="37131" xr:uid="{9BAB9F82-4FE5-4C7D-BC6A-D047BD7515C8}"/>
    <cellStyle name="Standard 2 24 3" xfId="37130" xr:uid="{572134ED-CFDD-4A0A-9F2D-B9ADF4BE19C1}"/>
    <cellStyle name="Standard 2 25" xfId="17695" xr:uid="{1DC36F2D-FA50-47F0-851E-59F62B4443CC}"/>
    <cellStyle name="Standard 2 25 2" xfId="17696" xr:uid="{D19EB08B-DEA1-47A2-9234-3373B7CDD234}"/>
    <cellStyle name="Standard 2 25 2 2" xfId="37133" xr:uid="{DBC188E0-C454-4EAB-906F-6C6BEFF737B7}"/>
    <cellStyle name="Standard 2 25 3" xfId="37132" xr:uid="{C70B5D36-8B5D-4FE2-900E-B30F6FA2F62E}"/>
    <cellStyle name="Standard 2 26" xfId="17697" xr:uid="{20E2F0C8-D0AC-4D67-AA4C-F8C93A3FCBA9}"/>
    <cellStyle name="Standard 2 26 2" xfId="17698" xr:uid="{8CCB7F65-9A4A-44C4-94B8-95AB00C84BFF}"/>
    <cellStyle name="Standard 2 26 2 2" xfId="37135" xr:uid="{82968256-D1C1-4EB4-B542-1C7A2C67F496}"/>
    <cellStyle name="Standard 2 26 3" xfId="37134" xr:uid="{3CA13205-5325-4305-A7CC-894F94134D23}"/>
    <cellStyle name="Standard 2 27" xfId="17699" xr:uid="{D5F6686E-1321-48D8-855B-D98635B6E6A0}"/>
    <cellStyle name="Standard 2 27 2" xfId="17700" xr:uid="{87BAFA2C-31F2-45F1-BE42-67A74E12BBFA}"/>
    <cellStyle name="Standard 2 27 2 2" xfId="37137" xr:uid="{CE13A1B5-DA99-4942-A32F-F3F9602DDF37}"/>
    <cellStyle name="Standard 2 27 3" xfId="37136" xr:uid="{EF1EA40F-849E-4D9A-9294-BCD72879E82E}"/>
    <cellStyle name="Standard 2 28" xfId="17701" xr:uid="{524BD9AB-6BA5-4A17-8DF4-D135D43370B8}"/>
    <cellStyle name="Standard 2 28 2" xfId="17702" xr:uid="{B64DA760-EFF3-4041-BDFB-FEC6958454AE}"/>
    <cellStyle name="Standard 2 28 2 2" xfId="37139" xr:uid="{22E27AFE-47B7-46B9-8BCE-6C1894AF4338}"/>
    <cellStyle name="Standard 2 28 3" xfId="37138" xr:uid="{1D30A32A-EA4C-405E-9C04-A8E431A51FC7}"/>
    <cellStyle name="Standard 2 29" xfId="17703" xr:uid="{3139102C-E61C-4E4C-B245-78D58D48434C}"/>
    <cellStyle name="Standard 2 29 2" xfId="17704" xr:uid="{EF6C16A6-B459-4803-A005-31D9D7556347}"/>
    <cellStyle name="Standard 2 29 2 2" xfId="37141" xr:uid="{20B5E888-039E-4422-BE4E-F2EDEA33EE5B}"/>
    <cellStyle name="Standard 2 29 3" xfId="37140" xr:uid="{955314B3-68D7-4873-9AA4-05418FDE110A}"/>
    <cellStyle name="Standard 2 3" xfId="17705" xr:uid="{30CC61C4-DDFD-4A4F-9517-14D9F5D32601}"/>
    <cellStyle name="Standard 2 3 2" xfId="17706" xr:uid="{3A8291A8-9EF0-41B1-BD13-284E91162B0C}"/>
    <cellStyle name="Standard 2 3 2 2" xfId="17707" xr:uid="{A1C447C5-1DE1-4717-ACC0-B9D91771B44C}"/>
    <cellStyle name="Standard 2 3 2 2 2" xfId="37144" xr:uid="{BC2511F0-2BCE-4FF5-A213-6BF03C325831}"/>
    <cellStyle name="Standard 2 3 2 3" xfId="37143" xr:uid="{D03783DC-E8FE-4383-987F-FA281CB28F30}"/>
    <cellStyle name="Standard 2 3 3" xfId="17708" xr:uid="{58615D8C-2BB9-4866-8B05-4FADCD564B78}"/>
    <cellStyle name="Standard 2 3 3 2" xfId="37145" xr:uid="{C6C055FE-1654-4B05-A10B-500789168F39}"/>
    <cellStyle name="Standard 2 3 4" xfId="17709" xr:uid="{30D30500-CD7F-45A2-B91F-05F3213E6810}"/>
    <cellStyle name="Standard 2 3 4 2" xfId="17710" xr:uid="{B39F1971-BFD4-4BA5-867F-BA0001B59D40}"/>
    <cellStyle name="Standard 2 3 4 2 2" xfId="37147" xr:uid="{8A954187-C249-4943-983B-413ADBC465E8}"/>
    <cellStyle name="Standard 2 3 4 3" xfId="37146" xr:uid="{50249E8B-FE04-4F42-B4E7-7C9F99E15771}"/>
    <cellStyle name="Standard 2 3 5" xfId="17711" xr:uid="{D4A07ED8-3FE3-45D7-A032-61BA1AA1053D}"/>
    <cellStyle name="Standard 2 3 5 2" xfId="17712" xr:uid="{EC7DC178-94F4-4A68-A796-2D08D58E7784}"/>
    <cellStyle name="Standard 2 3 5 2 2" xfId="37149" xr:uid="{B5414F43-7A02-4898-A1A3-89338EFE6D5D}"/>
    <cellStyle name="Standard 2 3 5 3" xfId="37148" xr:uid="{22A9FA79-B1FE-4367-B626-E30144AA6D09}"/>
    <cellStyle name="Standard 2 3 6" xfId="17713" xr:uid="{E3FED24A-2054-44AA-A3C5-9770C17B3ECF}"/>
    <cellStyle name="Standard 2 3 6 2" xfId="37150" xr:uid="{EAD48E5F-1DBC-43A2-9691-562412401C53}"/>
    <cellStyle name="Standard 2 3 7" xfId="37142" xr:uid="{BCD884BD-1C11-48A3-AA06-CA8F64677B16}"/>
    <cellStyle name="Standard 2 3 8" xfId="39710" xr:uid="{8BD16AB2-96FB-4AE4-B086-CA86243622EE}"/>
    <cellStyle name="Standard 2 30" xfId="17714" xr:uid="{8FCBFF28-EEE1-4930-91F7-943CA1620DBE}"/>
    <cellStyle name="Standard 2 30 2" xfId="17715" xr:uid="{5C357D00-889E-4CBD-900F-29D2714E3B42}"/>
    <cellStyle name="Standard 2 30 2 2" xfId="37152" xr:uid="{C47B3D02-A7E2-4A26-A446-713732BD5028}"/>
    <cellStyle name="Standard 2 30 3" xfId="37151" xr:uid="{1C548599-D56E-4139-849D-061CDA14FC6C}"/>
    <cellStyle name="Standard 2 31" xfId="17716" xr:uid="{AD40BE9A-04B9-4547-927A-C7364F143015}"/>
    <cellStyle name="Standard 2 31 2" xfId="17717" xr:uid="{8EDC3552-57FE-40D3-A788-0942959B3255}"/>
    <cellStyle name="Standard 2 31 2 2" xfId="37154" xr:uid="{394BA064-5511-4ECA-B555-EE31F9AD920E}"/>
    <cellStyle name="Standard 2 31 3" xfId="37153" xr:uid="{F6D30905-0BE5-43C5-BBF1-EC4967FADF62}"/>
    <cellStyle name="Standard 2 32" xfId="17718" xr:uid="{D5C74E2A-F3DB-43C1-AF48-341158E83CD0}"/>
    <cellStyle name="Standard 2 32 2" xfId="17719" xr:uid="{8BB5BB01-F323-4F3F-B9F2-F92B2D48672E}"/>
    <cellStyle name="Standard 2 32 2 2" xfId="37156" xr:uid="{17C31A86-EB72-485B-867A-9B58150E8F9F}"/>
    <cellStyle name="Standard 2 32 3" xfId="37155" xr:uid="{202EFD03-5C56-47EF-8AEB-F02E27126155}"/>
    <cellStyle name="Standard 2 33" xfId="17720" xr:uid="{D269C34F-953D-4241-8939-0302D9176714}"/>
    <cellStyle name="Standard 2 33 2" xfId="17721" xr:uid="{3DC7B34D-71E3-47FF-B2CF-49AF8D76BCF2}"/>
    <cellStyle name="Standard 2 33 2 2" xfId="37158" xr:uid="{682D5E1B-33D5-4C74-8384-46E48962080D}"/>
    <cellStyle name="Standard 2 33 3" xfId="37157" xr:uid="{43EF4627-8C69-4F61-9823-6C4C403C6D38}"/>
    <cellStyle name="Standard 2 34" xfId="17722" xr:uid="{E35C3E86-9690-4F54-9C1A-CDBCA7488047}"/>
    <cellStyle name="Standard 2 34 2" xfId="17723" xr:uid="{6C038C85-3F4E-42F3-AE82-DD361C39088F}"/>
    <cellStyle name="Standard 2 34 2 2" xfId="37160" xr:uid="{BDE9D5D4-00E1-47C4-B56F-D3783D2BACB0}"/>
    <cellStyle name="Standard 2 34 3" xfId="37159" xr:uid="{DA9D699D-62BA-414B-9B16-D1687EA8B1C1}"/>
    <cellStyle name="Standard 2 35" xfId="17724" xr:uid="{5F76C901-FD79-46FA-96A8-5E981BF42D33}"/>
    <cellStyle name="Standard 2 35 2" xfId="17725" xr:uid="{516E0BD4-D66F-4BA6-B656-FEBB123B1FE0}"/>
    <cellStyle name="Standard 2 35 2 2" xfId="37162" xr:uid="{EA6A7764-E8BA-4412-95B1-459961CC163A}"/>
    <cellStyle name="Standard 2 35 3" xfId="37161" xr:uid="{031071FF-0C74-4DCA-AE36-3BD3B1ACD295}"/>
    <cellStyle name="Standard 2 36" xfId="17726" xr:uid="{1DA1BEE9-D329-4AE2-A567-6851A2A521D2}"/>
    <cellStyle name="Standard 2 36 2" xfId="17727" xr:uid="{1702DF17-317E-4830-9BD8-100EE6827650}"/>
    <cellStyle name="Standard 2 36 2 2" xfId="37164" xr:uid="{F0A11111-090A-4A93-BFC5-864619052497}"/>
    <cellStyle name="Standard 2 36 3" xfId="37163" xr:uid="{2D6F753D-0881-47C2-B670-57A6368A1684}"/>
    <cellStyle name="Standard 2 37" xfId="17728" xr:uid="{8D9ED730-F107-49F5-ABE5-A7D2695B6187}"/>
    <cellStyle name="Standard 2 37 2" xfId="17729" xr:uid="{6341FFB5-F50A-453E-9765-7F816CD6D9DA}"/>
    <cellStyle name="Standard 2 37 2 2" xfId="37166" xr:uid="{160A87E6-75D6-434E-B376-E6117A39763C}"/>
    <cellStyle name="Standard 2 37 3" xfId="37165" xr:uid="{63B48250-35C0-4874-86B6-2FAB0CDA14B6}"/>
    <cellStyle name="Standard 2 38" xfId="17730" xr:uid="{CC97CAEB-0D5D-47EE-A494-2C8600B29727}"/>
    <cellStyle name="Standard 2 38 2" xfId="17731" xr:uid="{DAA98736-60A1-49B7-AF97-6713D12CFF97}"/>
    <cellStyle name="Standard 2 38 2 2" xfId="37168" xr:uid="{339088EE-DB7E-428E-BB2D-14616884EC23}"/>
    <cellStyle name="Standard 2 38 3" xfId="37167" xr:uid="{1C0F5C62-C603-4248-9C39-2C7027F81B16}"/>
    <cellStyle name="Standard 2 39" xfId="17732" xr:uid="{6ECC9BE9-0E24-44D9-B2B1-0FB48A3DA9FF}"/>
    <cellStyle name="Standard 2 39 2" xfId="17733" xr:uid="{2AA3D9A2-C763-45C0-B119-6D405260F366}"/>
    <cellStyle name="Standard 2 39 2 2" xfId="37170" xr:uid="{118539B0-5FAD-4448-8B27-8C1F75069C1F}"/>
    <cellStyle name="Standard 2 39 3" xfId="37169" xr:uid="{4332F363-1227-4274-8743-281BBD3250A4}"/>
    <cellStyle name="Standard 2 4" xfId="17734" xr:uid="{F10A70F4-A5A1-4E60-AF7D-2C361D2BA72D}"/>
    <cellStyle name="Standard 2 4 2" xfId="17735" xr:uid="{5F5983EC-49FC-4B7B-A0EF-E14ED9D0D26E}"/>
    <cellStyle name="Standard 2 4 2 2" xfId="17736" xr:uid="{8A178CBB-9FC8-4F0A-B619-2824C0902FFB}"/>
    <cellStyle name="Standard 2 4 2 2 2" xfId="37173" xr:uid="{817191C6-9894-4784-9E8B-56C60BCA8D79}"/>
    <cellStyle name="Standard 2 4 2 3" xfId="37172" xr:uid="{B08A50DF-7BA1-4373-9ACF-B97668620415}"/>
    <cellStyle name="Standard 2 4 3" xfId="17737" xr:uid="{DD516C6A-9EDA-4D64-A27B-C0DFC67B0861}"/>
    <cellStyle name="Standard 2 4 3 2" xfId="37174" xr:uid="{7B279DDD-A8E9-41CC-A7D7-EBBA2B7EAFE5}"/>
    <cellStyle name="Standard 2 4 4" xfId="17738" xr:uid="{40E49350-4C24-41CD-9ABC-18167A1415DE}"/>
    <cellStyle name="Standard 2 4 4 2" xfId="37175" xr:uid="{909217DE-A4C8-4256-BE64-D0BC0D0AE66D}"/>
    <cellStyle name="Standard 2 4 5" xfId="37171" xr:uid="{0DD0342A-B3C3-45CA-BBE4-B227C61646B9}"/>
    <cellStyle name="Standard 2 4 6" xfId="39711" xr:uid="{1CE17617-852F-4DD6-A542-FF8A78987D6E}"/>
    <cellStyle name="Standard 2 40" xfId="17739" xr:uid="{C8497813-9D3A-425C-A96C-59B6C018F439}"/>
    <cellStyle name="Standard 2 40 2" xfId="17740" xr:uid="{CA056AC9-DB07-4BBB-BF43-E77C7BDD7AB9}"/>
    <cellStyle name="Standard 2 40 2 2" xfId="37177" xr:uid="{7ED5C45F-61EA-48D9-8F78-0B079C1EA811}"/>
    <cellStyle name="Standard 2 40 3" xfId="37176" xr:uid="{C09F4CFB-EA78-4DDB-B269-2C4DC224F23C}"/>
    <cellStyle name="Standard 2 41" xfId="17741" xr:uid="{D0472FBD-0217-4805-B715-A5B8CDDDABE7}"/>
    <cellStyle name="Standard 2 41 2" xfId="17742" xr:uid="{34578ADE-4AAB-4EA2-9E39-D5AB94397ED8}"/>
    <cellStyle name="Standard 2 41 2 2" xfId="37179" xr:uid="{2A912DAD-51E2-4742-9CAF-0718771DEDDA}"/>
    <cellStyle name="Standard 2 41 3" xfId="37178" xr:uid="{F24555A0-C1C1-4A14-BB00-4A656D6AF682}"/>
    <cellStyle name="Standard 2 42" xfId="17743" xr:uid="{71484C7E-C84F-4F68-A471-FD785841875E}"/>
    <cellStyle name="Standard 2 42 2" xfId="17744" xr:uid="{CD057B73-9B06-4C8D-9075-60CAAE387B82}"/>
    <cellStyle name="Standard 2 42 2 2" xfId="37181" xr:uid="{0C13BE86-E8EA-4184-9853-47320209FF6C}"/>
    <cellStyle name="Standard 2 42 3" xfId="37180" xr:uid="{FEFA8CA0-071B-4514-B6FA-3FACD3D6599D}"/>
    <cellStyle name="Standard 2 43" xfId="17745" xr:uid="{DBA17F3B-4350-4423-87C1-68CF72AEBD14}"/>
    <cellStyle name="Standard 2 43 2" xfId="17746" xr:uid="{688036E2-777D-4E55-A800-3586319CE85C}"/>
    <cellStyle name="Standard 2 43 2 2" xfId="37183" xr:uid="{9EC6D71C-EEC3-4F00-9260-94C526B0C1BF}"/>
    <cellStyle name="Standard 2 43 3" xfId="37182" xr:uid="{E8EB164A-F9DE-4EB3-86E6-995E6B47951E}"/>
    <cellStyle name="Standard 2 44" xfId="17747" xr:uid="{C1EF699A-5632-4942-8C12-3B5A66A913B4}"/>
    <cellStyle name="Standard 2 44 2" xfId="17748" xr:uid="{B03F1248-0FAD-4D85-9BC4-11B5A7228640}"/>
    <cellStyle name="Standard 2 44 2 2" xfId="37185" xr:uid="{D689E04E-F774-4F81-A83F-C9A2B4E673D6}"/>
    <cellStyle name="Standard 2 44 3" xfId="37184" xr:uid="{EA5CDBA3-CF7B-4AA2-9FB5-F10DB3ACE203}"/>
    <cellStyle name="Standard 2 45" xfId="17749" xr:uid="{CD8C540C-68C9-41E4-9F8D-167CF73E7A2F}"/>
    <cellStyle name="Standard 2 45 2" xfId="17750" xr:uid="{CDB598BD-3334-4460-B953-1EC9015415B3}"/>
    <cellStyle name="Standard 2 45 2 2" xfId="37187" xr:uid="{3182823E-D05E-43B7-BE31-C2AB1EAFE979}"/>
    <cellStyle name="Standard 2 45 3" xfId="37186" xr:uid="{A7215DB5-01B2-45BA-ACC9-0437D9263E1D}"/>
    <cellStyle name="Standard 2 46" xfId="17751" xr:uid="{2B585497-2351-44EA-8EB8-02D507ABAB8E}"/>
    <cellStyle name="Standard 2 46 2" xfId="17752" xr:uid="{207B6098-9902-43CB-8D17-7977F8B77A0B}"/>
    <cellStyle name="Standard 2 46 2 2" xfId="37189" xr:uid="{5DA7EB84-CA0C-4B76-BC7F-2D1154F4262C}"/>
    <cellStyle name="Standard 2 46 3" xfId="37188" xr:uid="{19F7FA80-BBCF-4E57-B24C-B43921A6FD42}"/>
    <cellStyle name="Standard 2 47" xfId="17753" xr:uid="{E311553B-1B7D-4613-BD5D-CEE64AF54050}"/>
    <cellStyle name="Standard 2 47 2" xfId="17754" xr:uid="{18A4473D-2991-494E-9392-C6EF9D0FC3A1}"/>
    <cellStyle name="Standard 2 47 2 2" xfId="37191" xr:uid="{CBF92261-D705-4708-A4E2-789AB0A4ECC6}"/>
    <cellStyle name="Standard 2 47 3" xfId="37190" xr:uid="{2769D48E-FE86-40EC-9374-66C208A4B6BE}"/>
    <cellStyle name="Standard 2 48" xfId="17755" xr:uid="{254BA6F9-3E67-4D10-A599-EAF37E2BE8CF}"/>
    <cellStyle name="Standard 2 48 2" xfId="17756" xr:uid="{2ED93D27-2D67-4D15-8817-CCC0F25CF866}"/>
    <cellStyle name="Standard 2 48 2 2" xfId="37193" xr:uid="{0A2101D3-205B-47D0-B2F0-5B8D85CB10E1}"/>
    <cellStyle name="Standard 2 48 3" xfId="37192" xr:uid="{A3DDF0EA-2563-4055-91CD-E02E3DA02BA2}"/>
    <cellStyle name="Standard 2 49" xfId="17757" xr:uid="{0093E708-167A-4DCC-A51A-F64B22B1B9B6}"/>
    <cellStyle name="Standard 2 49 2" xfId="17758" xr:uid="{58F1E1F4-C10A-4775-8897-3BE1D9EFE689}"/>
    <cellStyle name="Standard 2 49 2 2" xfId="37195" xr:uid="{09A59776-567F-4D71-B299-2AFADC97D21C}"/>
    <cellStyle name="Standard 2 49 3" xfId="37194" xr:uid="{16472258-8C9C-4F91-90EB-1925AE5B7B2D}"/>
    <cellStyle name="Standard 2 5" xfId="17759" xr:uid="{D530C8F8-480C-4021-8807-02831D69641E}"/>
    <cellStyle name="Standard 2 5 2" xfId="17760" xr:uid="{AD31AC87-2545-4028-A186-A9BB368990AA}"/>
    <cellStyle name="Standard 2 5 2 2" xfId="17761" xr:uid="{D1AA4AB1-35DB-4BDD-BB65-878243FC0450}"/>
    <cellStyle name="Standard 2 5 2 2 2" xfId="37198" xr:uid="{21399C7D-8A57-4524-A321-775A81BB9D39}"/>
    <cellStyle name="Standard 2 5 2 3" xfId="37197" xr:uid="{FE5E7A59-F0F8-406D-ADD4-C37C7F565978}"/>
    <cellStyle name="Standard 2 5 3" xfId="17762" xr:uid="{ED4FFB40-7F63-47CE-B31D-63775EC4ABC3}"/>
    <cellStyle name="Standard 2 5 3 2" xfId="37199" xr:uid="{8750D469-2D60-41AB-8F5C-7C051814685C}"/>
    <cellStyle name="Standard 2 5 4" xfId="17763" xr:uid="{BA17009E-B7F1-461D-8492-20C21763313F}"/>
    <cellStyle name="Standard 2 5 4 2" xfId="37200" xr:uid="{0D31C51C-0FA3-4ED0-8844-C3B0772E5910}"/>
    <cellStyle name="Standard 2 5 5" xfId="37196" xr:uid="{8E6B7492-D15F-4473-8297-341136EC305E}"/>
    <cellStyle name="Standard 2 5 6" xfId="39712" xr:uid="{FBCCB089-592A-42E0-AF12-5FABC2B38E49}"/>
    <cellStyle name="Standard 2 50" xfId="17764" xr:uid="{0C879BEC-561B-473A-93DF-AFC46C4F901A}"/>
    <cellStyle name="Standard 2 50 2" xfId="17765" xr:uid="{6DA89214-FAC6-446E-9861-1F6684C2F882}"/>
    <cellStyle name="Standard 2 50 2 2" xfId="37202" xr:uid="{341E0D2E-F212-4BB0-A878-B109303C7DE6}"/>
    <cellStyle name="Standard 2 50 3" xfId="37201" xr:uid="{9E07483C-901A-4F79-80E2-1AFC632BBB97}"/>
    <cellStyle name="Standard 2 51" xfId="17766" xr:uid="{E94D42BA-FC87-4C49-8431-7260D5A172C3}"/>
    <cellStyle name="Standard 2 51 2" xfId="17767" xr:uid="{DCC322DC-B93A-4D4D-85E7-75965505A059}"/>
    <cellStyle name="Standard 2 51 2 2" xfId="37204" xr:uid="{3C7A9830-94C5-4E54-B739-7F2FF2D8BDA9}"/>
    <cellStyle name="Standard 2 51 3" xfId="37203" xr:uid="{D27C0616-40DF-4D76-A113-9C5BEA02E7E3}"/>
    <cellStyle name="Standard 2 52" xfId="17768" xr:uid="{9F963481-C6E0-4183-B096-91912883D6A5}"/>
    <cellStyle name="Standard 2 52 2" xfId="17769" xr:uid="{17D9AA2A-663E-4D9C-A04D-4FF1E48EF0BF}"/>
    <cellStyle name="Standard 2 52 2 2" xfId="37206" xr:uid="{1A1CE0B0-035E-438C-85AF-68AC9CB31499}"/>
    <cellStyle name="Standard 2 52 3" xfId="37205" xr:uid="{AA776DB2-E077-489C-BBF0-DA54ECD4B287}"/>
    <cellStyle name="Standard 2 53" xfId="17770" xr:uid="{744326E9-19AA-4371-8F97-FA960370B0A8}"/>
    <cellStyle name="Standard 2 53 2" xfId="17771" xr:uid="{7C801C39-0D81-4995-BFFF-823398F37D27}"/>
    <cellStyle name="Standard 2 53 2 2" xfId="37208" xr:uid="{8D831CB1-1084-4AE0-AEF3-8DDB689EB8FB}"/>
    <cellStyle name="Standard 2 53 3" xfId="37207" xr:uid="{CE4582BD-7376-45ED-B2B2-DC915D2733AC}"/>
    <cellStyle name="Standard 2 54" xfId="17772" xr:uid="{510393BE-EB7E-4EBE-858B-70D7BAEAE498}"/>
    <cellStyle name="Standard 2 54 2" xfId="17773" xr:uid="{9D4AA464-4627-4EDC-BAD6-B4B74109DBE2}"/>
    <cellStyle name="Standard 2 54 2 2" xfId="37210" xr:uid="{C5A2A826-4B67-488C-A0A1-73D48EC54BBF}"/>
    <cellStyle name="Standard 2 54 3" xfId="37209" xr:uid="{AA797099-C93E-4522-8057-A08BE7750000}"/>
    <cellStyle name="Standard 2 55" xfId="17774" xr:uid="{F4135912-A0B6-450D-BD18-2DD98A0256C9}"/>
    <cellStyle name="Standard 2 55 2" xfId="17775" xr:uid="{504BE904-3981-4119-AA96-86BF1D81546F}"/>
    <cellStyle name="Standard 2 55 2 2" xfId="37212" xr:uid="{9CCA4B04-BB73-4997-AA10-8A3B1EEA8C7E}"/>
    <cellStyle name="Standard 2 55 3" xfId="37211" xr:uid="{9CD28331-8EAF-4EDF-8B38-39A436BC833A}"/>
    <cellStyle name="Standard 2 56" xfId="17776" xr:uid="{AFA991E4-4369-4707-8D84-9608CF8CBD78}"/>
    <cellStyle name="Standard 2 56 2" xfId="17777" xr:uid="{B7A4473E-C141-41DC-9E1E-81E30BF003C3}"/>
    <cellStyle name="Standard 2 56 2 2" xfId="37214" xr:uid="{3BC4D98C-6009-459F-9B5C-C8F36BB60290}"/>
    <cellStyle name="Standard 2 56 3" xfId="37213" xr:uid="{66BDA40E-1920-4B22-A14B-9E2EE9EF0F63}"/>
    <cellStyle name="Standard 2 57" xfId="17778" xr:uid="{B201C8A3-3666-40D9-BDFA-6E96C4024B02}"/>
    <cellStyle name="Standard 2 57 2" xfId="17779" xr:uid="{092B3B97-1286-467D-BF33-311F7F01CDA4}"/>
    <cellStyle name="Standard 2 57 2 2" xfId="37216" xr:uid="{A9C1BFEA-9B38-44CF-AC70-34C298A696D5}"/>
    <cellStyle name="Standard 2 57 3" xfId="37215" xr:uid="{E3D08F2E-1899-4EC6-B44D-A2D253FD6359}"/>
    <cellStyle name="Standard 2 58" xfId="17780" xr:uid="{7C2AD376-4C55-48A8-ADB1-4A741A0CEB77}"/>
    <cellStyle name="Standard 2 58 2" xfId="17781" xr:uid="{D9EEDF53-618A-4470-B35D-4D1847B1294A}"/>
    <cellStyle name="Standard 2 58 2 2" xfId="37218" xr:uid="{4F86BADD-60BF-4E77-BB5A-DA2D91B348C9}"/>
    <cellStyle name="Standard 2 58 3" xfId="37217" xr:uid="{31F03DD2-5378-4B7F-B1E0-1E1A04F9653F}"/>
    <cellStyle name="Standard 2 59" xfId="17782" xr:uid="{781397CC-B547-4C0F-A9F0-15A50198D0EC}"/>
    <cellStyle name="Standard 2 59 2" xfId="17783" xr:uid="{5AB960B6-C9B2-45EA-A336-523AF8F9E301}"/>
    <cellStyle name="Standard 2 59 2 2" xfId="37220" xr:uid="{53BCEF96-0CAE-479E-A9ED-436A0D0D20B0}"/>
    <cellStyle name="Standard 2 59 3" xfId="37219" xr:uid="{920FF2D6-6B35-4D35-8AEC-BEE202B24C80}"/>
    <cellStyle name="Standard 2 6" xfId="17784" xr:uid="{A333D9C0-EB39-41C9-AF75-59B90F3B5E30}"/>
    <cellStyle name="Standard 2 6 2" xfId="17785" xr:uid="{D9B6DA48-13D1-4414-8467-820D3537168A}"/>
    <cellStyle name="Standard 2 6 2 2" xfId="37222" xr:uid="{F58BC726-B86C-4857-B94B-03A40C4B1675}"/>
    <cellStyle name="Standard 2 6 3" xfId="17786" xr:uid="{09F13C47-5604-457F-A917-0D8899A17F6F}"/>
    <cellStyle name="Standard 2 6 3 2" xfId="37223" xr:uid="{B7BB04B5-0001-46F8-A406-45EB6D8F1DD7}"/>
    <cellStyle name="Standard 2 6 4" xfId="17787" xr:uid="{42030AE8-0A60-4DEA-ACE0-DC12054B13F5}"/>
    <cellStyle name="Standard 2 6 4 2" xfId="37224" xr:uid="{C5CCB7CC-24C1-45C7-82BF-1426BABC1E2A}"/>
    <cellStyle name="Standard 2 6 5" xfId="37221" xr:uid="{77959C94-2255-4137-A903-187C638353EB}"/>
    <cellStyle name="Standard 2 6 6" xfId="39713" xr:uid="{360452BD-E1D2-4E1E-9C58-979E75EBD74C}"/>
    <cellStyle name="Standard 2 60" xfId="17788" xr:uid="{514425CA-576F-479F-845B-2EB4FD9D83D2}"/>
    <cellStyle name="Standard 2 60 2" xfId="17789" xr:uid="{158295C3-2B5A-49C2-8241-580B46D53CD9}"/>
    <cellStyle name="Standard 2 60 2 2" xfId="37226" xr:uid="{A1A1651D-7B27-4475-A973-779C90FE9297}"/>
    <cellStyle name="Standard 2 60 3" xfId="37225" xr:uid="{62C7F050-8455-4556-980F-B9F4F85B5DDB}"/>
    <cellStyle name="Standard 2 61" xfId="17790" xr:uid="{96E95B39-49E6-4D84-9638-5ECFD3C87713}"/>
    <cellStyle name="Standard 2 61 2" xfId="17791" xr:uid="{BA14B501-18FE-475F-87BD-CA09DCC31F28}"/>
    <cellStyle name="Standard 2 61 2 2" xfId="37228" xr:uid="{B46EF5D0-8A1A-4FF8-BDAE-6B20DD31C20D}"/>
    <cellStyle name="Standard 2 61 3" xfId="37227" xr:uid="{FFFD3DCE-D477-4C81-B1D8-F078DEA64B7C}"/>
    <cellStyle name="Standard 2 62" xfId="17792" xr:uid="{C67EE472-E604-4F49-B343-3C4BE5662AD7}"/>
    <cellStyle name="Standard 2 62 2" xfId="17793" xr:uid="{30442E61-1014-417C-A0A8-05FF643BDAB0}"/>
    <cellStyle name="Standard 2 62 2 2" xfId="37230" xr:uid="{B7022DB1-4D29-47E9-9341-A93A7A1D908C}"/>
    <cellStyle name="Standard 2 62 3" xfId="37229" xr:uid="{5DB019E3-29B6-4382-AF1A-C60833D4458B}"/>
    <cellStyle name="Standard 2 63" xfId="17794" xr:uid="{7F707B73-8242-44CF-A72D-7701BF104F24}"/>
    <cellStyle name="Standard 2 63 2" xfId="17795" xr:uid="{F84540DA-E83B-4883-92CC-43ECD0D7B691}"/>
    <cellStyle name="Standard 2 63 2 2" xfId="37232" xr:uid="{6535ACBD-F532-44EE-B2F5-793D9FF0EC20}"/>
    <cellStyle name="Standard 2 63 3" xfId="37231" xr:uid="{E9EBF256-F327-4E7F-A73A-EF5199A5F5AA}"/>
    <cellStyle name="Standard 2 64" xfId="17796" xr:uid="{A88A0E67-68EC-4014-8FFC-8C8D4B78FAF9}"/>
    <cellStyle name="Standard 2 64 2" xfId="17797" xr:uid="{E699F71B-51B6-4CA2-A56B-9E48C985E618}"/>
    <cellStyle name="Standard 2 64 2 2" xfId="37234" xr:uid="{8679E4A0-C102-4C3B-9FED-0209502B8BE2}"/>
    <cellStyle name="Standard 2 64 3" xfId="37233" xr:uid="{8562A463-89E0-44AE-8858-3D6EE7E4CC18}"/>
    <cellStyle name="Standard 2 65" xfId="17798" xr:uid="{C0C76CD4-D9B8-4358-A378-D0B27947CA1E}"/>
    <cellStyle name="Standard 2 65 2" xfId="17799" xr:uid="{6A4FF862-FB74-48CD-BC22-4CA3420BD55A}"/>
    <cellStyle name="Standard 2 65 2 2" xfId="37236" xr:uid="{2868BEAF-6AED-485E-829F-DEE5E2056A2C}"/>
    <cellStyle name="Standard 2 65 3" xfId="37235" xr:uid="{814F076F-895F-4D7D-A6F5-FAA7EDF8FD44}"/>
    <cellStyle name="Standard 2 66" xfId="17800" xr:uid="{06F820FA-F1C9-40A6-ADD1-E8D03A287084}"/>
    <cellStyle name="Standard 2 66 2" xfId="17801" xr:uid="{E46B2838-BE87-4F29-9842-9D912D01CA9E}"/>
    <cellStyle name="Standard 2 66 2 2" xfId="37238" xr:uid="{59057223-C3D4-46ED-A075-B599C8E72C36}"/>
    <cellStyle name="Standard 2 66 3" xfId="37237" xr:uid="{4A8D8724-D559-440E-8C70-29B991F426EE}"/>
    <cellStyle name="Standard 2 67" xfId="17802" xr:uid="{49F92F8F-C6D9-4E4F-BC5F-B540D3A888BF}"/>
    <cellStyle name="Standard 2 67 2" xfId="37239" xr:uid="{3E3C9E36-071B-4D05-BE1E-D1A7C7607FCD}"/>
    <cellStyle name="Standard 2 68" xfId="17803" xr:uid="{F95E6945-E58C-41A1-A2D7-B85B41178FCC}"/>
    <cellStyle name="Standard 2 68 2" xfId="37240" xr:uid="{3FD44915-7DF5-49C0-9643-A007ED3C3E74}"/>
    <cellStyle name="Standard 2 69" xfId="39268" xr:uid="{37613090-87FF-4A49-9D3D-9F742FCA5F0C}"/>
    <cellStyle name="Standard 2 7" xfId="17804" xr:uid="{51833671-0812-49CF-8ACC-8181A76F5AEE}"/>
    <cellStyle name="Standard 2 7 2" xfId="17805" xr:uid="{2B8173A4-1A0C-4723-9F0D-FE12274B2532}"/>
    <cellStyle name="Standard 2 7 2 2" xfId="37242" xr:uid="{A83311B8-AE9F-40CE-8D03-551DACB3AC5A}"/>
    <cellStyle name="Standard 2 7 3" xfId="17806" xr:uid="{2531D49E-9085-457D-8276-2A3592ED7DE3}"/>
    <cellStyle name="Standard 2 7 3 2" xfId="37243" xr:uid="{0013400D-73CF-4D07-AEF4-A4F96436115B}"/>
    <cellStyle name="Standard 2 7 4" xfId="17807" xr:uid="{86B523D2-F326-4006-B799-A0AE03F99B5E}"/>
    <cellStyle name="Standard 2 7 4 2" xfId="37244" xr:uid="{804A14D8-7F21-420A-94C6-B77C9E1BF939}"/>
    <cellStyle name="Standard 2 7 5" xfId="37241" xr:uid="{81CF087B-1012-4BAE-AC95-2BA94AD0E3DE}"/>
    <cellStyle name="Standard 2 7 6" xfId="39714" xr:uid="{8CF0BF67-14EC-493C-A5D1-D320C3AEA864}"/>
    <cellStyle name="Standard 2 70" xfId="19835" xr:uid="{9CAAEC9D-8185-4B1A-A6BA-2E2DB1110199}"/>
    <cellStyle name="Standard 2 8" xfId="17808" xr:uid="{E0AD64DF-6585-4531-9144-FAC425AD2EA3}"/>
    <cellStyle name="Standard 2 8 2" xfId="17809" xr:uid="{7FB220B8-0429-4220-9B51-686889E7A72D}"/>
    <cellStyle name="Standard 2 8 2 2" xfId="37246" xr:uid="{DDCD199A-694D-4D89-8678-0AE7030DF930}"/>
    <cellStyle name="Standard 2 8 3" xfId="17810" xr:uid="{EA9EEFF9-24AB-4F9C-B89F-9CB9CF11D149}"/>
    <cellStyle name="Standard 2 8 3 2" xfId="37247" xr:uid="{BD024B70-E1FE-4086-A280-1C5481D0B1E7}"/>
    <cellStyle name="Standard 2 8 4" xfId="17811" xr:uid="{E3247C96-18FC-4B5F-81DF-BA377E6FDCF1}"/>
    <cellStyle name="Standard 2 8 4 2" xfId="37248" xr:uid="{82F4FB05-9764-47DD-A6B5-F84E92409A3B}"/>
    <cellStyle name="Standard 2 8 5" xfId="37245" xr:uid="{DC39CD50-2256-4509-A228-9C40F6D7E537}"/>
    <cellStyle name="Standard 2 8 6" xfId="39715" xr:uid="{4BE9B8CB-01EE-405A-92DB-AC7B0AC344BD}"/>
    <cellStyle name="Standard 2 9" xfId="17812" xr:uid="{FA3F4D01-36D3-41D4-B6BE-8558B4D306E1}"/>
    <cellStyle name="Standard 2 9 2" xfId="17813" xr:uid="{2FABD0F3-6984-4CE0-A606-37FFC3D7D35E}"/>
    <cellStyle name="Standard 2 9 2 2" xfId="37250" xr:uid="{73C7B5F2-C161-40C4-90C2-549BB5D3487D}"/>
    <cellStyle name="Standard 2 9 3" xfId="17814" xr:uid="{94DB748C-EE79-4DA0-BC6F-65439AD7C80E}"/>
    <cellStyle name="Standard 2 9 3 2" xfId="37251" xr:uid="{992568B5-BB29-47C5-B630-05D036A757E8}"/>
    <cellStyle name="Standard 2 9 4" xfId="17815" xr:uid="{12CFB678-C52B-4E38-BB83-1BC0B7A9F518}"/>
    <cellStyle name="Standard 2 9 4 2" xfId="37252" xr:uid="{B0869055-3111-4DE0-8E11-4573F995DD33}"/>
    <cellStyle name="Standard 2 9 5" xfId="37249" xr:uid="{1C37F657-A2E4-4C9E-A12D-503AD0DC7345}"/>
    <cellStyle name="Standard 2 9 6" xfId="39716" xr:uid="{8A76B101-CD92-4901-B6EC-955D7FD0874A}"/>
    <cellStyle name="Standard 20" xfId="39717" xr:uid="{11312FF6-D7AC-44BB-BF52-FD8DF207E229}"/>
    <cellStyle name="Standard 20 10" xfId="17816" xr:uid="{0E61060D-C2B6-455F-B34A-EDB063200A73}"/>
    <cellStyle name="Standard 20 10 2" xfId="17817" xr:uid="{361BF758-547E-4BD2-93FB-DE8DBC165E09}"/>
    <cellStyle name="Standard 20 10 2 2" xfId="37254" xr:uid="{125715E7-208F-4894-B21D-3D4B652B2638}"/>
    <cellStyle name="Standard 20 10 3" xfId="37253" xr:uid="{7D1938F3-DBFF-420A-BB96-FE8AE29C6BE6}"/>
    <cellStyle name="Standard 20 11" xfId="17818" xr:uid="{15FBC9C8-AC9B-431B-B81F-61B22FF58DE3}"/>
    <cellStyle name="Standard 20 11 2" xfId="17819" xr:uid="{FDDA476C-2750-411B-9B35-37E3E69072A4}"/>
    <cellStyle name="Standard 20 11 2 2" xfId="37256" xr:uid="{A75E4806-A28D-475C-AE13-5C90771691BE}"/>
    <cellStyle name="Standard 20 11 3" xfId="37255" xr:uid="{4190F77D-DA61-46DB-83B8-3BB8B0C0FED9}"/>
    <cellStyle name="Standard 20 12" xfId="17820" xr:uid="{A984479B-1EC5-465B-A57E-1A97F8AC8E29}"/>
    <cellStyle name="Standard 20 12 2" xfId="17821" xr:uid="{9258A80C-0F5A-408A-9B1F-3B9B414554EE}"/>
    <cellStyle name="Standard 20 12 2 2" xfId="37258" xr:uid="{DD560304-1230-4524-AC59-E40EC05BFE2E}"/>
    <cellStyle name="Standard 20 12 3" xfId="37257" xr:uid="{07FA8439-9E42-428A-A27F-D715A3BE7BBF}"/>
    <cellStyle name="Standard 20 13" xfId="17822" xr:uid="{CC391C8D-E001-40EC-B756-A0F9B4D1EEEB}"/>
    <cellStyle name="Standard 20 13 2" xfId="17823" xr:uid="{841FB737-496A-4820-9C98-E04B93DE9F09}"/>
    <cellStyle name="Standard 20 13 2 2" xfId="37260" xr:uid="{5EC4FBBE-8BE0-468F-8E4B-B290BD2A45B5}"/>
    <cellStyle name="Standard 20 13 3" xfId="37259" xr:uid="{28B654ED-2345-4D4F-8661-C98EB3D7C995}"/>
    <cellStyle name="Standard 20 14" xfId="17824" xr:uid="{702D9BE0-4328-4D48-9C8B-C3DC1F878BD9}"/>
    <cellStyle name="Standard 20 14 2" xfId="17825" xr:uid="{6319D2C5-D180-4BEE-96D5-62124EE54CD5}"/>
    <cellStyle name="Standard 20 14 2 2" xfId="37262" xr:uid="{32AB7218-EED0-4382-A314-70057C3E9DC0}"/>
    <cellStyle name="Standard 20 14 3" xfId="37261" xr:uid="{43B491A4-B284-45AB-AADC-63AF9140CD3F}"/>
    <cellStyle name="Standard 20 15" xfId="17826" xr:uid="{4E8ECECF-3248-4E20-AB8C-BA64721C5BE8}"/>
    <cellStyle name="Standard 20 15 2" xfId="17827" xr:uid="{0CAEC728-5324-487A-B1B5-3F40AA38B8E0}"/>
    <cellStyle name="Standard 20 15 2 2" xfId="37264" xr:uid="{820324CE-A8E8-4B06-9B9B-238A4244D7DD}"/>
    <cellStyle name="Standard 20 15 3" xfId="37263" xr:uid="{7D22A061-DDDB-4DAD-B9DF-C3BA66079307}"/>
    <cellStyle name="Standard 20 16" xfId="17828" xr:uid="{13BEFDF6-8AE1-4587-A51B-E568D8F9D0DD}"/>
    <cellStyle name="Standard 20 16 2" xfId="17829" xr:uid="{A15DD7D2-92D0-4286-9692-CDFEE39745CF}"/>
    <cellStyle name="Standard 20 16 2 2" xfId="37266" xr:uid="{23B47B0A-6DA5-469F-ADB0-BCE734072E4E}"/>
    <cellStyle name="Standard 20 16 3" xfId="37265" xr:uid="{4EC2DC8D-7BC0-46B7-BF99-75CAC7978D6A}"/>
    <cellStyle name="Standard 20 17" xfId="17830" xr:uid="{79E37B26-49D0-49C6-9C54-5375D14EAD2A}"/>
    <cellStyle name="Standard 20 17 2" xfId="17831" xr:uid="{BDC7CA52-1C04-485C-8742-E6DA9BF5DA38}"/>
    <cellStyle name="Standard 20 17 2 2" xfId="37268" xr:uid="{5F226858-0A19-4D06-9FDE-8A0106772744}"/>
    <cellStyle name="Standard 20 17 3" xfId="37267" xr:uid="{AAB8B42F-7128-490C-A679-D99BF2100B25}"/>
    <cellStyle name="Standard 20 18" xfId="17832" xr:uid="{10F1CA3A-FA04-4475-81BF-4C53D6894CEA}"/>
    <cellStyle name="Standard 20 18 2" xfId="17833" xr:uid="{141F8F7C-B32D-44E3-90BA-C9649CCDE58C}"/>
    <cellStyle name="Standard 20 18 2 2" xfId="37270" xr:uid="{CE8E6F19-72C0-4917-ACC9-30848FB6DBB2}"/>
    <cellStyle name="Standard 20 18 3" xfId="37269" xr:uid="{90B071CD-C62B-4C7B-A112-F759B7C4CE62}"/>
    <cellStyle name="Standard 20 19" xfId="17834" xr:uid="{8F8B5E57-8B72-4355-B43C-24424B0B4EA1}"/>
    <cellStyle name="Standard 20 19 2" xfId="17835" xr:uid="{DA8DD712-D183-476F-9D40-EA99E84CEF05}"/>
    <cellStyle name="Standard 20 19 2 2" xfId="37272" xr:uid="{9A986AA7-3A3E-459B-A7C9-AA10C4BFFE3C}"/>
    <cellStyle name="Standard 20 19 3" xfId="37271" xr:uid="{DDD93647-E505-4412-AFF4-AF35ECBF0A2D}"/>
    <cellStyle name="Standard 20 2" xfId="17836" xr:uid="{E1F7B287-E500-499C-8C85-B85CBA80204A}"/>
    <cellStyle name="Standard 20 2 2" xfId="17837" xr:uid="{D20E9331-1175-48B4-A40B-3A65E3DF3238}"/>
    <cellStyle name="Standard 20 2 2 2" xfId="37274" xr:uid="{2E8D2189-F4C2-44E2-B6E2-1065B8139B23}"/>
    <cellStyle name="Standard 20 2 2 2 2" xfId="41160" xr:uid="{DB85708F-D413-4B8A-BFE9-F2AB8401B22A}"/>
    <cellStyle name="Standard 20 2 2 3" xfId="42018" xr:uid="{EC8B346F-0FFE-4288-B5FA-161DDD715D89}"/>
    <cellStyle name="Standard 20 2 2 4" xfId="40256" xr:uid="{C1474D36-36D9-494B-83C3-0DD0BDBE11D1}"/>
    <cellStyle name="Standard 20 2 3" xfId="37273" xr:uid="{97D453E7-7A3D-49B9-A60A-EFDFC094B53E}"/>
    <cellStyle name="Standard 20 2 3 2" xfId="40717" xr:uid="{EC7CE698-4CD4-4471-B108-9C1A9DE064C9}"/>
    <cellStyle name="Standard 20 2 4" xfId="41577" xr:uid="{14584086-606E-4B06-A665-F3684EE338A4}"/>
    <cellStyle name="Standard 20 2 5" xfId="39718" xr:uid="{B0E38B5E-EFC4-4D24-8355-2B7CB33924EB}"/>
    <cellStyle name="Standard 20 20" xfId="17838" xr:uid="{E05F86B7-FFA6-4FFF-B945-EF51F61A246D}"/>
    <cellStyle name="Standard 20 20 2" xfId="17839" xr:uid="{000622ED-F7E4-4EFA-B812-B2222789582D}"/>
    <cellStyle name="Standard 20 20 2 2" xfId="37276" xr:uid="{D48A8686-F85C-4187-98F2-82189780AE38}"/>
    <cellStyle name="Standard 20 20 3" xfId="37275" xr:uid="{CBEC8FD6-357B-482A-8638-AF8B526D1D7C}"/>
    <cellStyle name="Standard 20 21" xfId="17840" xr:uid="{413EC761-C2B0-4E82-B161-19C536335A22}"/>
    <cellStyle name="Standard 20 21 2" xfId="17841" xr:uid="{C460A16C-853C-4C3B-8C8F-F82B8E20641E}"/>
    <cellStyle name="Standard 20 21 2 2" xfId="37278" xr:uid="{BB41068B-AC5C-4DCA-9D01-97FB362427D5}"/>
    <cellStyle name="Standard 20 21 3" xfId="37277" xr:uid="{53362755-9889-453C-A852-E0EA27C5D420}"/>
    <cellStyle name="Standard 20 22" xfId="17842" xr:uid="{6179A2D9-29A7-41BC-959B-5085E41567EB}"/>
    <cellStyle name="Standard 20 22 2" xfId="37279" xr:uid="{60B72D54-809E-4FD8-81F7-06D2E6867AE5}"/>
    <cellStyle name="Standard 20 23" xfId="17843" xr:uid="{06770E5B-6DE3-4552-9003-F12DFEA3ECD5}"/>
    <cellStyle name="Standard 20 23 2" xfId="37280" xr:uid="{95C265AF-4FB6-446B-AC57-D7081A496F9E}"/>
    <cellStyle name="Standard 20 3" xfId="17844" xr:uid="{93036501-2899-401B-85B4-7E2905974EE3}"/>
    <cellStyle name="Standard 20 3 2" xfId="17845" xr:uid="{ABFBC7A2-493A-44D3-B0F6-8C76812F9391}"/>
    <cellStyle name="Standard 20 3 2 2" xfId="37282" xr:uid="{1090D749-D789-4C7C-B95F-D6A4C08AF888}"/>
    <cellStyle name="Standard 20 3 2 3" xfId="41159" xr:uid="{8C4365D8-39E1-45C4-8CFF-91C6ED715255}"/>
    <cellStyle name="Standard 20 3 3" xfId="37281" xr:uid="{9D33825E-A16A-468D-85EA-D04D62244F59}"/>
    <cellStyle name="Standard 20 3 3 2" xfId="42017" xr:uid="{977A41C2-D8FB-41B8-BB32-DC34D9B57FDA}"/>
    <cellStyle name="Standard 20 3 4" xfId="40255" xr:uid="{130EB3AD-8E02-4780-BB05-D4D210ADF63B}"/>
    <cellStyle name="Standard 20 4" xfId="17846" xr:uid="{B4E0CF32-4F9F-4A19-90D7-057A7191DEC3}"/>
    <cellStyle name="Standard 20 4 2" xfId="17847" xr:uid="{953F01BD-5C72-45D6-A03A-8DE44BC095BE}"/>
    <cellStyle name="Standard 20 4 2 2" xfId="37284" xr:uid="{A733C914-28CB-4467-A03C-1F51D06A81CE}"/>
    <cellStyle name="Standard 20 4 3" xfId="37283" xr:uid="{AC3A53D4-8200-41C1-AB29-02EE4C3BBA6F}"/>
    <cellStyle name="Standard 20 4 4" xfId="40716" xr:uid="{D6D8D466-F8AB-43CE-8E76-31B41A287AE7}"/>
    <cellStyle name="Standard 20 5" xfId="17848" xr:uid="{E902B6BC-F852-429B-972D-9A7BCFF0A100}"/>
    <cellStyle name="Standard 20 5 2" xfId="17849" xr:uid="{B0D80553-5169-4C1F-B18B-425CCFF6DDB1}"/>
    <cellStyle name="Standard 20 5 2 2" xfId="37286" xr:uid="{4DBD2F1B-A907-4235-959E-72E5BABF5674}"/>
    <cellStyle name="Standard 20 5 3" xfId="37285" xr:uid="{5679D31D-A87B-46A6-AFB5-23D2DFC28DC3}"/>
    <cellStyle name="Standard 20 5 4" xfId="41576" xr:uid="{F86425C0-B6D8-418F-BF9D-AAFC5A8D05D9}"/>
    <cellStyle name="Standard 20 6" xfId="17850" xr:uid="{DEE54FA0-A33B-4D7D-A39B-2281043BB68A}"/>
    <cellStyle name="Standard 20 6 2" xfId="17851" xr:uid="{5B9D5C2C-FA41-4EB2-9146-8FC7E20E0588}"/>
    <cellStyle name="Standard 20 6 2 2" xfId="37288" xr:uid="{BAD2BD19-FB25-42D1-AEDA-101A574759E4}"/>
    <cellStyle name="Standard 20 6 3" xfId="37287" xr:uid="{AD831291-DCFC-4C5F-A28B-5D88E113FCDA}"/>
    <cellStyle name="Standard 20 6 4" xfId="42188" xr:uid="{657EF886-07BC-42F1-A4EC-81728A381332}"/>
    <cellStyle name="Standard 20 7" xfId="17852" xr:uid="{22DC0131-A663-499C-BC9A-D64176E38094}"/>
    <cellStyle name="Standard 20 7 2" xfId="17853" xr:uid="{24F22BF3-1194-4CA6-BC46-2A528B125572}"/>
    <cellStyle name="Standard 20 7 2 2" xfId="37290" xr:uid="{F4DF5B69-7051-4C8F-8265-52AB6511D4C0}"/>
    <cellStyle name="Standard 20 7 3" xfId="37289" xr:uid="{5D9DB4E5-E440-4E03-9782-C87CC18984F1}"/>
    <cellStyle name="Standard 20 8" xfId="17854" xr:uid="{6AF5E81B-7F63-480D-8AC2-D342D8F8FE74}"/>
    <cellStyle name="Standard 20 8 2" xfId="17855" xr:uid="{BA0CF40A-3B24-4EC2-BE61-A03E33CB9F76}"/>
    <cellStyle name="Standard 20 8 2 2" xfId="37292" xr:uid="{1F3E9A72-D7DA-4B39-8FAA-B2DC8A5C70F8}"/>
    <cellStyle name="Standard 20 8 3" xfId="37291" xr:uid="{6B6927EF-F360-42F1-97E5-3C77254C17DF}"/>
    <cellStyle name="Standard 20 9" xfId="17856" xr:uid="{6551D1D3-3497-4C78-A432-6C17F80A7C29}"/>
    <cellStyle name="Standard 20 9 2" xfId="17857" xr:uid="{29AE52E7-6D8A-4F8D-80FF-F191E80DCB00}"/>
    <cellStyle name="Standard 20 9 2 2" xfId="37294" xr:uid="{A635E94F-EF5A-4080-800E-68B26813AEA2}"/>
    <cellStyle name="Standard 20 9 3" xfId="37293" xr:uid="{48401DF1-F178-401A-88C0-DA0AF1A46A4F}"/>
    <cellStyle name="Standard 21" xfId="39719" xr:uid="{15673F51-79C6-47A1-BC83-207FD2877AD3}"/>
    <cellStyle name="Standard 21 2" xfId="17858" xr:uid="{4A060AAC-A6F8-43E9-96D5-4F4DF3F5E810}"/>
    <cellStyle name="Standard 21 2 2" xfId="37295" xr:uid="{BE1ADB72-57EB-489A-A4EC-632D3C3FEF20}"/>
    <cellStyle name="Standard 21 2 2 2" xfId="41162" xr:uid="{04885103-C250-4C7A-93A3-2609F3BEB66B}"/>
    <cellStyle name="Standard 21 2 2 3" xfId="42020" xr:uid="{D584A491-B0B5-420F-BF3A-8F02D38CA345}"/>
    <cellStyle name="Standard 21 2 2 4" xfId="40258" xr:uid="{67E525DC-5989-4B98-9B4F-B70B54619665}"/>
    <cellStyle name="Standard 21 2 3" xfId="40719" xr:uid="{3AB7CAA7-A1AF-47CC-BD0E-F7553CBAB145}"/>
    <cellStyle name="Standard 21 2 4" xfId="41579" xr:uid="{59796410-CD3D-4A0D-9095-120AE4E93742}"/>
    <cellStyle name="Standard 21 2 5" xfId="39720" xr:uid="{FD2A3D19-BF5F-49A8-A912-86D09FFAB979}"/>
    <cellStyle name="Standard 21 3" xfId="17859" xr:uid="{FE623F44-F003-46B7-8531-44DAE30D1003}"/>
    <cellStyle name="Standard 21 3 2" xfId="37296" xr:uid="{C1F35DC3-96D1-4092-8CEE-A64F6842B303}"/>
    <cellStyle name="Standard 21 3 2 2" xfId="41161" xr:uid="{C4F805B7-F587-43A5-869B-9CF329DA1F14}"/>
    <cellStyle name="Standard 21 3 3" xfId="42019" xr:uid="{44C84CD2-1861-4FED-8465-07497DC7C921}"/>
    <cellStyle name="Standard 21 3 4" xfId="40257" xr:uid="{614A26AB-F19E-48F9-B142-57373C43C804}"/>
    <cellStyle name="Standard 21 4" xfId="40718" xr:uid="{E2B47F67-4D63-443D-8A87-E382D5056B64}"/>
    <cellStyle name="Standard 21 5" xfId="41578" xr:uid="{7E94B103-342A-4B97-BA04-103CF4E7C355}"/>
    <cellStyle name="Standard 22" xfId="39721" xr:uid="{A7187C70-FB7B-414F-A571-6810C6EE637D}"/>
    <cellStyle name="Standard 22 10" xfId="17860" xr:uid="{3B25CAB1-25BB-47DD-B14E-2DFF12D844C3}"/>
    <cellStyle name="Standard 22 10 2" xfId="17861" xr:uid="{683E80AB-09A3-410E-AF3C-DCF58B93966C}"/>
    <cellStyle name="Standard 22 10 2 2" xfId="37298" xr:uid="{681E75A9-52BA-41F3-8E4F-644EFB0B999F}"/>
    <cellStyle name="Standard 22 10 3" xfId="37297" xr:uid="{BA6B720F-08E4-4A7F-8BCE-924E1620ADA0}"/>
    <cellStyle name="Standard 22 11" xfId="17862" xr:uid="{3229D860-6FDF-4EAC-8106-869F68B7B28B}"/>
    <cellStyle name="Standard 22 11 2" xfId="17863" xr:uid="{33F7DED5-3110-4D3E-908E-B2891927F67E}"/>
    <cellStyle name="Standard 22 11 2 2" xfId="37300" xr:uid="{1AF178BD-FF48-4E73-AFA3-24FF9BD904C8}"/>
    <cellStyle name="Standard 22 11 3" xfId="37299" xr:uid="{4C9B39F1-61A0-48C2-B2C6-13E7D616C3CC}"/>
    <cellStyle name="Standard 22 12" xfId="17864" xr:uid="{62D191D9-D165-4253-AEDC-2E02A6FDEED5}"/>
    <cellStyle name="Standard 22 12 2" xfId="17865" xr:uid="{D709B775-96F8-46BE-92B1-D14EF69134BB}"/>
    <cellStyle name="Standard 22 12 2 2" xfId="37302" xr:uid="{0CE4A0F6-282D-4CDF-BAD6-4370A3215A6E}"/>
    <cellStyle name="Standard 22 12 3" xfId="37301" xr:uid="{78952592-7B69-47EA-82A6-636D7E321EF6}"/>
    <cellStyle name="Standard 22 13" xfId="17866" xr:uid="{4A1083B4-8F90-477B-9DFF-41006628AC2C}"/>
    <cellStyle name="Standard 22 13 2" xfId="17867" xr:uid="{EE02219E-14C3-4B84-93BB-925F5FE9B105}"/>
    <cellStyle name="Standard 22 13 2 2" xfId="37304" xr:uid="{D4991A04-C4FE-44AA-B14A-8A8216C9FAE4}"/>
    <cellStyle name="Standard 22 13 3" xfId="37303" xr:uid="{6585953C-9E32-480B-9BB3-42C29F426A3F}"/>
    <cellStyle name="Standard 22 14" xfId="17868" xr:uid="{6123276A-2058-4F50-9E2A-D0EDC21476E4}"/>
    <cellStyle name="Standard 22 14 2" xfId="17869" xr:uid="{F34EC88B-D8FB-4E98-A4E2-9D1AF7921F6A}"/>
    <cellStyle name="Standard 22 14 2 2" xfId="37306" xr:uid="{26E5C2C9-717A-422D-8E51-260A5B6E7263}"/>
    <cellStyle name="Standard 22 14 3" xfId="37305" xr:uid="{B80D0E79-2CBE-44C4-ABEE-7FB18EA5A46E}"/>
    <cellStyle name="Standard 22 15" xfId="17870" xr:uid="{A9A0FD69-1A21-42B4-B0DA-488430CA84CC}"/>
    <cellStyle name="Standard 22 15 2" xfId="17871" xr:uid="{A5C4A724-7409-40B5-8618-8482DFFC2237}"/>
    <cellStyle name="Standard 22 15 2 2" xfId="37308" xr:uid="{7D419903-DD36-40A9-B7E0-91DCB1D00150}"/>
    <cellStyle name="Standard 22 15 3" xfId="37307" xr:uid="{2C6089BB-9372-4FB1-B2FC-4A73B1AA34D0}"/>
    <cellStyle name="Standard 22 16" xfId="17872" xr:uid="{1C7E7433-4B16-48E1-B39E-7795496DD841}"/>
    <cellStyle name="Standard 22 16 2" xfId="17873" xr:uid="{E1C7C14D-C6B2-440A-BBBF-2D841266D60C}"/>
    <cellStyle name="Standard 22 16 2 2" xfId="37310" xr:uid="{2DA00317-A3D2-41AB-805F-D6165153FC90}"/>
    <cellStyle name="Standard 22 16 3" xfId="37309" xr:uid="{BCE0F9B5-4492-445C-880F-3FAA8DF39E8A}"/>
    <cellStyle name="Standard 22 17" xfId="17874" xr:uid="{FAD4C9F2-3229-4372-8FD0-5F0F9B1E5688}"/>
    <cellStyle name="Standard 22 17 2" xfId="17875" xr:uid="{D418B59B-9875-4DBC-B015-6C417025FF72}"/>
    <cellStyle name="Standard 22 17 2 2" xfId="37312" xr:uid="{449C3787-9973-4483-9988-4F1F0564EC50}"/>
    <cellStyle name="Standard 22 17 3" xfId="37311" xr:uid="{DAFF7C01-D198-44A0-AD6B-2AA5BFDD660B}"/>
    <cellStyle name="Standard 22 18" xfId="17876" xr:uid="{F293D7ED-3396-41D1-AC18-E60C54B3D514}"/>
    <cellStyle name="Standard 22 18 2" xfId="17877" xr:uid="{5E3D6CF3-1FDA-4B32-9F40-EE4EECF52C88}"/>
    <cellStyle name="Standard 22 18 2 2" xfId="37314" xr:uid="{4C908661-D2A0-407E-A19B-EF84CB2D5962}"/>
    <cellStyle name="Standard 22 18 3" xfId="37313" xr:uid="{D1829202-754E-4774-8C49-F0A0661644D4}"/>
    <cellStyle name="Standard 22 19" xfId="17878" xr:uid="{0B837376-294B-4581-A7C9-7C1555E46773}"/>
    <cellStyle name="Standard 22 19 2" xfId="17879" xr:uid="{E46A4782-94A6-4030-A522-0A774C597610}"/>
    <cellStyle name="Standard 22 19 2 2" xfId="37316" xr:uid="{417BD9DF-DEAE-4FEE-8E13-90B00F4B7C3D}"/>
    <cellStyle name="Standard 22 19 3" xfId="37315" xr:uid="{D60C26B1-777B-4D05-9D23-DC3103797C1C}"/>
    <cellStyle name="Standard 22 2" xfId="17880" xr:uid="{7E452136-4627-4FE0-8C89-F41131A5DC2C}"/>
    <cellStyle name="Standard 22 2 2" xfId="17881" xr:uid="{AF17146E-A4C6-45F7-A17D-7D165E8BE008}"/>
    <cellStyle name="Standard 22 2 2 2" xfId="37318" xr:uid="{51A54925-8A73-499F-B14B-9CD9824F634D}"/>
    <cellStyle name="Standard 22 2 2 2 2" xfId="41164" xr:uid="{031689A9-36D3-439A-8314-C7C087BF1BDA}"/>
    <cellStyle name="Standard 22 2 2 3" xfId="42022" xr:uid="{1715FC04-5AFF-4F8E-AA64-7AC2CF877D6E}"/>
    <cellStyle name="Standard 22 2 2 4" xfId="40260" xr:uid="{F479C232-3F42-41DA-9205-DD45449C19A3}"/>
    <cellStyle name="Standard 22 2 3" xfId="37317" xr:uid="{6D8B0D9A-A089-4812-B576-3B4AF0640B0B}"/>
    <cellStyle name="Standard 22 2 3 2" xfId="40721" xr:uid="{02D33606-A535-461A-A87B-55A0196B21E7}"/>
    <cellStyle name="Standard 22 2 4" xfId="41581" xr:uid="{08925823-A405-4DF6-B9C4-D6DDDCA245B7}"/>
    <cellStyle name="Standard 22 2 5" xfId="39722" xr:uid="{6BE4812D-B8CA-4E45-B2AD-08031745C64A}"/>
    <cellStyle name="Standard 22 20" xfId="17882" xr:uid="{B311DD2A-FACD-480C-8520-A910C61F893E}"/>
    <cellStyle name="Standard 22 20 2" xfId="17883" xr:uid="{E1B24A26-7EE3-46BF-8696-5077C372F0D4}"/>
    <cellStyle name="Standard 22 20 2 2" xfId="37320" xr:uid="{36167695-A734-46AE-8579-A328BDA3BAA1}"/>
    <cellStyle name="Standard 22 20 3" xfId="37319" xr:uid="{921A8C49-DC1C-43BA-901E-E9C467F7ABBF}"/>
    <cellStyle name="Standard 22 21" xfId="17884" xr:uid="{63D803DE-3826-48E6-89C4-50F1D06FBF19}"/>
    <cellStyle name="Standard 22 21 2" xfId="17885" xr:uid="{685F3C9F-4F10-43F8-B9D5-B81DAA2B4E65}"/>
    <cellStyle name="Standard 22 21 2 2" xfId="37322" xr:uid="{5AC18E2F-E29F-417A-A09A-6E87F114B929}"/>
    <cellStyle name="Standard 22 21 3" xfId="37321" xr:uid="{6F00DAFF-9847-4FA1-9B16-AA4E44800612}"/>
    <cellStyle name="Standard 22 22" xfId="17886" xr:uid="{6110AE21-5B8D-41E0-99E2-DF8A565D3410}"/>
    <cellStyle name="Standard 22 22 2" xfId="37323" xr:uid="{B2EA2041-E531-46CC-9D87-F18DA2F7245F}"/>
    <cellStyle name="Standard 22 23" xfId="17887" xr:uid="{916F23DD-063A-49E1-8502-CD9F22EDB6F5}"/>
    <cellStyle name="Standard 22 23 2" xfId="37324" xr:uid="{0E284BD8-2324-4F86-B234-6C55708BB20D}"/>
    <cellStyle name="Standard 22 3" xfId="17888" xr:uid="{BED77B2F-77ED-40FD-88EB-3CD1A2C6BEB5}"/>
    <cellStyle name="Standard 22 3 2" xfId="17889" xr:uid="{C90095D7-7888-4673-A00D-449253F1F6D2}"/>
    <cellStyle name="Standard 22 3 2 2" xfId="37326" xr:uid="{3B448C62-6811-4518-902C-5F80FB51ABF5}"/>
    <cellStyle name="Standard 22 3 2 3" xfId="41163" xr:uid="{B18D3E61-8571-4A89-A954-3D244A95F178}"/>
    <cellStyle name="Standard 22 3 3" xfId="37325" xr:uid="{05C43A83-F4B7-4765-8A23-99A271E12831}"/>
    <cellStyle name="Standard 22 3 3 2" xfId="42021" xr:uid="{4970BFB0-2465-4915-A83E-6234965D41BD}"/>
    <cellStyle name="Standard 22 3 4" xfId="40259" xr:uid="{0879DF1D-3123-42A6-ADD2-548A9FA64608}"/>
    <cellStyle name="Standard 22 4" xfId="17890" xr:uid="{C1957BD7-9AED-4261-9A99-4B1CB1105C9A}"/>
    <cellStyle name="Standard 22 4 2" xfId="17891" xr:uid="{3F2FED4A-04D0-42FB-B490-F870750CC9E7}"/>
    <cellStyle name="Standard 22 4 2 2" xfId="37328" xr:uid="{6096EED9-338A-4609-A8F4-A6D23B3AC50E}"/>
    <cellStyle name="Standard 22 4 3" xfId="37327" xr:uid="{9A0F01C3-B72F-4310-B634-DA81CBC2C5EE}"/>
    <cellStyle name="Standard 22 4 4" xfId="40720" xr:uid="{2FD9AD25-3473-45DD-A6EF-878692A2C52E}"/>
    <cellStyle name="Standard 22 5" xfId="17892" xr:uid="{68B1F342-0B7E-43A1-A5AD-9AAD64D0E550}"/>
    <cellStyle name="Standard 22 5 2" xfId="17893" xr:uid="{7E04E810-4CCF-44E6-B130-0C7A03E623E4}"/>
    <cellStyle name="Standard 22 5 2 2" xfId="37330" xr:uid="{37318E0C-8DEA-400C-9456-98E59DA17F32}"/>
    <cellStyle name="Standard 22 5 3" xfId="37329" xr:uid="{64C1F341-292A-4380-A98C-DB9C34916A27}"/>
    <cellStyle name="Standard 22 5 4" xfId="41580" xr:uid="{3E39FA86-6970-404D-AFBD-0A33173BABFE}"/>
    <cellStyle name="Standard 22 6" xfId="17894" xr:uid="{7C065DEB-C4ED-4DC4-AA08-63743E307D52}"/>
    <cellStyle name="Standard 22 6 2" xfId="17895" xr:uid="{88E3D0E3-51A1-4696-8A05-F3A0433129A1}"/>
    <cellStyle name="Standard 22 6 2 2" xfId="37332" xr:uid="{51649E12-92FF-4A1F-B88A-644289FCC544}"/>
    <cellStyle name="Standard 22 6 3" xfId="37331" xr:uid="{1F1B6134-EDD1-427B-9A03-0EF2599D267D}"/>
    <cellStyle name="Standard 22 6 4" xfId="42157" xr:uid="{AB730D3B-6BB8-4DD8-BDDE-641CC0685C9F}"/>
    <cellStyle name="Standard 22 7" xfId="17896" xr:uid="{07B08E21-0F36-4D6D-B9D3-40C288F203A2}"/>
    <cellStyle name="Standard 22 7 2" xfId="17897" xr:uid="{C3E76E9F-8A91-4AE4-878C-413B1ED88F04}"/>
    <cellStyle name="Standard 22 7 2 2" xfId="37334" xr:uid="{444755C8-57CA-4881-A74D-01F2ECA3A211}"/>
    <cellStyle name="Standard 22 7 3" xfId="37333" xr:uid="{7BC348C7-CD33-494E-B185-7A349F6D79BC}"/>
    <cellStyle name="Standard 22 8" xfId="17898" xr:uid="{5D837333-AFCF-43FA-98D6-F32119D1412D}"/>
    <cellStyle name="Standard 22 8 2" xfId="17899" xr:uid="{9229C4A5-86B4-45FA-A9AB-8D1FF8F7835B}"/>
    <cellStyle name="Standard 22 8 2 2" xfId="37336" xr:uid="{C59D4BE6-EB3E-4EC9-BE07-7263EB5C34C7}"/>
    <cellStyle name="Standard 22 8 3" xfId="37335" xr:uid="{AE409FB9-EEF2-4C39-BF5F-9DBB13A5007D}"/>
    <cellStyle name="Standard 22 9" xfId="17900" xr:uid="{48B6A290-CFB7-47E9-9312-3E5F16CD472D}"/>
    <cellStyle name="Standard 22 9 2" xfId="17901" xr:uid="{DE8C0D6A-4EC4-40B3-9D6D-75B26E56ECF3}"/>
    <cellStyle name="Standard 22 9 2 2" xfId="37338" xr:uid="{1EF9BC5F-946D-41ED-ABF1-3B03F6608428}"/>
    <cellStyle name="Standard 22 9 3" xfId="37337" xr:uid="{16709A89-7F28-44C3-A3CA-DC429B897940}"/>
    <cellStyle name="Standard 23" xfId="39723" xr:uid="{D44B1CBC-D101-430B-8ADC-91E4CBF78E0C}"/>
    <cellStyle name="Standard 23 10" xfId="17902" xr:uid="{23137BA7-2564-4F92-9551-60746DC3E21D}"/>
    <cellStyle name="Standard 23 10 2" xfId="17903" xr:uid="{952466D7-7C80-4B76-AAAD-738ABA3DFE50}"/>
    <cellStyle name="Standard 23 10 2 2" xfId="37340" xr:uid="{528ED754-F858-480A-AE28-EC741DA948A5}"/>
    <cellStyle name="Standard 23 10 3" xfId="37339" xr:uid="{288E4117-421A-4CE7-AC55-DA47201928F1}"/>
    <cellStyle name="Standard 23 11" xfId="17904" xr:uid="{9BF5BD34-54F2-4A95-83C7-8AE664910ACC}"/>
    <cellStyle name="Standard 23 11 2" xfId="17905" xr:uid="{DF1E7030-0D29-456F-A07C-45F524E8B01B}"/>
    <cellStyle name="Standard 23 11 2 2" xfId="37342" xr:uid="{A87E3D22-1DD0-427A-9EEC-BDD230DBCE78}"/>
    <cellStyle name="Standard 23 11 3" xfId="37341" xr:uid="{52FE970B-2F47-4A20-B2D8-46C0F5B0F8AC}"/>
    <cellStyle name="Standard 23 12" xfId="17906" xr:uid="{AB905D1A-461C-4F9A-8EA9-74F6E33B2A4A}"/>
    <cellStyle name="Standard 23 12 2" xfId="17907" xr:uid="{299B817A-2D48-4959-96B0-476AC19D244C}"/>
    <cellStyle name="Standard 23 12 2 2" xfId="37344" xr:uid="{4C3D89D6-BDD9-40E0-8261-9D4B054A2E09}"/>
    <cellStyle name="Standard 23 12 3" xfId="37343" xr:uid="{3A0C335C-3DDF-43FD-A415-FE7BC0E7B5D4}"/>
    <cellStyle name="Standard 23 13" xfId="17908" xr:uid="{2F10EEA4-ECA4-469B-BE40-207100716B9E}"/>
    <cellStyle name="Standard 23 13 2" xfId="17909" xr:uid="{F517391F-C871-4FBC-9A71-EA7B97D74B8F}"/>
    <cellStyle name="Standard 23 13 2 2" xfId="37346" xr:uid="{201B6105-609A-467D-A451-EC52315FA533}"/>
    <cellStyle name="Standard 23 13 3" xfId="37345" xr:uid="{3CA8290D-B713-4929-B097-EBA91A41A910}"/>
    <cellStyle name="Standard 23 14" xfId="17910" xr:uid="{C69064AF-6326-4D2B-A7C9-83EFC499A157}"/>
    <cellStyle name="Standard 23 14 2" xfId="17911" xr:uid="{520758EF-455E-4161-98AC-99A23DBFD230}"/>
    <cellStyle name="Standard 23 14 2 2" xfId="37348" xr:uid="{44DBC953-94A1-47D1-A807-9DE9568DCEC2}"/>
    <cellStyle name="Standard 23 14 3" xfId="37347" xr:uid="{BCA50471-34CF-4910-A6B0-701378B8913E}"/>
    <cellStyle name="Standard 23 15" xfId="17912" xr:uid="{55515252-7860-4CAA-A29B-5083644C1B74}"/>
    <cellStyle name="Standard 23 15 2" xfId="17913" xr:uid="{401BC1CD-0921-41D3-A4E5-4DBF4CD9503D}"/>
    <cellStyle name="Standard 23 15 2 2" xfId="37350" xr:uid="{CA7C1F49-86F6-437C-80AA-C8C0DF726444}"/>
    <cellStyle name="Standard 23 15 3" xfId="37349" xr:uid="{347FC0EC-8269-42DF-B227-D3D162C697E4}"/>
    <cellStyle name="Standard 23 16" xfId="17914" xr:uid="{A04BF392-2139-4109-ABC5-3B837AB5F2DB}"/>
    <cellStyle name="Standard 23 16 2" xfId="17915" xr:uid="{493EE37D-88EC-421D-AAE2-18B9677B9989}"/>
    <cellStyle name="Standard 23 16 2 2" xfId="37352" xr:uid="{EF72ADD4-48A4-4573-9359-7682CD0B1C16}"/>
    <cellStyle name="Standard 23 16 3" xfId="37351" xr:uid="{1224BE63-EC2C-4B0E-89D8-ED64B29647FB}"/>
    <cellStyle name="Standard 23 17" xfId="17916" xr:uid="{660CB0A4-2EEC-4C7A-B28D-EDD9CA93DE2D}"/>
    <cellStyle name="Standard 23 17 2" xfId="17917" xr:uid="{C9607B5E-C594-4CEA-B5EC-4C5E875FD138}"/>
    <cellStyle name="Standard 23 17 2 2" xfId="37354" xr:uid="{E3F62E60-C666-462D-8A2E-A159409EE4A3}"/>
    <cellStyle name="Standard 23 17 3" xfId="37353" xr:uid="{D79BF8FF-E582-47BD-9291-FED2976EC283}"/>
    <cellStyle name="Standard 23 18" xfId="17918" xr:uid="{22D4DEEE-3C14-4EB7-AC18-AECFD92B08F1}"/>
    <cellStyle name="Standard 23 18 2" xfId="17919" xr:uid="{6DECA47F-4E7A-4D20-A5C4-7272C43AC530}"/>
    <cellStyle name="Standard 23 18 2 2" xfId="37356" xr:uid="{086D7911-24AC-43E7-A573-851E496EBC07}"/>
    <cellStyle name="Standard 23 18 3" xfId="37355" xr:uid="{56FF69FD-0FAF-41A0-BA87-7D0ECF36059E}"/>
    <cellStyle name="Standard 23 19" xfId="17920" xr:uid="{8635CA98-411E-4FA5-9AE6-DADFBEF5ACFF}"/>
    <cellStyle name="Standard 23 19 2" xfId="17921" xr:uid="{4FF69185-717A-4EFA-B57B-6E1D9F9C6EBE}"/>
    <cellStyle name="Standard 23 19 2 2" xfId="37358" xr:uid="{41C61E2A-BE96-4E6F-83A5-227D6FF77CB5}"/>
    <cellStyle name="Standard 23 19 3" xfId="37357" xr:uid="{D9B8BB19-7769-4DB9-9F47-6462654D4B4D}"/>
    <cellStyle name="Standard 23 2" xfId="17922" xr:uid="{81937D72-B271-4F3D-92D7-EE42ADB70557}"/>
    <cellStyle name="Standard 23 2 2" xfId="17923" xr:uid="{6E3D15C2-24CE-4307-A35D-B6A047164F86}"/>
    <cellStyle name="Standard 23 2 2 2" xfId="37360" xr:uid="{DE75FE79-85B9-474C-8ED0-95495262BB84}"/>
    <cellStyle name="Standard 23 2 2 2 2" xfId="41166" xr:uid="{46BC6E7E-194B-479C-93B7-7B1483920602}"/>
    <cellStyle name="Standard 23 2 2 3" xfId="42024" xr:uid="{E6F35163-B455-4E5A-AB91-A5AF0177B402}"/>
    <cellStyle name="Standard 23 2 2 4" xfId="40262" xr:uid="{149C0431-F366-4404-93C0-46A9907212DD}"/>
    <cellStyle name="Standard 23 2 3" xfId="37359" xr:uid="{A44B9EF2-17FF-4FD5-A254-478062C1D802}"/>
    <cellStyle name="Standard 23 2 3 2" xfId="40723" xr:uid="{52C88505-0EF9-4E47-9161-6475C55A29D0}"/>
    <cellStyle name="Standard 23 2 4" xfId="41583" xr:uid="{5772A976-0C50-4261-BF93-E47E13CABE0A}"/>
    <cellStyle name="Standard 23 2 5" xfId="39724" xr:uid="{3CA40992-68D2-4B37-AD14-96B50C081B96}"/>
    <cellStyle name="Standard 23 20" xfId="17924" xr:uid="{44253C28-9C61-4346-A7CB-9306F8B99741}"/>
    <cellStyle name="Standard 23 20 2" xfId="17925" xr:uid="{91AC65CB-FF29-4B0C-8BF2-B92C85F2C559}"/>
    <cellStyle name="Standard 23 20 2 2" xfId="37362" xr:uid="{2A8B2FFC-5B60-4050-AE9D-16D10EDA7168}"/>
    <cellStyle name="Standard 23 20 3" xfId="37361" xr:uid="{F7894F41-BE93-4556-93E7-B2714182D6F1}"/>
    <cellStyle name="Standard 23 21" xfId="17926" xr:uid="{04EB26A5-3CC4-4AAA-A263-95388CC746B7}"/>
    <cellStyle name="Standard 23 21 2" xfId="17927" xr:uid="{3B9D64D9-E56D-4CEB-A95B-59B5C1C4ED2D}"/>
    <cellStyle name="Standard 23 21 2 2" xfId="37364" xr:uid="{1663F2A9-53FF-4F30-B4C7-543F0EADFCA8}"/>
    <cellStyle name="Standard 23 21 3" xfId="37363" xr:uid="{CE4C2F68-881E-4A81-83C2-648A8846F8C0}"/>
    <cellStyle name="Standard 23 22" xfId="17928" xr:uid="{732A43AA-D4BD-4D17-8A29-8E8088D8FA94}"/>
    <cellStyle name="Standard 23 22 2" xfId="37365" xr:uid="{D15B3F48-D672-46B0-B66D-C95FABF3A098}"/>
    <cellStyle name="Standard 23 23" xfId="17929" xr:uid="{88843281-54BD-4604-AC6E-57BE580E7A7D}"/>
    <cellStyle name="Standard 23 23 2" xfId="37366" xr:uid="{1404E60C-9DD9-466B-8212-A59BEEFB3CF3}"/>
    <cellStyle name="Standard 23 3" xfId="17930" xr:uid="{6EF79851-F3BB-41E9-A72C-B26B31A2281E}"/>
    <cellStyle name="Standard 23 3 2" xfId="17931" xr:uid="{4393C46C-E9D3-4AEB-8BD0-B55CA853BD90}"/>
    <cellStyle name="Standard 23 3 2 2" xfId="37368" xr:uid="{93EB173E-CBB8-4323-A21A-86689596FF70}"/>
    <cellStyle name="Standard 23 3 2 3" xfId="41165" xr:uid="{05383602-0868-4E20-A4EA-AA651DB08A90}"/>
    <cellStyle name="Standard 23 3 3" xfId="37367" xr:uid="{79AC4A4A-8751-468C-AAB9-5A53B2E608B4}"/>
    <cellStyle name="Standard 23 3 3 2" xfId="42023" xr:uid="{CD9CF43D-27DB-4721-A400-C83D86AEDFA1}"/>
    <cellStyle name="Standard 23 3 4" xfId="40261" xr:uid="{584BCA09-C86F-4F24-A8D9-D24B055D8B82}"/>
    <cellStyle name="Standard 23 4" xfId="17932" xr:uid="{88EA6247-50FB-4619-BC9A-094C7285C80B}"/>
    <cellStyle name="Standard 23 4 2" xfId="17933" xr:uid="{16B892FA-CA78-4B1D-AF04-0AB27691CE68}"/>
    <cellStyle name="Standard 23 4 2 2" xfId="37370" xr:uid="{F46C4691-C204-4E93-A0EC-84F92F2115B1}"/>
    <cellStyle name="Standard 23 4 3" xfId="37369" xr:uid="{AB85D9E8-42A1-4883-A2C6-A684D37CD6B4}"/>
    <cellStyle name="Standard 23 4 4" xfId="40722" xr:uid="{370C07AE-5B05-4040-9857-3256E25B0602}"/>
    <cellStyle name="Standard 23 5" xfId="17934" xr:uid="{8E57E02A-B42E-4780-A704-DF4962FDF8AB}"/>
    <cellStyle name="Standard 23 5 2" xfId="17935" xr:uid="{E68F4189-7E28-43A9-B1A0-A34889398CE7}"/>
    <cellStyle name="Standard 23 5 2 2" xfId="37372" xr:uid="{10158A61-6DF4-4143-96FC-EDF5D7C5773A}"/>
    <cellStyle name="Standard 23 5 3" xfId="37371" xr:uid="{D4B3309D-06A9-489D-BAE9-52DCFF37E9F7}"/>
    <cellStyle name="Standard 23 5 4" xfId="41582" xr:uid="{A0D83FD4-1641-4E6D-AC88-2624547984DD}"/>
    <cellStyle name="Standard 23 6" xfId="17936" xr:uid="{71EE8158-CD47-48F2-B25F-AFBB28049357}"/>
    <cellStyle name="Standard 23 6 2" xfId="17937" xr:uid="{220B768D-63FF-4C84-A0B4-B8E0208F12C3}"/>
    <cellStyle name="Standard 23 6 2 2" xfId="37374" xr:uid="{D7E88358-5C25-4E32-B2C2-51267128AEEE}"/>
    <cellStyle name="Standard 23 6 3" xfId="37373" xr:uid="{09D97611-7EC6-40C1-8555-5CBC1894B0C9}"/>
    <cellStyle name="Standard 23 7" xfId="17938" xr:uid="{89BAF803-B695-48F0-BECA-DD0510C606E1}"/>
    <cellStyle name="Standard 23 7 2" xfId="17939" xr:uid="{C482DEEF-938E-4084-9A17-1DDE77703BB3}"/>
    <cellStyle name="Standard 23 7 2 2" xfId="37376" xr:uid="{703FBC3C-0CEE-4484-8013-DA6D3B1C7C22}"/>
    <cellStyle name="Standard 23 7 3" xfId="37375" xr:uid="{DF224130-DC24-4207-B630-0672E7713DF4}"/>
    <cellStyle name="Standard 23 8" xfId="17940" xr:uid="{4786520A-C54C-447D-B6D4-B5AC3D38DB62}"/>
    <cellStyle name="Standard 23 8 2" xfId="17941" xr:uid="{AB6B9989-6A26-4D8D-83C8-B6E61A8BE48A}"/>
    <cellStyle name="Standard 23 8 2 2" xfId="37378" xr:uid="{19CDD5F3-F100-4DFC-BC32-0646B9F17879}"/>
    <cellStyle name="Standard 23 8 3" xfId="37377" xr:uid="{46DCB371-AAB8-4A3C-8419-6075077A1F3B}"/>
    <cellStyle name="Standard 23 9" xfId="17942" xr:uid="{4987AA0B-1EED-42D6-AF66-027FF05C6FD3}"/>
    <cellStyle name="Standard 23 9 2" xfId="17943" xr:uid="{1413A5BE-5982-4F9F-AA59-582178AEF160}"/>
    <cellStyle name="Standard 23 9 2 2" xfId="37380" xr:uid="{266DED46-4F5C-4568-A636-E33C5DA5D5D9}"/>
    <cellStyle name="Standard 23 9 3" xfId="37379" xr:uid="{3AC24DCB-E489-499D-B164-E1968B191B82}"/>
    <cellStyle name="Standard 24" xfId="39725" xr:uid="{6EF56C8F-121B-4E72-A4D0-2FE968811B09}"/>
    <cellStyle name="Standard 24 10" xfId="17944" xr:uid="{BBA4C695-BAD4-4269-9B64-53048A88FB50}"/>
    <cellStyle name="Standard 24 10 2" xfId="17945" xr:uid="{A50D8D92-B656-4FB8-A613-15D19ECD36B6}"/>
    <cellStyle name="Standard 24 10 2 2" xfId="37382" xr:uid="{C44111F8-9355-494D-AB24-F64E9B92B9A9}"/>
    <cellStyle name="Standard 24 10 3" xfId="37381" xr:uid="{0D23E372-00F3-46B5-A878-46FFF940F026}"/>
    <cellStyle name="Standard 24 11" xfId="17946" xr:uid="{648AD55B-6CF8-431F-8C19-38C56D7B2A97}"/>
    <cellStyle name="Standard 24 11 2" xfId="17947" xr:uid="{709EE8ED-3481-426E-96E7-4D335A39A043}"/>
    <cellStyle name="Standard 24 11 2 2" xfId="37384" xr:uid="{BAAA277B-FF6C-4E8C-8D42-F3AF3C1C28FE}"/>
    <cellStyle name="Standard 24 11 3" xfId="37383" xr:uid="{90D31504-EDD8-44DE-9B02-221DC6129D9E}"/>
    <cellStyle name="Standard 24 12" xfId="17948" xr:uid="{8A796B6C-734A-45B6-A844-6A847283CE5C}"/>
    <cellStyle name="Standard 24 12 2" xfId="17949" xr:uid="{106F69B6-89F7-4E6F-B80D-DFD4F52660C4}"/>
    <cellStyle name="Standard 24 12 2 2" xfId="37386" xr:uid="{1B037363-5B89-4265-8E89-8BEC3804FDCC}"/>
    <cellStyle name="Standard 24 12 3" xfId="37385" xr:uid="{D9ED14D7-B77F-4B1F-B414-370D64395CD2}"/>
    <cellStyle name="Standard 24 13" xfId="17950" xr:uid="{BEEBA02D-9878-4272-B2A3-EBBA5C1B66A0}"/>
    <cellStyle name="Standard 24 13 2" xfId="17951" xr:uid="{24CF90D4-1E79-4B5F-901E-C02B0F10270B}"/>
    <cellStyle name="Standard 24 13 2 2" xfId="37388" xr:uid="{32F3864B-49F6-470E-9D1B-9106DB2836FD}"/>
    <cellStyle name="Standard 24 13 3" xfId="37387" xr:uid="{71C60E4A-9D01-431A-BC4F-299B23023E1B}"/>
    <cellStyle name="Standard 24 14" xfId="17952" xr:uid="{7FCF61B6-9F50-4166-8D32-F00AA350A605}"/>
    <cellStyle name="Standard 24 14 2" xfId="37389" xr:uid="{B298C64E-F813-4F76-B342-321AB3EA8E65}"/>
    <cellStyle name="Standard 24 15" xfId="17953" xr:uid="{5984D1BB-FC49-419D-ACAB-231A1076C479}"/>
    <cellStyle name="Standard 24 15 2" xfId="37390" xr:uid="{500005CA-EAE6-49FD-86DF-91968C5DFD7B}"/>
    <cellStyle name="Standard 24 2" xfId="17954" xr:uid="{C573A997-DEF6-4354-A394-DEC7495FDE8F}"/>
    <cellStyle name="Standard 24 2 2" xfId="17955" xr:uid="{6DC71C19-D51E-4013-88BE-31F6B29E4ACA}"/>
    <cellStyle name="Standard 24 2 2 2" xfId="37392" xr:uid="{CB417A87-FBB9-46A0-8104-E6C29042BC57}"/>
    <cellStyle name="Standard 24 2 2 2 2" xfId="41168" xr:uid="{E0B7EFC6-7A49-4B2B-A87B-2A61417BD4C3}"/>
    <cellStyle name="Standard 24 2 2 3" xfId="42026" xr:uid="{A42BCD0D-4CCF-4CC8-8C56-47BF3FA666E3}"/>
    <cellStyle name="Standard 24 2 2 4" xfId="40264" xr:uid="{C9E4BAA3-9AF1-46B8-AB7C-135134F99EC8}"/>
    <cellStyle name="Standard 24 2 3" xfId="37391" xr:uid="{EA2A860D-13B4-4DC2-9C70-328B74210118}"/>
    <cellStyle name="Standard 24 2 3 2" xfId="40725" xr:uid="{6ABB6519-FAF2-4A4F-9655-480D4055D707}"/>
    <cellStyle name="Standard 24 2 4" xfId="41585" xr:uid="{41F73D23-FD53-443A-982F-6F8B2BEEFF76}"/>
    <cellStyle name="Standard 24 2 5" xfId="39726" xr:uid="{320F5578-02FB-4C6D-ACDD-1BCE25791BBC}"/>
    <cellStyle name="Standard 24 3" xfId="17956" xr:uid="{5D312BEE-E1B5-402B-9259-8CC75908A3E7}"/>
    <cellStyle name="Standard 24 3 2" xfId="17957" xr:uid="{3E903644-78D9-4829-9109-B16D87EB82AC}"/>
    <cellStyle name="Standard 24 3 2 2" xfId="37394" xr:uid="{4C6D01EA-AC72-4C10-8344-82AB4F1389A5}"/>
    <cellStyle name="Standard 24 3 2 3" xfId="41167" xr:uid="{ADE4CAA1-72A4-4A60-B895-DE285B850145}"/>
    <cellStyle name="Standard 24 3 3" xfId="37393" xr:uid="{3B9C657F-C890-47B7-9714-426CC2758AB8}"/>
    <cellStyle name="Standard 24 3 3 2" xfId="42025" xr:uid="{6CC320D2-A890-46DD-B75D-2362B409141F}"/>
    <cellStyle name="Standard 24 3 4" xfId="40263" xr:uid="{611C310D-368C-49D2-8F8D-4C9560954184}"/>
    <cellStyle name="Standard 24 4" xfId="17958" xr:uid="{CB6AB2E4-9F71-45AB-A220-5F79F0FC163F}"/>
    <cellStyle name="Standard 24 4 2" xfId="17959" xr:uid="{4E7309DF-39F5-4481-A9AE-C6C7969AC9C4}"/>
    <cellStyle name="Standard 24 4 2 2" xfId="37396" xr:uid="{77B2AB51-27BC-4027-9D19-116929F5E9ED}"/>
    <cellStyle name="Standard 24 4 3" xfId="37395" xr:uid="{ACB1271F-45FD-48C2-8B4B-813320841301}"/>
    <cellStyle name="Standard 24 4 4" xfId="40724" xr:uid="{3A8B68E1-6C97-495E-AB13-71AD9CD9AC6F}"/>
    <cellStyle name="Standard 24 5" xfId="17960" xr:uid="{03C616CD-4FAE-49B8-B22D-7BA3102411F7}"/>
    <cellStyle name="Standard 24 5 2" xfId="17961" xr:uid="{BE257524-479C-410C-8EF2-812CE780353D}"/>
    <cellStyle name="Standard 24 5 2 2" xfId="37398" xr:uid="{88D1BEF3-B295-4BC4-9006-03ED732ECBD0}"/>
    <cellStyle name="Standard 24 5 3" xfId="37397" xr:uid="{9F1BF6B4-0261-44C3-B65C-059DE038CFA1}"/>
    <cellStyle name="Standard 24 5 4" xfId="41584" xr:uid="{23937BA7-5033-45EF-8EDE-B478505FD3C2}"/>
    <cellStyle name="Standard 24 6" xfId="17962" xr:uid="{B033AEE1-9802-4E08-B43F-BD53FF32286B}"/>
    <cellStyle name="Standard 24 6 2" xfId="17963" xr:uid="{6E44C12E-9C46-4757-B6E0-12C49089FBAE}"/>
    <cellStyle name="Standard 24 6 2 2" xfId="37400" xr:uid="{BCC45B45-F283-4C28-AC3D-A980AA748F4F}"/>
    <cellStyle name="Standard 24 6 3" xfId="37399" xr:uid="{F4559938-E87F-46C3-A726-A66415945994}"/>
    <cellStyle name="Standard 24 6 4" xfId="42155" xr:uid="{D249F45A-C95F-4B7E-A2C8-8636CD23C0AC}"/>
    <cellStyle name="Standard 24 7" xfId="17964" xr:uid="{83B0D50A-59D6-4974-9712-D78A8B775582}"/>
    <cellStyle name="Standard 24 7 2" xfId="17965" xr:uid="{38F848A5-ECD7-4320-8DBA-7B47FFCD0DF6}"/>
    <cellStyle name="Standard 24 7 2 2" xfId="37402" xr:uid="{2F7D0E41-ADA9-48CF-83B7-10F23BD12021}"/>
    <cellStyle name="Standard 24 7 3" xfId="37401" xr:uid="{281AE7C0-A765-435B-A3D5-915A4C924238}"/>
    <cellStyle name="Standard 24 8" xfId="17966" xr:uid="{1868B092-922B-4A2B-B00C-A28CF75BDF0F}"/>
    <cellStyle name="Standard 24 8 2" xfId="17967" xr:uid="{7D7D38FE-CE3C-4F75-9211-9FC05B809686}"/>
    <cellStyle name="Standard 24 8 2 2" xfId="37404" xr:uid="{6666FAEA-988E-48AE-B324-4FD0999251CB}"/>
    <cellStyle name="Standard 24 8 3" xfId="37403" xr:uid="{A15499AD-DF09-48D2-9E1E-3867044BFD5C}"/>
    <cellStyle name="Standard 24 9" xfId="17968" xr:uid="{6614392F-4CA1-4C58-84DA-639F5EC6CE65}"/>
    <cellStyle name="Standard 24 9 2" xfId="17969" xr:uid="{42DCDBD2-4B24-4DE0-8DB7-26558E9757A1}"/>
    <cellStyle name="Standard 24 9 2 2" xfId="37406" xr:uid="{18B3CCAE-4437-4C86-AFDC-D1BC59F09F81}"/>
    <cellStyle name="Standard 24 9 3" xfId="37405" xr:uid="{980D8178-C307-43B4-B9E7-26B2668AA42D}"/>
    <cellStyle name="Standard 25" xfId="39727" xr:uid="{774392D1-FED2-458B-9EEE-300BA8B2D1CB}"/>
    <cellStyle name="Standard 25 2" xfId="17970" xr:uid="{1638E296-9F46-4487-93BE-4A4ADC62E6DB}"/>
    <cellStyle name="Standard 25 2 2" xfId="17971" xr:uid="{2AD0ED31-35F4-4DAC-99CA-F649F2E3A29D}"/>
    <cellStyle name="Standard 25 2 2 2" xfId="37408" xr:uid="{788ED31A-B42A-4B76-9D79-89785C0247C8}"/>
    <cellStyle name="Standard 25 2 2 2 2" xfId="41170" xr:uid="{7C528772-0D2A-49AE-8F57-F1FF1DC79001}"/>
    <cellStyle name="Standard 25 2 2 3" xfId="42028" xr:uid="{E151CE5A-EC8F-4A9C-AF5B-61C1BC5306F1}"/>
    <cellStyle name="Standard 25 2 2 4" xfId="40266" xr:uid="{12CD8876-3F00-4BA8-99F5-31F328AE44D3}"/>
    <cellStyle name="Standard 25 2 3" xfId="37407" xr:uid="{808EC342-95A3-4B11-8154-9CDC6845038C}"/>
    <cellStyle name="Standard 25 2 3 2" xfId="40727" xr:uid="{D391EF5B-79DA-4BD0-9A53-350BA1355339}"/>
    <cellStyle name="Standard 25 2 4" xfId="41587" xr:uid="{7C1B6FF9-8CD8-4A32-AD1C-53061C56BF04}"/>
    <cellStyle name="Standard 25 2 5" xfId="39728" xr:uid="{5F4BD7E6-E677-4D11-8499-79E8A95D829E}"/>
    <cellStyle name="Standard 25 3" xfId="17972" xr:uid="{A0C8804D-0501-4998-AF5A-4114C0071D51}"/>
    <cellStyle name="Standard 25 3 2" xfId="17973" xr:uid="{51A0B87A-538C-4014-A836-3DE7216CF55B}"/>
    <cellStyle name="Standard 25 3 2 2" xfId="37410" xr:uid="{305F6273-1355-4DDF-8E06-E9FD0973D0C8}"/>
    <cellStyle name="Standard 25 3 2 3" xfId="41169" xr:uid="{600A06DA-3A96-4008-8849-6C3B68B99012}"/>
    <cellStyle name="Standard 25 3 3" xfId="37409" xr:uid="{0E5E7BE9-456F-4421-A725-56132FDE510C}"/>
    <cellStyle name="Standard 25 3 3 2" xfId="42027" xr:uid="{57E4DF10-B00A-490E-8875-C35ECC5E6757}"/>
    <cellStyle name="Standard 25 3 4" xfId="40265" xr:uid="{5902F88D-33E8-4527-A78D-56A0237E98AF}"/>
    <cellStyle name="Standard 25 4" xfId="17974" xr:uid="{6848A603-9F6C-4C01-9623-73F05A49AAF5}"/>
    <cellStyle name="Standard 25 4 2" xfId="17975" xr:uid="{3AA03863-881E-42D0-B5A4-1890DCA4074D}"/>
    <cellStyle name="Standard 25 4 2 2" xfId="37412" xr:uid="{B89807D4-9FF6-4466-9A6F-D566D4B1B81E}"/>
    <cellStyle name="Standard 25 4 3" xfId="37411" xr:uid="{CE366382-973E-4D9F-AE5D-0F95F1A03E8A}"/>
    <cellStyle name="Standard 25 4 4" xfId="40726" xr:uid="{632CF34D-AEBF-47E8-9DD3-85D4919EC8B1}"/>
    <cellStyle name="Standard 25 5" xfId="17976" xr:uid="{E30A3016-3C42-426F-8B23-A3CD6E986149}"/>
    <cellStyle name="Standard 25 5 2" xfId="37413" xr:uid="{FC0BA8E1-B4D0-4DBB-A475-501E1F2E99E6}"/>
    <cellStyle name="Standard 25 5 3" xfId="41586" xr:uid="{8075477F-3BE1-4F3D-B111-083EECABA4D7}"/>
    <cellStyle name="Standard 25 6" xfId="17977" xr:uid="{88DE7CDD-4CFD-4535-8A14-F71B1D92F863}"/>
    <cellStyle name="Standard 25 6 2" xfId="37414" xr:uid="{4A7145EA-63B7-4436-B71A-B7A497F58835}"/>
    <cellStyle name="Standard 26" xfId="39729" xr:uid="{EA18777F-23D7-4EB2-9F6D-5CE9F16F062D}"/>
    <cellStyle name="Standard 26 2" xfId="17978" xr:uid="{C6998818-665F-4B3D-864A-FF70F98C5319}"/>
    <cellStyle name="Standard 26 2 2" xfId="17979" xr:uid="{7C007FC5-A6F8-4FC5-AB23-7A27DAB4C3B4}"/>
    <cellStyle name="Standard 26 2 2 2" xfId="37416" xr:uid="{69A10881-5A8A-4E1A-BA58-EF92336AE0E6}"/>
    <cellStyle name="Standard 26 2 2 2 2" xfId="41172" xr:uid="{4DB6CB09-D956-4F09-A7DF-18B9E3051CD3}"/>
    <cellStyle name="Standard 26 2 2 3" xfId="42030" xr:uid="{8BBA35DC-BA17-4DC3-BA08-E2E8CBCEBDF7}"/>
    <cellStyle name="Standard 26 2 2 4" xfId="40268" xr:uid="{AD4B5A30-28B4-44A0-81D7-370F88B74DC6}"/>
    <cellStyle name="Standard 26 2 3" xfId="37415" xr:uid="{9EE3E1C4-F147-49FE-AC28-175A76651AF1}"/>
    <cellStyle name="Standard 26 2 3 2" xfId="40729" xr:uid="{32294935-4444-43BC-8A2B-84719F58962E}"/>
    <cellStyle name="Standard 26 2 4" xfId="41589" xr:uid="{AAD7C03A-AEFA-45DF-BDEA-12DDA249E997}"/>
    <cellStyle name="Standard 26 2 5" xfId="39730" xr:uid="{9542A435-537B-4EF7-97CC-8000E7B7B9DE}"/>
    <cellStyle name="Standard 26 3" xfId="17980" xr:uid="{5F9FE485-734D-41CA-8C45-7BD19923DBF4}"/>
    <cellStyle name="Standard 26 3 2" xfId="17981" xr:uid="{B799FD51-E50B-4B76-99AF-AE37DDCAD022}"/>
    <cellStyle name="Standard 26 3 2 2" xfId="37418" xr:uid="{48473A71-CEDE-48E6-981D-53E697C091CB}"/>
    <cellStyle name="Standard 26 3 2 3" xfId="41171" xr:uid="{62F23A0A-5850-47BF-B71E-E041E17C937B}"/>
    <cellStyle name="Standard 26 3 3" xfId="37417" xr:uid="{58A74321-2C6B-48F7-983E-36ACAB63CBC7}"/>
    <cellStyle name="Standard 26 3 3 2" xfId="42029" xr:uid="{8B634797-AD6A-4236-96E3-60C163961405}"/>
    <cellStyle name="Standard 26 3 4" xfId="40267" xr:uid="{524EAF66-E06D-4766-A3A9-8F17743DC1EF}"/>
    <cellStyle name="Standard 26 4" xfId="17982" xr:uid="{98D331A0-1C76-4081-99A9-E7EAA766A384}"/>
    <cellStyle name="Standard 26 4 2" xfId="17983" xr:uid="{0C56F72E-D663-4518-A3FE-18E6EDFDFC8F}"/>
    <cellStyle name="Standard 26 4 2 2" xfId="37420" xr:uid="{C4633693-FC06-45AF-839B-F278C319EE60}"/>
    <cellStyle name="Standard 26 4 3" xfId="37419" xr:uid="{CC8589EF-B569-492B-BD57-1BF6E01D64C3}"/>
    <cellStyle name="Standard 26 4 4" xfId="40728" xr:uid="{6B1EB919-15E8-479B-93FA-613E463C619F}"/>
    <cellStyle name="Standard 26 5" xfId="17984" xr:uid="{9E99188A-6E13-4E68-AEA8-A01F8BDE85A1}"/>
    <cellStyle name="Standard 26 5 2" xfId="37421" xr:uid="{13E0F6CA-7833-4444-929C-E60C4EA15878}"/>
    <cellStyle name="Standard 26 5 3" xfId="41588" xr:uid="{9086D6A0-D950-4BCF-AD27-8D3B8E8AD4BE}"/>
    <cellStyle name="Standard 26 6" xfId="17985" xr:uid="{9DF4896A-DF4E-4A08-AB2D-0B50908B3A8C}"/>
    <cellStyle name="Standard 26 6 2" xfId="37422" xr:uid="{DF8B2BAB-74F9-42FA-A108-CC05279CC5DD}"/>
    <cellStyle name="Standard 27" xfId="39731" xr:uid="{2C1D9A6C-A23E-4908-8A81-0CA4D7ACB10E}"/>
    <cellStyle name="Standard 27 2" xfId="17986" xr:uid="{2C3A7558-C366-4FAD-9A44-6FD87B7CE708}"/>
    <cellStyle name="Standard 27 2 2" xfId="17987" xr:uid="{613BFBC6-2459-408E-9ED4-A5F93B27C377}"/>
    <cellStyle name="Standard 27 2 2 2" xfId="37424" xr:uid="{7B2F9950-1E8A-4528-A564-F25308A1A78A}"/>
    <cellStyle name="Standard 27 2 2 2 2" xfId="41174" xr:uid="{CD3DA526-C092-4B7B-B26D-28D216CB528F}"/>
    <cellStyle name="Standard 27 2 2 3" xfId="42032" xr:uid="{8CFFC376-F9B6-4EEC-8F93-65BC7C254AEB}"/>
    <cellStyle name="Standard 27 2 2 4" xfId="40270" xr:uid="{BB57EB79-74D5-4302-9085-B1B43E2AFC56}"/>
    <cellStyle name="Standard 27 2 3" xfId="37423" xr:uid="{6183CE69-59BF-437C-B3B1-8FC68B8D1D4D}"/>
    <cellStyle name="Standard 27 2 3 2" xfId="40731" xr:uid="{0CEE6533-D216-41E1-8F5E-2200CDAF3ED2}"/>
    <cellStyle name="Standard 27 2 4" xfId="41591" xr:uid="{B28290D7-97A7-4623-83B2-EFA5113A0A27}"/>
    <cellStyle name="Standard 27 2 5" xfId="39732" xr:uid="{35F41485-6021-4764-9C27-0A5365646A62}"/>
    <cellStyle name="Standard 27 3" xfId="17988" xr:uid="{60DB7F25-22F9-40BA-950C-036ADE3D8B16}"/>
    <cellStyle name="Standard 27 3 2" xfId="17989" xr:uid="{91FE32D4-C5B2-460F-95D6-523C0C8854D3}"/>
    <cellStyle name="Standard 27 3 2 2" xfId="37426" xr:uid="{B5D12C4F-8401-4AAB-A73A-C05EC20C6B75}"/>
    <cellStyle name="Standard 27 3 2 3" xfId="41173" xr:uid="{4AF2F478-AAF6-4EB0-8CBD-C3523C9320F8}"/>
    <cellStyle name="Standard 27 3 3" xfId="37425" xr:uid="{157BEF0C-22C8-403E-81FE-0EA4D93BBDF3}"/>
    <cellStyle name="Standard 27 3 3 2" xfId="42031" xr:uid="{BF4193F0-EAFE-4898-B702-B3220011BE99}"/>
    <cellStyle name="Standard 27 3 4" xfId="40269" xr:uid="{E781C7B5-7501-43FE-8908-1E3ACC1D8951}"/>
    <cellStyle name="Standard 27 4" xfId="17990" xr:uid="{457092AC-B5B5-4AD8-BCEE-36E78117E5FE}"/>
    <cellStyle name="Standard 27 4 2" xfId="17991" xr:uid="{04FAE7A3-D159-4786-BA41-F6FC0F63D687}"/>
    <cellStyle name="Standard 27 4 2 2" xfId="37428" xr:uid="{0DCF254B-AFA9-485C-9BEB-790D6908C66B}"/>
    <cellStyle name="Standard 27 4 3" xfId="37427" xr:uid="{ADC4382F-499A-4CAE-BD8F-F31D8B2D6470}"/>
    <cellStyle name="Standard 27 4 4" xfId="40730" xr:uid="{3F04E934-1663-412F-B62C-D51542DD93CA}"/>
    <cellStyle name="Standard 27 5" xfId="17992" xr:uid="{F31BB354-AA6D-4FF3-A9C0-9115E50B23BB}"/>
    <cellStyle name="Standard 27 5 2" xfId="37429" xr:uid="{3EA05C5F-4B31-432F-9E9B-58A0750067EF}"/>
    <cellStyle name="Standard 27 5 3" xfId="41590" xr:uid="{BAF2AAE4-DC4F-4B35-9492-4CAB5881D6AA}"/>
    <cellStyle name="Standard 27 6" xfId="17993" xr:uid="{8483AEB1-2BA4-4A9C-A50D-773B35B17FD7}"/>
    <cellStyle name="Standard 27 6 2" xfId="37430" xr:uid="{67F21EA7-95F7-4408-8E94-E7A612D077DC}"/>
    <cellStyle name="Standard 28" xfId="39733" xr:uid="{1B3B20B5-C7F3-4E71-B308-AE3A10FC54C6}"/>
    <cellStyle name="Standard 28 2" xfId="17994" xr:uid="{0EFE166E-EB94-4BA9-B5BD-DC41E9D44E7A}"/>
    <cellStyle name="Standard 28 2 2" xfId="17995" xr:uid="{B5C6E686-27FE-49DF-B3E7-CC022B58B992}"/>
    <cellStyle name="Standard 28 2 2 2" xfId="37432" xr:uid="{6CD35147-9B42-4B86-A832-FBBCEC52F1E0}"/>
    <cellStyle name="Standard 28 2 2 2 2" xfId="41176" xr:uid="{C1C6ABF5-FEB1-48A0-AB72-44EE1AD1DD52}"/>
    <cellStyle name="Standard 28 2 2 3" xfId="42034" xr:uid="{01F3FFDB-9DD0-48F8-A9A7-E5909051526C}"/>
    <cellStyle name="Standard 28 2 2 4" xfId="40272" xr:uid="{CCD9EB74-439B-4C1C-B45E-D0BDC14A9994}"/>
    <cellStyle name="Standard 28 2 3" xfId="37431" xr:uid="{D1185484-8A45-48F3-B451-55D8C2A09087}"/>
    <cellStyle name="Standard 28 2 3 2" xfId="40733" xr:uid="{81B4738F-E348-4BE8-B994-50A3A4A61466}"/>
    <cellStyle name="Standard 28 2 4" xfId="41593" xr:uid="{EF986539-F279-43EB-AC3E-515E494B9AA4}"/>
    <cellStyle name="Standard 28 2 5" xfId="39734" xr:uid="{F35E318D-90EB-4988-B974-5F65C183A001}"/>
    <cellStyle name="Standard 28 3" xfId="17996" xr:uid="{D2EFB738-7E00-437E-A207-205E48614663}"/>
    <cellStyle name="Standard 28 3 2" xfId="17997" xr:uid="{304B5441-EFE9-4B49-951C-5B3B93AC366D}"/>
    <cellStyle name="Standard 28 3 2 2" xfId="37434" xr:uid="{1FCA9169-85E9-42C8-98F1-76DC688066F4}"/>
    <cellStyle name="Standard 28 3 2 3" xfId="41175" xr:uid="{A0E5A05F-F250-4CE0-93FD-B53F89BF39BA}"/>
    <cellStyle name="Standard 28 3 3" xfId="37433" xr:uid="{146B7C02-9ADA-4CEB-8A24-1FDEEEF3523D}"/>
    <cellStyle name="Standard 28 3 3 2" xfId="42033" xr:uid="{567E822E-0259-4FC3-B17D-373DC70C9B61}"/>
    <cellStyle name="Standard 28 3 4" xfId="40271" xr:uid="{0DDB297A-D1AF-4137-B154-1145C83AB71C}"/>
    <cellStyle name="Standard 28 4" xfId="17998" xr:uid="{C41666ED-EEE7-4CDC-9323-13E290895EDD}"/>
    <cellStyle name="Standard 28 4 2" xfId="17999" xr:uid="{C46DA1CB-EE35-4BC5-988C-4278207A8104}"/>
    <cellStyle name="Standard 28 4 2 2" xfId="37436" xr:uid="{668A1C3B-DC52-43CC-8ADB-9B678EDF6F04}"/>
    <cellStyle name="Standard 28 4 3" xfId="37435" xr:uid="{7077E00D-D650-49DD-96EE-DAE1D65F56E1}"/>
    <cellStyle name="Standard 28 4 4" xfId="40732" xr:uid="{C846350B-F786-40A5-84FC-04A2DAE2BCF1}"/>
    <cellStyle name="Standard 28 5" xfId="18000" xr:uid="{5DDA13A0-735C-44F8-93B9-C50B4C3B1C7D}"/>
    <cellStyle name="Standard 28 5 2" xfId="37437" xr:uid="{18C1CCAE-98AA-4AD1-A227-8BE6A815BEA3}"/>
    <cellStyle name="Standard 28 5 3" xfId="41592" xr:uid="{FE05F5FE-81D5-4B79-8928-8ED435708DA2}"/>
    <cellStyle name="Standard 28 6" xfId="18001" xr:uid="{9AAEDE10-FBB1-4825-BD9F-CB649607DD14}"/>
    <cellStyle name="Standard 28 6 2" xfId="37438" xr:uid="{54B552DE-EBAE-496C-87B7-2471149DB8F0}"/>
    <cellStyle name="Standard 29" xfId="39735" xr:uid="{23A7E899-30B2-4F57-B67C-071D31735F9E}"/>
    <cellStyle name="Standard 29 2" xfId="18002" xr:uid="{70EAEB76-CD39-43F1-8EE9-B30316C9A484}"/>
    <cellStyle name="Standard 29 2 2" xfId="18003" xr:uid="{1397724C-5E46-4B43-8531-C772F2321235}"/>
    <cellStyle name="Standard 29 2 2 2" xfId="37440" xr:uid="{B46EAEE1-68AB-4740-80E5-D3EDF3F95AB4}"/>
    <cellStyle name="Standard 29 2 2 2 2" xfId="41178" xr:uid="{769B5066-26DC-4A5F-B50D-EB94DD41C720}"/>
    <cellStyle name="Standard 29 2 2 3" xfId="42036" xr:uid="{B6647060-6136-42B6-9F09-673FD34A6D37}"/>
    <cellStyle name="Standard 29 2 2 4" xfId="40274" xr:uid="{4F48125E-5F4E-4BFC-931D-12B738D44B7D}"/>
    <cellStyle name="Standard 29 2 3" xfId="37439" xr:uid="{18510A03-2C63-44CA-85C3-8BBAB642BD50}"/>
    <cellStyle name="Standard 29 2 3 2" xfId="40735" xr:uid="{B5941C89-0305-4BCB-95A7-77D3C825FA36}"/>
    <cellStyle name="Standard 29 2 4" xfId="41595" xr:uid="{78EEB325-FB58-4A31-AB78-5A9D504FD035}"/>
    <cellStyle name="Standard 29 2 5" xfId="39736" xr:uid="{D50DD07B-9566-496E-9511-BE6D69FC12F6}"/>
    <cellStyle name="Standard 29 3" xfId="18004" xr:uid="{530771D3-7983-4560-9735-2750AA30AF59}"/>
    <cellStyle name="Standard 29 3 2" xfId="18005" xr:uid="{93EBA80C-8D35-44BC-BAE3-FB10A56D7E7C}"/>
    <cellStyle name="Standard 29 3 2 2" xfId="37442" xr:uid="{E5140D1B-B625-4DD2-BC68-EC6C2BC2E06E}"/>
    <cellStyle name="Standard 29 3 2 3" xfId="41177" xr:uid="{34820F5F-FCB9-496C-86E0-6533B932F61E}"/>
    <cellStyle name="Standard 29 3 3" xfId="37441" xr:uid="{89ABAA33-BD3B-45A1-9F6A-04986CA75888}"/>
    <cellStyle name="Standard 29 3 3 2" xfId="42035" xr:uid="{A5799C6B-A6AE-4383-8D46-696A7C4C8CE9}"/>
    <cellStyle name="Standard 29 3 4" xfId="40273" xr:uid="{3DF4C683-1E32-413B-85AF-6EDE30DBCEF2}"/>
    <cellStyle name="Standard 29 4" xfId="18006" xr:uid="{C241CB25-1E90-4C2B-BED1-7BC1CE511B55}"/>
    <cellStyle name="Standard 29 4 2" xfId="18007" xr:uid="{67E219B3-7ED4-49CA-B1C2-A453B86C771A}"/>
    <cellStyle name="Standard 29 4 2 2" xfId="37444" xr:uid="{C9938665-1C3B-4E20-82F1-EAE64F61852A}"/>
    <cellStyle name="Standard 29 4 3" xfId="37443" xr:uid="{E22DBE49-436B-4D31-88B9-066D8E4936C2}"/>
    <cellStyle name="Standard 29 4 4" xfId="40734" xr:uid="{2EB8360F-DBA6-439B-BAE6-F22B498B766A}"/>
    <cellStyle name="Standard 29 5" xfId="18008" xr:uid="{E34536C3-5E5F-490E-9627-52A69FCCEA1E}"/>
    <cellStyle name="Standard 29 5 2" xfId="37445" xr:uid="{79F6E16A-4C7D-4A39-AB59-2F5C93D9CC4F}"/>
    <cellStyle name="Standard 29 5 3" xfId="41594" xr:uid="{22F4ECAB-E9EA-463A-9187-54B95F3D4DD3}"/>
    <cellStyle name="Standard 29 6" xfId="18009" xr:uid="{E4704390-F00B-4AF9-BC47-FD0A5C849A7C}"/>
    <cellStyle name="Standard 29 6 2" xfId="37446" xr:uid="{8B2D1E42-FDE0-4EE0-BE0C-F3CC381E093F}"/>
    <cellStyle name="Standard 3" xfId="94" xr:uid="{C3F3B6F5-1A37-4914-A97D-3BF34CEC80B8}"/>
    <cellStyle name="Standard 3 10" xfId="18010" xr:uid="{A91CA7CA-9825-4A10-8A0A-5142645B2BD1}"/>
    <cellStyle name="Standard 3 10 2" xfId="18011" xr:uid="{211A316C-8817-49D0-99A6-056D34AA4EEF}"/>
    <cellStyle name="Standard 3 10 2 2" xfId="37448" xr:uid="{2EC42B02-93DF-4539-A16D-981800F719C5}"/>
    <cellStyle name="Standard 3 10 3" xfId="37447" xr:uid="{8478F149-A334-4500-9721-EFCA42EB7F1C}"/>
    <cellStyle name="Standard 3 11" xfId="18012" xr:uid="{81CED2FF-D56F-4971-BF84-93117FFAE193}"/>
    <cellStyle name="Standard 3 11 2" xfId="18013" xr:uid="{CF1D34AF-0114-46D1-965B-A543C1223A64}"/>
    <cellStyle name="Standard 3 11 2 2" xfId="37450" xr:uid="{62266E00-363F-43FC-B726-B715B350C6F2}"/>
    <cellStyle name="Standard 3 11 3" xfId="37449" xr:uid="{A5E933DA-2D0C-4CB3-AD1E-017139A629C2}"/>
    <cellStyle name="Standard 3 12" xfId="18014" xr:uid="{8EBA8711-2C21-49B0-AFFA-82ACEC1E5D82}"/>
    <cellStyle name="Standard 3 12 2" xfId="18015" xr:uid="{A51882C0-FE51-470C-9CD7-BAAF910B4137}"/>
    <cellStyle name="Standard 3 12 2 2" xfId="37452" xr:uid="{41904755-1780-48CC-996D-7C25E6488F5B}"/>
    <cellStyle name="Standard 3 12 3" xfId="37451" xr:uid="{9F2AECF5-81EC-4A5D-917A-E6781F727C8B}"/>
    <cellStyle name="Standard 3 13" xfId="18016" xr:uid="{02A2BBE8-5392-46E4-BFE3-66EC89C937B2}"/>
    <cellStyle name="Standard 3 13 2" xfId="18017" xr:uid="{2C86A96C-235E-4F30-9085-06A397E87C56}"/>
    <cellStyle name="Standard 3 13 2 2" xfId="37454" xr:uid="{B7EE28C0-6197-424E-9013-6AC51BD1F37D}"/>
    <cellStyle name="Standard 3 13 3" xfId="37453" xr:uid="{3E60BBF6-98A0-455E-8342-166652C5C8EE}"/>
    <cellStyle name="Standard 3 14" xfId="18018" xr:uid="{4B148F58-06F4-4A92-BEEA-B5DDBC15E848}"/>
    <cellStyle name="Standard 3 14 2" xfId="18019" xr:uid="{29EB26C2-33D1-4FD0-AE8F-9A00A39E1964}"/>
    <cellStyle name="Standard 3 14 2 2" xfId="37456" xr:uid="{C247F14A-D1AB-4C77-9274-613127E14781}"/>
    <cellStyle name="Standard 3 14 3" xfId="37455" xr:uid="{F3D10B49-13FB-4B98-9DC4-641C8D810B17}"/>
    <cellStyle name="Standard 3 15" xfId="18020" xr:uid="{F9E95856-EB80-418D-8F06-9331E598B33C}"/>
    <cellStyle name="Standard 3 15 2" xfId="18021" xr:uid="{201B4243-1BEB-47EC-A111-FA2CC7059E27}"/>
    <cellStyle name="Standard 3 15 2 2" xfId="37458" xr:uid="{B83F204A-B9E0-43AB-A96F-FEBB55D0C2C6}"/>
    <cellStyle name="Standard 3 15 3" xfId="37457" xr:uid="{BCC2F9C2-08F7-4152-B074-40F47CDAD86A}"/>
    <cellStyle name="Standard 3 16" xfId="18022" xr:uid="{06718A52-978B-4C56-A7A5-6E79B81B8970}"/>
    <cellStyle name="Standard 3 16 2" xfId="18023" xr:uid="{4824C95F-2697-42A0-AE9E-7EA80C50A679}"/>
    <cellStyle name="Standard 3 16 2 2" xfId="37460" xr:uid="{568A2EE9-18FE-430F-AFF3-A1579383DD0C}"/>
    <cellStyle name="Standard 3 16 3" xfId="37459" xr:uid="{E8DD6E36-DBFF-4B48-B34D-B8A662BD3DC5}"/>
    <cellStyle name="Standard 3 17" xfId="18024" xr:uid="{AEF8982E-4106-4946-8ECB-3F1AEC25D168}"/>
    <cellStyle name="Standard 3 17 2" xfId="18025" xr:uid="{5E531FF9-6498-4D82-BE48-4122C6092BA5}"/>
    <cellStyle name="Standard 3 17 2 2" xfId="37462" xr:uid="{18F430FF-5487-464A-A4A9-9C17BDAC15C3}"/>
    <cellStyle name="Standard 3 17 3" xfId="37461" xr:uid="{13BA7A9F-93A3-4922-B846-99337C2C2EA0}"/>
    <cellStyle name="Standard 3 18" xfId="18026" xr:uid="{3E4C08AD-D4E7-46E1-BFC8-36A6475C35A6}"/>
    <cellStyle name="Standard 3 18 2" xfId="18027" xr:uid="{9A8C5429-E822-4897-9619-B73AD42999A0}"/>
    <cellStyle name="Standard 3 18 2 2" xfId="37464" xr:uid="{441C8B04-6BF3-40D7-B8A1-DAD3C89A7F18}"/>
    <cellStyle name="Standard 3 18 3" xfId="37463" xr:uid="{068FE989-C907-48FD-9E53-2B7E55F081D8}"/>
    <cellStyle name="Standard 3 19" xfId="18028" xr:uid="{E75EACB4-BFC7-456A-87CD-79D30D0FD198}"/>
    <cellStyle name="Standard 3 19 2" xfId="18029" xr:uid="{90EC9472-DF5A-4D1A-9CB3-A5358BDBC964}"/>
    <cellStyle name="Standard 3 19 2 2" xfId="37466" xr:uid="{A463D2C4-EE41-4A1B-8DA7-58F7B19853C8}"/>
    <cellStyle name="Standard 3 19 3" xfId="37465" xr:uid="{2DAFB76F-58A3-40FC-9B3F-FDBAE7BEFB8A}"/>
    <cellStyle name="Standard 3 2" xfId="18030" xr:uid="{0CE7260D-9A63-41E7-9B9B-67939BA9ABBB}"/>
    <cellStyle name="Standard 3 2 10" xfId="18031" xr:uid="{4BADD1C1-AF1C-410B-8171-DF8515011B3D}"/>
    <cellStyle name="Standard 3 2 10 2" xfId="18032" xr:uid="{10275DAB-8150-4991-8485-5BF31C3BC161}"/>
    <cellStyle name="Standard 3 2 10 2 2" xfId="37469" xr:uid="{6F7EF896-A4E4-4D18-9F43-AA52B0D0AE4B}"/>
    <cellStyle name="Standard 3 2 10 3" xfId="37468" xr:uid="{FFB6E50D-6FD5-4352-B29B-3C45F1D74C7A}"/>
    <cellStyle name="Standard 3 2 11" xfId="18033" xr:uid="{152405BC-90F5-47B5-8359-8755A6071595}"/>
    <cellStyle name="Standard 3 2 11 2" xfId="18034" xr:uid="{139CD506-76B6-4287-A5A0-B70C3AE2C1F2}"/>
    <cellStyle name="Standard 3 2 11 2 2" xfId="37471" xr:uid="{19FFF0EE-509C-4418-8504-9FD773C012BD}"/>
    <cellStyle name="Standard 3 2 11 3" xfId="37470" xr:uid="{521D5607-C661-43E5-9AAE-A67BA3800E7C}"/>
    <cellStyle name="Standard 3 2 12" xfId="18035" xr:uid="{051A8B45-B2ED-457E-879C-290DFADEC0D2}"/>
    <cellStyle name="Standard 3 2 12 2" xfId="18036" xr:uid="{8B8133AB-CC1B-489A-816A-66E625FF38ED}"/>
    <cellStyle name="Standard 3 2 12 2 2" xfId="37473" xr:uid="{A351830C-5B70-465C-A9B0-2D0C5AEE54BE}"/>
    <cellStyle name="Standard 3 2 12 3" xfId="37472" xr:uid="{0DBEB3FA-6337-4CD1-8DE0-60E7E09C8445}"/>
    <cellStyle name="Standard 3 2 13" xfId="18037" xr:uid="{70915633-F5C0-41C7-B0E0-86F00CBBC307}"/>
    <cellStyle name="Standard 3 2 13 2" xfId="18038" xr:uid="{6AEF2FB6-EE9F-41E3-97DD-1A86B4947415}"/>
    <cellStyle name="Standard 3 2 13 2 2" xfId="37475" xr:uid="{CFE2FCDC-688D-411B-A83D-B8A4ABBBA5FA}"/>
    <cellStyle name="Standard 3 2 13 3" xfId="37474" xr:uid="{707F66BE-FACE-42F4-A7D5-78F179E7ACC5}"/>
    <cellStyle name="Standard 3 2 14" xfId="18039" xr:uid="{6F64BEC0-BC27-4C5E-9A2B-EA476D569564}"/>
    <cellStyle name="Standard 3 2 14 2" xfId="18040" xr:uid="{2049DDEF-F260-4EDB-A679-4975922E01DB}"/>
    <cellStyle name="Standard 3 2 14 2 2" xfId="37477" xr:uid="{5128B30D-D3D5-483C-BE5B-8148F0FC8CB0}"/>
    <cellStyle name="Standard 3 2 14 3" xfId="37476" xr:uid="{668C48EF-6201-4665-A4F4-2E31AF4D3203}"/>
    <cellStyle name="Standard 3 2 15" xfId="18041" xr:uid="{A4454D0F-A4C1-4B96-A551-6D8A7B6A7589}"/>
    <cellStyle name="Standard 3 2 15 2" xfId="18042" xr:uid="{5CCFE1BF-2E55-417B-AE54-54B0A4D4CB17}"/>
    <cellStyle name="Standard 3 2 15 2 2" xfId="37479" xr:uid="{7C1122A9-5DCD-4090-A1D5-573B37890B83}"/>
    <cellStyle name="Standard 3 2 15 3" xfId="37478" xr:uid="{19193415-358C-4DDD-82DD-1E5395DE6939}"/>
    <cellStyle name="Standard 3 2 16" xfId="18043" xr:uid="{45BC5B46-8B51-4731-846E-90894E0468F3}"/>
    <cellStyle name="Standard 3 2 16 2" xfId="18044" xr:uid="{1BEEABD1-13F7-4AF3-9C42-BD9AF1892ECE}"/>
    <cellStyle name="Standard 3 2 16 2 2" xfId="37481" xr:uid="{9E53436E-F260-4694-BC53-C9E274ECA884}"/>
    <cellStyle name="Standard 3 2 16 3" xfId="37480" xr:uid="{720577C5-3CF6-444E-85FB-A7BD1CCC86AA}"/>
    <cellStyle name="Standard 3 2 17" xfId="18045" xr:uid="{BC9DD817-4664-4984-BE20-0BEFB0A41CC8}"/>
    <cellStyle name="Standard 3 2 17 2" xfId="18046" xr:uid="{B30FF68B-DFDA-4D32-906A-CEF00864525F}"/>
    <cellStyle name="Standard 3 2 17 2 2" xfId="37483" xr:uid="{8DB4ADBE-1780-4918-A168-5BB0CA185F2B}"/>
    <cellStyle name="Standard 3 2 17 3" xfId="37482" xr:uid="{30F85354-4BA2-45A6-A47A-BD758D935B27}"/>
    <cellStyle name="Standard 3 2 18" xfId="18047" xr:uid="{F51A9656-546B-4AEF-B4E2-7D421C5FCA2F}"/>
    <cellStyle name="Standard 3 2 18 2" xfId="18048" xr:uid="{1239D34A-EC5C-4ACD-9925-4F797AE665CC}"/>
    <cellStyle name="Standard 3 2 18 2 2" xfId="37485" xr:uid="{BBFBE5CB-6E39-4904-AC7D-98BBEE69D7E0}"/>
    <cellStyle name="Standard 3 2 18 3" xfId="37484" xr:uid="{0E695BC0-A514-424D-8513-3362D18B2E7C}"/>
    <cellStyle name="Standard 3 2 19" xfId="18049" xr:uid="{360AA778-94A4-4110-B81C-64420D0E4A82}"/>
    <cellStyle name="Standard 3 2 19 2" xfId="18050" xr:uid="{F35AEBFD-F2C4-4EBC-A5C3-C704D45B8FF9}"/>
    <cellStyle name="Standard 3 2 19 2 2" xfId="37487" xr:uid="{FCC66C6B-861A-4BE2-9437-E250B895993B}"/>
    <cellStyle name="Standard 3 2 19 3" xfId="37486" xr:uid="{D6880986-D90E-40C2-8D44-73D67D95BDA1}"/>
    <cellStyle name="Standard 3 2 2" xfId="18051" xr:uid="{2C648894-7975-464F-8F83-D4ABE2F1A778}"/>
    <cellStyle name="Standard 3 2 2 2" xfId="18052" xr:uid="{D935AFBB-8043-4EE6-A3A9-D4AD7D94C98C}"/>
    <cellStyle name="Standard 3 2 2 2 2" xfId="37489" xr:uid="{F2F2577C-380B-428B-AB17-011C9717D654}"/>
    <cellStyle name="Standard 3 2 2 3" xfId="37488" xr:uid="{7847398C-D281-4BCC-AABE-20FF0EB2F4DC}"/>
    <cellStyle name="Standard 3 2 20" xfId="18053" xr:uid="{BD077AA5-538F-4A96-AE0C-D632F93A56E7}"/>
    <cellStyle name="Standard 3 2 20 2" xfId="18054" xr:uid="{512EA92A-BA2E-4453-B43A-ED8B88447A21}"/>
    <cellStyle name="Standard 3 2 20 2 2" xfId="37491" xr:uid="{EDC7C4A4-A771-4730-BC59-DEA7E659C34D}"/>
    <cellStyle name="Standard 3 2 20 3" xfId="37490" xr:uid="{1D0A3112-9CA3-4494-BA3E-017BC90226CF}"/>
    <cellStyle name="Standard 3 2 21" xfId="18055" xr:uid="{FD32346A-D72B-4CCD-87E1-6F0C37CB12FA}"/>
    <cellStyle name="Standard 3 2 21 2" xfId="18056" xr:uid="{2E118E10-71FB-4E5D-8388-7AB9A5ACC14F}"/>
    <cellStyle name="Standard 3 2 21 2 2" xfId="37493" xr:uid="{3EAA480A-AD06-4DA7-8677-73865196CA11}"/>
    <cellStyle name="Standard 3 2 21 3" xfId="37492" xr:uid="{DA45A6F7-58D4-482A-8E73-41406D32907A}"/>
    <cellStyle name="Standard 3 2 22" xfId="18057" xr:uid="{6EF3A245-091B-4CFC-89A9-CDD4093D824B}"/>
    <cellStyle name="Standard 3 2 22 2" xfId="18058" xr:uid="{41B20982-3311-403C-BC7D-3079EB3D833A}"/>
    <cellStyle name="Standard 3 2 22 2 2" xfId="37495" xr:uid="{0805CBAF-50FB-408A-BECB-9190EB462535}"/>
    <cellStyle name="Standard 3 2 22 3" xfId="37494" xr:uid="{175D39EA-2C34-42AD-9E54-1DF0F2261F0F}"/>
    <cellStyle name="Standard 3 2 23" xfId="18059" xr:uid="{D325C8B8-8623-4438-A765-CED524341A37}"/>
    <cellStyle name="Standard 3 2 23 2" xfId="37496" xr:uid="{9804CADE-4144-4990-BBA1-9F2432F8CEEA}"/>
    <cellStyle name="Standard 3 2 24" xfId="37467" xr:uid="{161F14AD-3346-4FAB-A759-A9B7716892FD}"/>
    <cellStyle name="Standard 3 2 25" xfId="39737" xr:uid="{29DC9810-B89A-4C6F-8F9D-4EAF44FE52CB}"/>
    <cellStyle name="Standard 3 2 3" xfId="18060" xr:uid="{C61ABC6A-7C75-429E-A578-918970130801}"/>
    <cellStyle name="Standard 3 2 3 2" xfId="18061" xr:uid="{5AABAFD3-E211-416D-82E8-2D078271D4AB}"/>
    <cellStyle name="Standard 3 2 3 2 2" xfId="37498" xr:uid="{98906A8A-D46B-42D1-A25F-5B3CD9BF10A1}"/>
    <cellStyle name="Standard 3 2 3 3" xfId="37497" xr:uid="{F3599265-2628-4CF9-8B89-BD4DA53779AA}"/>
    <cellStyle name="Standard 3 2 4" xfId="18062" xr:uid="{7B2050EC-9C1B-46C0-A869-9E13CC36A185}"/>
    <cellStyle name="Standard 3 2 4 2" xfId="18063" xr:uid="{F87051F4-40EC-4022-9A8A-FA3F143E7513}"/>
    <cellStyle name="Standard 3 2 4 2 2" xfId="37500" xr:uid="{5803B6D2-89A2-43A7-AB8C-7F980E9582E1}"/>
    <cellStyle name="Standard 3 2 4 3" xfId="37499" xr:uid="{A5677EDB-A869-4A57-9125-3E8A1D0C951D}"/>
    <cellStyle name="Standard 3 2 5" xfId="18064" xr:uid="{20FA1F08-96A6-489F-B01E-4744A953AD0A}"/>
    <cellStyle name="Standard 3 2 5 2" xfId="18065" xr:uid="{58772242-ACBB-434F-A8A0-3F08360418AF}"/>
    <cellStyle name="Standard 3 2 5 2 2" xfId="37502" xr:uid="{2F5DF45D-67D7-4B64-8AF1-58B0E0E2B1F9}"/>
    <cellStyle name="Standard 3 2 5 3" xfId="37501" xr:uid="{505E6AA6-8C45-4E6F-B5D8-0425E9E56F3A}"/>
    <cellStyle name="Standard 3 2 6" xfId="18066" xr:uid="{2EC91B5D-0581-43A3-B4D4-D2D6B351386A}"/>
    <cellStyle name="Standard 3 2 6 2" xfId="18067" xr:uid="{ABE0C477-8554-4BA6-8F73-7DB6837ACA3F}"/>
    <cellStyle name="Standard 3 2 6 2 2" xfId="37504" xr:uid="{0BB5F680-80B7-44F0-9CBE-36909DDC9E2F}"/>
    <cellStyle name="Standard 3 2 6 3" xfId="37503" xr:uid="{B7191001-A91D-44AD-BCD8-0327F5920661}"/>
    <cellStyle name="Standard 3 2 7" xfId="18068" xr:uid="{78D61E24-0C95-467F-8CF9-2AA246F0BF86}"/>
    <cellStyle name="Standard 3 2 7 2" xfId="18069" xr:uid="{26FBBF7F-9224-4742-9807-E3186398EBCF}"/>
    <cellStyle name="Standard 3 2 7 2 2" xfId="37506" xr:uid="{723494C3-0BEF-4FE3-8C86-476C65365425}"/>
    <cellStyle name="Standard 3 2 7 3" xfId="37505" xr:uid="{28324C96-5897-4EB1-B405-248ECFA14DF1}"/>
    <cellStyle name="Standard 3 2 8" xfId="18070" xr:uid="{4A298ADC-AE71-4109-96AF-46038DBAC4E9}"/>
    <cellStyle name="Standard 3 2 8 2" xfId="18071" xr:uid="{C156CB08-0F04-47BE-82CD-100EC4686561}"/>
    <cellStyle name="Standard 3 2 8 2 2" xfId="37508" xr:uid="{1F284329-EDFD-4306-A344-4D3423FB50BA}"/>
    <cellStyle name="Standard 3 2 8 3" xfId="37507" xr:uid="{2CB54B9A-824A-4F8A-9B43-EBB1A5488D2F}"/>
    <cellStyle name="Standard 3 2 9" xfId="18072" xr:uid="{3D6813C2-B085-4BD1-B17B-F92761949E9A}"/>
    <cellStyle name="Standard 3 2 9 2" xfId="18073" xr:uid="{8A06E89F-3004-4E3F-B7D1-4AC698998AC7}"/>
    <cellStyle name="Standard 3 2 9 2 2" xfId="37510" xr:uid="{A1DC1297-8055-43B2-8765-350FF00D13A2}"/>
    <cellStyle name="Standard 3 2 9 3" xfId="37509" xr:uid="{D5BB0953-8163-402C-95AD-568FD9B338CE}"/>
    <cellStyle name="Standard 3 20" xfId="18074" xr:uid="{857A81B0-ACC0-461A-A675-BBFEE7A46540}"/>
    <cellStyle name="Standard 3 20 2" xfId="18075" xr:uid="{54C908B2-5D0A-44CE-822C-003C57374CB5}"/>
    <cellStyle name="Standard 3 20 2 2" xfId="37512" xr:uid="{820E5D2D-E4D7-4129-A102-9D501DAEBA28}"/>
    <cellStyle name="Standard 3 20 3" xfId="37511" xr:uid="{51102B0C-6732-4D6B-9B42-5202E8CF5C38}"/>
    <cellStyle name="Standard 3 21" xfId="18076" xr:uid="{055D7D4E-488B-4973-8A75-0AF5A5AFC1D6}"/>
    <cellStyle name="Standard 3 21 2" xfId="18077" xr:uid="{B2B2C8B5-0720-4D1A-8F52-CE34E5021EED}"/>
    <cellStyle name="Standard 3 21 2 2" xfId="37514" xr:uid="{2DF503A5-2909-4E63-80AF-07FB867666D1}"/>
    <cellStyle name="Standard 3 21 3" xfId="37513" xr:uid="{26CB695A-C1EB-4427-A966-BE6D25441B4A}"/>
    <cellStyle name="Standard 3 22" xfId="18078" xr:uid="{BBB9EB3D-6BF8-40C0-9A97-C5AE55E5D6AB}"/>
    <cellStyle name="Standard 3 22 2" xfId="18079" xr:uid="{E925060B-5A7F-4403-A321-511C911E782C}"/>
    <cellStyle name="Standard 3 22 2 2" xfId="37516" xr:uid="{03037CEA-6890-4088-8E5D-58804D424B91}"/>
    <cellStyle name="Standard 3 22 3" xfId="37515" xr:uid="{8F2D9FF2-F3F7-4D48-AAF6-DE8B51AA00A3}"/>
    <cellStyle name="Standard 3 23" xfId="18080" xr:uid="{C561B83F-3655-49F7-BC18-6AAB6B3ACC89}"/>
    <cellStyle name="Standard 3 23 2" xfId="18081" xr:uid="{A40CE605-FB02-4B01-B880-90C01517E8B7}"/>
    <cellStyle name="Standard 3 23 2 2" xfId="37518" xr:uid="{3012EA0A-3B52-4D19-ADD1-57765ABE1FFF}"/>
    <cellStyle name="Standard 3 23 3" xfId="37517" xr:uid="{F89CB6BC-233A-4515-AEF1-B2CCC43FACDB}"/>
    <cellStyle name="Standard 3 24" xfId="18082" xr:uid="{741F273E-5D4E-480A-AF60-18B44DD95052}"/>
    <cellStyle name="Standard 3 24 2" xfId="37519" xr:uid="{23711B57-671D-46FF-9DFE-8A5FDD122FBA}"/>
    <cellStyle name="Standard 3 25" xfId="18083" xr:uid="{C3E69224-8CBA-41F5-BA4C-BDB21AB6F8A9}"/>
    <cellStyle name="Standard 3 25 2" xfId="37520" xr:uid="{193E744B-1BB2-46A7-BC6D-1AB7F9FF0034}"/>
    <cellStyle name="Standard 3 26" xfId="39269" xr:uid="{07EE1738-F1C5-4164-9345-E582E4507265}"/>
    <cellStyle name="Standard 3 27" xfId="19836" xr:uid="{B51864B4-4637-44F2-9110-9161730E6E2A}"/>
    <cellStyle name="Standard 3 3" xfId="18084" xr:uid="{BC72633D-E99F-4889-A703-EF2C75BF8FD2}"/>
    <cellStyle name="Standard 3 3 10" xfId="18085" xr:uid="{6CB2F179-0C40-4AC3-BC2E-0AB3099B5FC4}"/>
    <cellStyle name="Standard 3 3 10 2" xfId="18086" xr:uid="{1B61F97A-3288-4A95-ACC0-D7CA0E3E9C87}"/>
    <cellStyle name="Standard 3 3 10 2 2" xfId="37523" xr:uid="{29EE463F-00AD-433E-A526-EFEBD0B80A9D}"/>
    <cellStyle name="Standard 3 3 10 3" xfId="37522" xr:uid="{FC90664B-2DD8-4FC3-A3CB-1F2B0D706641}"/>
    <cellStyle name="Standard 3 3 11" xfId="18087" xr:uid="{F4A6F190-FC95-4646-A858-B3C902B5421B}"/>
    <cellStyle name="Standard 3 3 11 2" xfId="18088" xr:uid="{870FCEF3-E41B-4FEB-9400-A111AEDD4B0C}"/>
    <cellStyle name="Standard 3 3 11 2 2" xfId="37525" xr:uid="{9AD2E587-0388-490F-8D08-2681D625CEAB}"/>
    <cellStyle name="Standard 3 3 11 3" xfId="37524" xr:uid="{CE352C64-2FE9-4B79-9093-6A3B381714FC}"/>
    <cellStyle name="Standard 3 3 12" xfId="18089" xr:uid="{173DD4B9-7831-44B6-9A0A-5AD1280E9DA9}"/>
    <cellStyle name="Standard 3 3 12 2" xfId="18090" xr:uid="{64107318-6EDE-4A54-B675-9D0C06324272}"/>
    <cellStyle name="Standard 3 3 12 2 2" xfId="37527" xr:uid="{7616C061-EA42-452B-A9D4-1D4ECE945757}"/>
    <cellStyle name="Standard 3 3 12 3" xfId="37526" xr:uid="{4BBC52E6-9429-49FC-8536-E71B17580201}"/>
    <cellStyle name="Standard 3 3 13" xfId="18091" xr:uid="{28145F2E-0C87-4BBB-8BE6-4B11C1A55383}"/>
    <cellStyle name="Standard 3 3 13 2" xfId="18092" xr:uid="{266DDFEC-0B4A-44D5-A641-5684F11FD7DA}"/>
    <cellStyle name="Standard 3 3 13 2 2" xfId="37529" xr:uid="{48523E71-D09A-4BA9-8BB4-CB1828608CA8}"/>
    <cellStyle name="Standard 3 3 13 3" xfId="37528" xr:uid="{6B79FD10-0B65-4894-B792-9B63A8F6DB4D}"/>
    <cellStyle name="Standard 3 3 14" xfId="18093" xr:uid="{3B6A21A0-4A26-4C0C-BFC9-9378395A4BE3}"/>
    <cellStyle name="Standard 3 3 14 2" xfId="18094" xr:uid="{7BE2947B-F946-45B8-A992-74A08A8DF548}"/>
    <cellStyle name="Standard 3 3 14 2 2" xfId="37531" xr:uid="{3EFC8AF3-863B-4A0F-A35F-03542B8A3C01}"/>
    <cellStyle name="Standard 3 3 14 3" xfId="37530" xr:uid="{2B73C522-9979-43A9-BAE7-C642185802F5}"/>
    <cellStyle name="Standard 3 3 15" xfId="18095" xr:uid="{FAF620BA-12AF-4B6A-9C6A-4C052E7BBD59}"/>
    <cellStyle name="Standard 3 3 15 2" xfId="18096" xr:uid="{50DD679A-03C7-4301-9BB0-5E8D4F2E1775}"/>
    <cellStyle name="Standard 3 3 15 2 2" xfId="37533" xr:uid="{9B4CAA83-BFCD-46E1-AED4-2CD3972A1979}"/>
    <cellStyle name="Standard 3 3 15 3" xfId="37532" xr:uid="{6473E970-4C15-4B0C-A6D2-7EC8E6DC6E56}"/>
    <cellStyle name="Standard 3 3 16" xfId="18097" xr:uid="{2B4912EF-C8AB-4E8B-B489-1814B452BDEF}"/>
    <cellStyle name="Standard 3 3 16 2" xfId="18098" xr:uid="{743705B9-09C5-4C63-9B55-8D4CC12F7148}"/>
    <cellStyle name="Standard 3 3 16 2 2" xfId="37535" xr:uid="{D2618DC4-61C6-48C9-ADEF-607F8FAED125}"/>
    <cellStyle name="Standard 3 3 16 3" xfId="37534" xr:uid="{3DA56368-A85B-47C6-BA96-0D2FE143372B}"/>
    <cellStyle name="Standard 3 3 17" xfId="18099" xr:uid="{3A3CF66A-B276-4667-86DE-5835F70D1C9D}"/>
    <cellStyle name="Standard 3 3 17 2" xfId="18100" xr:uid="{081B166F-9B1E-4A51-B548-46775AD1012C}"/>
    <cellStyle name="Standard 3 3 17 2 2" xfId="37537" xr:uid="{F87DC1E1-F7A8-4957-8350-1448FB026E04}"/>
    <cellStyle name="Standard 3 3 17 3" xfId="37536" xr:uid="{E126E53A-6633-4589-A591-54B5889C0DF2}"/>
    <cellStyle name="Standard 3 3 18" xfId="18101" xr:uid="{80F83830-9F68-4F66-A7E8-42D2EDB48997}"/>
    <cellStyle name="Standard 3 3 18 2" xfId="18102" xr:uid="{A7121873-7DDC-43B3-A028-4B20398C286D}"/>
    <cellStyle name="Standard 3 3 18 2 2" xfId="37539" xr:uid="{7C711F6C-F6B4-4136-A860-3B57461FE978}"/>
    <cellStyle name="Standard 3 3 18 3" xfId="37538" xr:uid="{C28AF59F-E17A-4953-B842-3749810D83FE}"/>
    <cellStyle name="Standard 3 3 19" xfId="18103" xr:uid="{6375B745-EEF4-4BA4-83CB-C7300A6F40C1}"/>
    <cellStyle name="Standard 3 3 19 2" xfId="18104" xr:uid="{2062C608-CFAF-4F04-A741-6A73A90CEE9B}"/>
    <cellStyle name="Standard 3 3 19 2 2" xfId="37541" xr:uid="{E9B2F249-73AF-4BB4-AD31-0A3EEA5EF0FF}"/>
    <cellStyle name="Standard 3 3 19 3" xfId="37540" xr:uid="{A52CF09C-C57F-4419-8AC6-F8AAD23E554D}"/>
    <cellStyle name="Standard 3 3 2" xfId="18105" xr:uid="{A9659F53-F05E-42F8-9DA4-2F890E64753F}"/>
    <cellStyle name="Standard 3 3 2 2" xfId="18106" xr:uid="{7AECB527-E48C-4994-AA59-6FBBA661E861}"/>
    <cellStyle name="Standard 3 3 2 2 2" xfId="37543" xr:uid="{968FB3EB-8141-4125-9450-76CD7D38FC85}"/>
    <cellStyle name="Standard 3 3 2 3" xfId="37542" xr:uid="{B8298B8D-9CCC-422F-814A-E0CCC3BADE1B}"/>
    <cellStyle name="Standard 3 3 20" xfId="18107" xr:uid="{9DCC264E-E38D-477F-B896-5FB4F480EF70}"/>
    <cellStyle name="Standard 3 3 20 2" xfId="18108" xr:uid="{916ADA11-FC68-48DF-A7D5-BB6A1C458723}"/>
    <cellStyle name="Standard 3 3 20 2 2" xfId="37545" xr:uid="{F33264CB-B2FA-4B66-974A-83FE64889B20}"/>
    <cellStyle name="Standard 3 3 20 3" xfId="37544" xr:uid="{654AB852-13F8-4CA0-8309-90304F2F5860}"/>
    <cellStyle name="Standard 3 3 21" xfId="18109" xr:uid="{DCDAE856-56FF-432F-B95F-015A32BE3D95}"/>
    <cellStyle name="Standard 3 3 21 2" xfId="18110" xr:uid="{CECC22E4-228B-4F87-8A53-4561BEF2EDCA}"/>
    <cellStyle name="Standard 3 3 21 2 2" xfId="37547" xr:uid="{5FC95E28-307B-4D6D-A54D-87BE7504F772}"/>
    <cellStyle name="Standard 3 3 21 3" xfId="37546" xr:uid="{5E5EFCA8-BF01-4C8E-927C-058D02D03F08}"/>
    <cellStyle name="Standard 3 3 22" xfId="18111" xr:uid="{9FEE194E-58BC-4E1C-AB3F-956813E57119}"/>
    <cellStyle name="Standard 3 3 22 2" xfId="37548" xr:uid="{86E54E78-F34A-4345-A584-BA807EF706AC}"/>
    <cellStyle name="Standard 3 3 23" xfId="37521" xr:uid="{DD9E666D-A47A-4D06-BADB-96800F0645EE}"/>
    <cellStyle name="Standard 3 3 24" xfId="39738" xr:uid="{02E86BCE-7D26-4A1B-80BE-69B46148E638}"/>
    <cellStyle name="Standard 3 3 3" xfId="18112" xr:uid="{DDB5A6AB-DFEF-4F42-A239-1B063328FB46}"/>
    <cellStyle name="Standard 3 3 3 2" xfId="18113" xr:uid="{9240CC9E-2EAD-4D3B-91C4-1911DC8C9BB8}"/>
    <cellStyle name="Standard 3 3 3 2 2" xfId="37550" xr:uid="{B361B21C-CC0A-4F4D-91DF-A89F449E4C12}"/>
    <cellStyle name="Standard 3 3 3 3" xfId="37549" xr:uid="{5BB95D8C-4937-4007-AE9F-B67DA26576D3}"/>
    <cellStyle name="Standard 3 3 4" xfId="18114" xr:uid="{E7C408B5-4165-41F6-B3B9-3C7A888945AC}"/>
    <cellStyle name="Standard 3 3 4 2" xfId="18115" xr:uid="{3B841AE4-E040-4C89-AC48-6A20BD0741B2}"/>
    <cellStyle name="Standard 3 3 4 2 2" xfId="37552" xr:uid="{8E831250-A953-4471-8609-1287A69BC250}"/>
    <cellStyle name="Standard 3 3 4 3" xfId="37551" xr:uid="{CD6C787E-B6DE-4E6C-A6FF-7319139F6AE9}"/>
    <cellStyle name="Standard 3 3 5" xfId="18116" xr:uid="{BC6D316B-17D7-4403-92AF-614E1016EF4A}"/>
    <cellStyle name="Standard 3 3 5 2" xfId="18117" xr:uid="{CA34AAD6-A307-40C5-B3D3-4A00A4AE0F03}"/>
    <cellStyle name="Standard 3 3 5 2 2" xfId="37554" xr:uid="{7B652C6F-8D24-4293-8C47-22EA09551481}"/>
    <cellStyle name="Standard 3 3 5 3" xfId="37553" xr:uid="{AEF0FDD6-40B7-45DB-B20B-88908678B7A3}"/>
    <cellStyle name="Standard 3 3 6" xfId="18118" xr:uid="{4856313E-55E8-469D-8AB6-E1562228A03E}"/>
    <cellStyle name="Standard 3 3 6 2" xfId="18119" xr:uid="{5A1031B8-2AF0-47D0-98C7-DA9B26F5D37F}"/>
    <cellStyle name="Standard 3 3 6 2 2" xfId="37556" xr:uid="{C6B0B231-E531-42A7-B0AE-92FC71E8F02C}"/>
    <cellStyle name="Standard 3 3 6 3" xfId="37555" xr:uid="{074308F0-8B7B-449D-9770-A82C680FA81A}"/>
    <cellStyle name="Standard 3 3 7" xfId="18120" xr:uid="{5EE35A5D-CA09-495B-8159-B5EB30C69B5B}"/>
    <cellStyle name="Standard 3 3 7 2" xfId="18121" xr:uid="{EEFF895C-CA20-4B43-985C-96C0A3361879}"/>
    <cellStyle name="Standard 3 3 7 2 2" xfId="37558" xr:uid="{C8882FFC-A792-4934-B887-A0B57460FAAF}"/>
    <cellStyle name="Standard 3 3 7 3" xfId="37557" xr:uid="{F8AFE7A3-3808-49D1-B9F2-9EB6F5A794DC}"/>
    <cellStyle name="Standard 3 3 8" xfId="18122" xr:uid="{3A981B1E-8FB2-4747-994B-1D09BB8CD12C}"/>
    <cellStyle name="Standard 3 3 8 2" xfId="18123" xr:uid="{E98043A8-DDC4-4BCE-AE5D-F84636C27612}"/>
    <cellStyle name="Standard 3 3 8 2 2" xfId="37560" xr:uid="{6B1EE6E0-152F-4A44-A421-34F78F44F464}"/>
    <cellStyle name="Standard 3 3 8 3" xfId="37559" xr:uid="{2A2477DD-4BF0-4FF5-A59E-891A3E9B51E9}"/>
    <cellStyle name="Standard 3 3 9" xfId="18124" xr:uid="{3F11924D-D1C4-4ED1-807F-98A05DAB13E4}"/>
    <cellStyle name="Standard 3 3 9 2" xfId="18125" xr:uid="{4B3118DE-5D7D-4C89-9C44-C3CAA812B177}"/>
    <cellStyle name="Standard 3 3 9 2 2" xfId="37562" xr:uid="{68B7E908-AFDA-4B29-9C9A-B45DB2AEA605}"/>
    <cellStyle name="Standard 3 3 9 3" xfId="37561" xr:uid="{4C7A7DC5-8A93-40AD-B612-F36BEA4DA6E3}"/>
    <cellStyle name="Standard 3 4" xfId="18126" xr:uid="{9CF14DE9-8410-4DE1-80DE-CD677DF9B86F}"/>
    <cellStyle name="Standard 3 4 2" xfId="18127" xr:uid="{9C140954-DEDC-4A4E-B69B-14DB97EE66FE}"/>
    <cellStyle name="Standard 3 4 2 2" xfId="37564" xr:uid="{C5E53D75-4F66-4A6F-A2F9-5D34CFD1012D}"/>
    <cellStyle name="Standard 3 4 3" xfId="37563" xr:uid="{263F45E6-A654-4C8F-805C-DF272C1CDC97}"/>
    <cellStyle name="Standard 3 5" xfId="18128" xr:uid="{BA79C429-C048-4E2D-B7B6-605E9E550C26}"/>
    <cellStyle name="Standard 3 5 2" xfId="18129" xr:uid="{0F806F93-DD85-4A0B-9DCF-4331CB9C101F}"/>
    <cellStyle name="Standard 3 5 2 2" xfId="37566" xr:uid="{2B7F0514-8BBF-4E21-B967-FDA071139479}"/>
    <cellStyle name="Standard 3 5 3" xfId="37565" xr:uid="{3DD21DDB-3EF1-4A0C-BE6D-DB6F609C7A56}"/>
    <cellStyle name="Standard 3 5 4" xfId="42159" xr:uid="{90462845-D5F2-4286-BBDD-5B81BED1B136}"/>
    <cellStyle name="Standard 3 6" xfId="18130" xr:uid="{BFB280AA-18D9-49C1-B8C5-288E3F5D4D72}"/>
    <cellStyle name="Standard 3 6 2" xfId="18131" xr:uid="{4BBC98D6-8478-4CED-8AA0-E6BA0AA4C951}"/>
    <cellStyle name="Standard 3 6 2 2" xfId="37568" xr:uid="{77350CB4-8F21-43D5-9F8B-6D83BCB0CE69}"/>
    <cellStyle name="Standard 3 6 3" xfId="37567" xr:uid="{A3F0F287-F7A3-427C-B1CF-E1F7C8BFF4D6}"/>
    <cellStyle name="Standard 3 7" xfId="18132" xr:uid="{CF6EE63A-2BF1-4D7B-8DF9-19561963939A}"/>
    <cellStyle name="Standard 3 7 2" xfId="18133" xr:uid="{5609D33B-C0A8-4C5E-A15C-CC4E653A524B}"/>
    <cellStyle name="Standard 3 7 2 2" xfId="37570" xr:uid="{8E5E18C3-AB05-4178-B418-1328D192786A}"/>
    <cellStyle name="Standard 3 7 3" xfId="37569" xr:uid="{FBA7EBE4-E6A2-4F65-8079-CFFA7DA8C105}"/>
    <cellStyle name="Standard 3 8" xfId="18134" xr:uid="{FCD74378-A0F3-4C80-975E-D9D89A4C0312}"/>
    <cellStyle name="Standard 3 8 2" xfId="18135" xr:uid="{C7F9F61D-1EBD-4B56-B6B1-1947E734B8AF}"/>
    <cellStyle name="Standard 3 8 2 2" xfId="37572" xr:uid="{6D4D8CF8-EB20-4013-820B-6054C875E713}"/>
    <cellStyle name="Standard 3 8 3" xfId="37571" xr:uid="{B47DC230-C669-487A-9A3F-5CF6637BCB9B}"/>
    <cellStyle name="Standard 3 9" xfId="18136" xr:uid="{86E825AB-D18B-48D0-8517-4FF79F46437E}"/>
    <cellStyle name="Standard 3 9 2" xfId="18137" xr:uid="{742E2866-FD3E-4A12-B7A0-9BEFA38D81F7}"/>
    <cellStyle name="Standard 3 9 2 2" xfId="37574" xr:uid="{23E1BADD-3AE6-4FF4-842A-8A094F1BC98A}"/>
    <cellStyle name="Standard 3 9 3" xfId="37573" xr:uid="{6D4A235D-4E07-4128-9246-7EAB3CEFD2F5}"/>
    <cellStyle name="Standard 30" xfId="39739" xr:uid="{CD5E4494-3CEB-4966-BD1F-F702C922106E}"/>
    <cellStyle name="Standard 30 2" xfId="18138" xr:uid="{7B803418-C732-4221-8048-548EA813F110}"/>
    <cellStyle name="Standard 30 2 2" xfId="18139" xr:uid="{D8CA41FA-B026-408F-9BA6-C917A86B63E2}"/>
    <cellStyle name="Standard 30 2 2 2" xfId="37576" xr:uid="{9E895812-395F-4158-90C2-DBAD8C0FE7B3}"/>
    <cellStyle name="Standard 30 2 2 2 2" xfId="41180" xr:uid="{B7DE16CC-D1DF-40F5-AD96-09686D317581}"/>
    <cellStyle name="Standard 30 2 2 3" xfId="42038" xr:uid="{F3B183BF-5414-4A4B-8345-606B326A18BF}"/>
    <cellStyle name="Standard 30 2 2 4" xfId="40276" xr:uid="{52513692-7E09-43D6-A18C-1F1FA540BE35}"/>
    <cellStyle name="Standard 30 2 3" xfId="37575" xr:uid="{8CC4DFD2-3D12-443E-ABC0-F5C629B95AF6}"/>
    <cellStyle name="Standard 30 2 3 2" xfId="40737" xr:uid="{809FF28B-250E-4DA7-B0FD-0E0BD4DBAACA}"/>
    <cellStyle name="Standard 30 2 4" xfId="41597" xr:uid="{AF6ECC07-1124-46B0-ADFE-DB5BA96FD1E9}"/>
    <cellStyle name="Standard 30 2 5" xfId="39740" xr:uid="{36177B2A-2CF3-463A-95DF-B635E9FB7D06}"/>
    <cellStyle name="Standard 30 3" xfId="18140" xr:uid="{01C1904E-0C90-44CC-BB4B-C26291089C90}"/>
    <cellStyle name="Standard 30 3 2" xfId="18141" xr:uid="{4A489CA1-DDAC-4B08-9D93-334536BD983D}"/>
    <cellStyle name="Standard 30 3 2 2" xfId="37578" xr:uid="{F0D7873F-2717-4D5C-BC0F-DDE9020D369B}"/>
    <cellStyle name="Standard 30 3 2 3" xfId="41179" xr:uid="{D7636634-99B0-4D2B-863E-81882A3A7BBB}"/>
    <cellStyle name="Standard 30 3 3" xfId="37577" xr:uid="{FBD414A7-DE74-4245-AD2B-E2BD2BE9A4F9}"/>
    <cellStyle name="Standard 30 3 3 2" xfId="42037" xr:uid="{4CCA4B8D-C403-40E7-8BD0-4722635585F0}"/>
    <cellStyle name="Standard 30 3 4" xfId="40275" xr:uid="{D667FE47-DA1D-4C47-83B0-F898F5C93F1F}"/>
    <cellStyle name="Standard 30 4" xfId="18142" xr:uid="{B88D3C11-A697-4DB4-AC70-6B4397ED8BF2}"/>
    <cellStyle name="Standard 30 4 2" xfId="18143" xr:uid="{632DC519-CC8F-4F83-9053-982F81507B68}"/>
    <cellStyle name="Standard 30 4 2 2" xfId="37580" xr:uid="{A8629976-289C-4C43-BED2-59A0627AF6FA}"/>
    <cellStyle name="Standard 30 4 3" xfId="37579" xr:uid="{4CACF4CD-F588-41D3-A6CD-20E0B2BFC9BD}"/>
    <cellStyle name="Standard 30 4 4" xfId="40736" xr:uid="{BC51011A-3464-4B35-A1B4-0CE937252872}"/>
    <cellStyle name="Standard 30 5" xfId="18144" xr:uid="{B842F4A7-9BD9-41BD-9184-86F75B0CEEE1}"/>
    <cellStyle name="Standard 30 5 2" xfId="37581" xr:uid="{A024AB86-E9E1-4A2B-B3BE-01A70D8F9E8E}"/>
    <cellStyle name="Standard 30 5 3" xfId="41596" xr:uid="{04383321-066F-401C-941E-57FD4E723DD9}"/>
    <cellStyle name="Standard 30 6" xfId="18145" xr:uid="{A2221579-8B3E-4E18-96E2-A39C4A155A58}"/>
    <cellStyle name="Standard 30 6 2" xfId="37582" xr:uid="{92B2D61F-678F-4FD9-9EFF-BBA2F29CC720}"/>
    <cellStyle name="Standard 31" xfId="39741" xr:uid="{370451E2-FFD5-480D-9BF8-92DC2C6A40E0}"/>
    <cellStyle name="Standard 31 2" xfId="18146" xr:uid="{3E0DC72E-F365-4652-9688-FAD2D3FDBB1E}"/>
    <cellStyle name="Standard 31 2 2" xfId="18147" xr:uid="{2514098B-3361-4A79-B52B-1D2E61BDD983}"/>
    <cellStyle name="Standard 31 2 2 2" xfId="37584" xr:uid="{1744A1A6-333F-4C7B-AE1A-9523BE7520C8}"/>
    <cellStyle name="Standard 31 2 2 2 2" xfId="41182" xr:uid="{CA3DCAF6-B3C6-4551-AE69-AFBE396946C8}"/>
    <cellStyle name="Standard 31 2 2 3" xfId="42040" xr:uid="{2BEB858F-89BC-4155-9DEB-393EDB1D86D2}"/>
    <cellStyle name="Standard 31 2 2 4" xfId="40278" xr:uid="{48B7D984-328C-4FF4-9CC0-726B323EB3CB}"/>
    <cellStyle name="Standard 31 2 3" xfId="37583" xr:uid="{1B3DBBDA-D992-41C2-91BC-5076411ECFC1}"/>
    <cellStyle name="Standard 31 2 3 2" xfId="40739" xr:uid="{BA25C855-AE3D-4A94-972A-5273BC536C86}"/>
    <cellStyle name="Standard 31 2 4" xfId="41599" xr:uid="{E5142B1D-BF24-4C19-8E66-C3A22E04B714}"/>
    <cellStyle name="Standard 31 2 5" xfId="39742" xr:uid="{4D24210C-29E5-4DE2-9446-C604584A77EE}"/>
    <cellStyle name="Standard 31 3" xfId="18148" xr:uid="{E85EBF2E-BC67-45D7-B02D-CE8E1FC9F31F}"/>
    <cellStyle name="Standard 31 3 2" xfId="18149" xr:uid="{3AC31FEF-DCF9-4F60-AFCE-33149EBCDFE7}"/>
    <cellStyle name="Standard 31 3 2 2" xfId="37586" xr:uid="{AC931CF3-C968-43DD-A32A-D0DBA0D8F819}"/>
    <cellStyle name="Standard 31 3 2 3" xfId="41181" xr:uid="{52F8C85F-197F-45F1-A6CC-84D589DBC23B}"/>
    <cellStyle name="Standard 31 3 3" xfId="37585" xr:uid="{3D44DE5C-AC4C-40DC-B041-34CB45B866E2}"/>
    <cellStyle name="Standard 31 3 3 2" xfId="42039" xr:uid="{D4F965AF-2F7C-464C-B546-38ADEF21C0A1}"/>
    <cellStyle name="Standard 31 3 4" xfId="40277" xr:uid="{413707AE-4E0A-4DF5-ABD9-70CF217559E9}"/>
    <cellStyle name="Standard 31 4" xfId="18150" xr:uid="{F72EE3B0-0488-4D33-8AAB-39312D94BE34}"/>
    <cellStyle name="Standard 31 4 2" xfId="18151" xr:uid="{165020E0-732C-470D-A305-3D3D151B90C5}"/>
    <cellStyle name="Standard 31 4 2 2" xfId="37588" xr:uid="{FDDF5EA3-4DCC-430E-AD33-A32E3EB0CB86}"/>
    <cellStyle name="Standard 31 4 3" xfId="37587" xr:uid="{06590DAC-BBDF-4C99-AEA7-852CDFAC4948}"/>
    <cellStyle name="Standard 31 4 4" xfId="40738" xr:uid="{BC0D5EF2-DD0C-4AC8-A823-4F45ED1B00FD}"/>
    <cellStyle name="Standard 31 5" xfId="18152" xr:uid="{7576EA79-2C9A-48CF-BAFF-25FB019C5A8F}"/>
    <cellStyle name="Standard 31 5 2" xfId="37589" xr:uid="{79062258-F0D6-4CD7-9715-51B4AEF0F827}"/>
    <cellStyle name="Standard 31 5 3" xfId="41598" xr:uid="{D2A367CD-86DA-4EBD-9232-2A38F0A3CD28}"/>
    <cellStyle name="Standard 31 6" xfId="18153" xr:uid="{71F0DEE7-2B9F-44C9-8072-40AF3B2DA346}"/>
    <cellStyle name="Standard 31 6 2" xfId="37590" xr:uid="{BF44AFD6-4C2B-4826-B6A3-C98420374CBA}"/>
    <cellStyle name="Standard 32" xfId="39743" xr:uid="{B4AA3E76-379F-4409-8CEA-C40185AA0806}"/>
    <cellStyle name="Standard 32 2" xfId="18154" xr:uid="{81A607AD-8E21-4C15-84DA-E16CB4AA5E89}"/>
    <cellStyle name="Standard 32 2 2" xfId="18155" xr:uid="{D1F9E5E3-6C45-4AF6-A617-A26807A835D7}"/>
    <cellStyle name="Standard 32 2 2 2" xfId="37592" xr:uid="{48F5F28B-084F-4E32-9424-4954DBF1D60F}"/>
    <cellStyle name="Standard 32 2 2 2 2" xfId="41184" xr:uid="{BEE791D6-E1C0-4E3E-B0D9-08E209CEB66B}"/>
    <cellStyle name="Standard 32 2 2 3" xfId="42042" xr:uid="{377FE04B-6E77-45B2-A4DC-0F115BEF83EA}"/>
    <cellStyle name="Standard 32 2 2 4" xfId="40280" xr:uid="{3C1B6630-997E-43DE-99CD-6BCD9CFC3A8C}"/>
    <cellStyle name="Standard 32 2 3" xfId="37591" xr:uid="{785041B7-6C82-479B-A8E4-3244335EDE6B}"/>
    <cellStyle name="Standard 32 2 3 2" xfId="40741" xr:uid="{56941514-FCB1-441F-801A-63B6F0CD9535}"/>
    <cellStyle name="Standard 32 2 4" xfId="41601" xr:uid="{3E0F8811-36E9-47AC-A88A-876B1D73CD02}"/>
    <cellStyle name="Standard 32 2 5" xfId="39744" xr:uid="{8DD5FBB9-539D-439F-8366-A39B1F789A18}"/>
    <cellStyle name="Standard 32 3" xfId="18156" xr:uid="{4247DB6A-11B5-4E98-87E5-D0F6FDC6413B}"/>
    <cellStyle name="Standard 32 3 2" xfId="18157" xr:uid="{46C9763A-A77D-4BBB-AFDF-1A0ED403FAC4}"/>
    <cellStyle name="Standard 32 3 2 2" xfId="37594" xr:uid="{356D5DD4-CB62-4452-9D53-108607415A5E}"/>
    <cellStyle name="Standard 32 3 2 3" xfId="41183" xr:uid="{94D81E7B-8A49-4D92-9E3B-EC7586DF6ADD}"/>
    <cellStyle name="Standard 32 3 3" xfId="37593" xr:uid="{81B95570-2099-4599-B281-7BC46AB8EA73}"/>
    <cellStyle name="Standard 32 3 3 2" xfId="42041" xr:uid="{083862E6-1FBD-447D-BBCA-F9CF4F38A2ED}"/>
    <cellStyle name="Standard 32 3 4" xfId="40279" xr:uid="{39748ECC-6E88-48AC-BD4B-B81938741D93}"/>
    <cellStyle name="Standard 32 4" xfId="18158" xr:uid="{089500FA-761C-4ADB-AC7B-9C019D556ADD}"/>
    <cellStyle name="Standard 32 4 2" xfId="37595" xr:uid="{20F11033-A54D-44E9-A4B5-A065315E3194}"/>
    <cellStyle name="Standard 32 4 3" xfId="40740" xr:uid="{765C7837-0154-4F3B-9A19-2F14B3DED475}"/>
    <cellStyle name="Standard 32 5" xfId="18159" xr:uid="{1F806CBE-CBF3-42D1-9094-A883F453EEB3}"/>
    <cellStyle name="Standard 32 5 2" xfId="37596" xr:uid="{C8FBCACE-22AD-4D1F-A06B-90490E823915}"/>
    <cellStyle name="Standard 32 5 3" xfId="41600" xr:uid="{DAFF05B5-7D6D-4B7E-B48E-5C7D926C4C7D}"/>
    <cellStyle name="Standard 33" xfId="39745" xr:uid="{88B7E60F-A25E-4347-8C0E-187626DE4911}"/>
    <cellStyle name="Standard 33 2" xfId="18160" xr:uid="{45B20963-B896-4138-81F8-E8CFE1C9BD90}"/>
    <cellStyle name="Standard 33 2 2" xfId="18161" xr:uid="{C497C716-EA24-4DFD-8CC4-4F1FB5182B6B}"/>
    <cellStyle name="Standard 33 2 2 2" xfId="37598" xr:uid="{E3C3E4D8-58D9-487E-B56C-2EE4353CD52F}"/>
    <cellStyle name="Standard 33 2 2 2 2" xfId="41186" xr:uid="{8EFBB067-2812-4208-B693-E3522C5CEBF6}"/>
    <cellStyle name="Standard 33 2 2 3" xfId="42044" xr:uid="{D10D55FF-CD45-4CAD-BF61-4ED6897B780D}"/>
    <cellStyle name="Standard 33 2 2 4" xfId="40282" xr:uid="{7D998C3D-B451-41D5-9EEB-3FB7EF6D8162}"/>
    <cellStyle name="Standard 33 2 3" xfId="37597" xr:uid="{C9E3EAFD-63C8-45A3-AAC9-9FEFC233723D}"/>
    <cellStyle name="Standard 33 2 3 2" xfId="40743" xr:uid="{F02C8060-C023-4EE1-A68C-9176538FB3B9}"/>
    <cellStyle name="Standard 33 2 4" xfId="41603" xr:uid="{9C4A5F46-9E50-48D6-B312-7D9A323C00F4}"/>
    <cellStyle name="Standard 33 2 5" xfId="39746" xr:uid="{FCE613E2-D862-448E-A039-65968E470255}"/>
    <cellStyle name="Standard 33 3" xfId="18162" xr:uid="{3DF4ECBA-C0A3-483C-86AC-D84140F89A66}"/>
    <cellStyle name="Standard 33 3 2" xfId="18163" xr:uid="{A0A7C8F0-91BD-4CC2-A7C0-6B1EF66716B0}"/>
    <cellStyle name="Standard 33 3 2 2" xfId="37600" xr:uid="{4A8A6C9F-657C-438D-AC36-FAC501F526CB}"/>
    <cellStyle name="Standard 33 3 2 3" xfId="41185" xr:uid="{94787D0A-9746-4603-B427-F59A93C88A43}"/>
    <cellStyle name="Standard 33 3 3" xfId="37599" xr:uid="{91C584CB-3A50-4838-ABAA-7C34B619C5CD}"/>
    <cellStyle name="Standard 33 3 3 2" xfId="42043" xr:uid="{A2FB5B9E-48F2-4F46-9080-E07B8D348CDE}"/>
    <cellStyle name="Standard 33 3 4" xfId="40281" xr:uid="{291EF027-20E8-407F-9B67-F2052D244AF3}"/>
    <cellStyle name="Standard 33 4" xfId="18164" xr:uid="{492E1A3D-91F9-485D-BDE9-6B8ABAAFD518}"/>
    <cellStyle name="Standard 33 4 2" xfId="37601" xr:uid="{56261A27-7F39-49CC-B9F4-7825668AB7E3}"/>
    <cellStyle name="Standard 33 4 3" xfId="40742" xr:uid="{40E48FD4-5A8F-438F-BEE3-43709D1D7CBB}"/>
    <cellStyle name="Standard 33 5" xfId="18165" xr:uid="{7CA07AD2-ADB0-4BFF-8F5A-FEE3582EE531}"/>
    <cellStyle name="Standard 33 5 2" xfId="37602" xr:uid="{604C7379-05F0-4413-859A-5094A2E92E9C}"/>
    <cellStyle name="Standard 33 5 3" xfId="41602" xr:uid="{854361D3-CA73-4A45-B0BE-4E104AF1DD4A}"/>
    <cellStyle name="Standard 34" xfId="39747" xr:uid="{4DE508C3-235D-46ED-BE0E-07EAF1789B9C}"/>
    <cellStyle name="Standard 34 2" xfId="18166" xr:uid="{484E08DB-20E0-4D8C-BE67-4BB6BE32AFB3}"/>
    <cellStyle name="Standard 34 2 2" xfId="18167" xr:uid="{0808CDF9-30AE-415A-A239-C7DBCB3CB565}"/>
    <cellStyle name="Standard 34 2 2 2" xfId="37604" xr:uid="{02472859-C884-4BC2-8D5F-FCA1203BA4A4}"/>
    <cellStyle name="Standard 34 2 2 2 2" xfId="41188" xr:uid="{FAE41183-79DF-4DC3-B241-CD3901D5ABB0}"/>
    <cellStyle name="Standard 34 2 2 3" xfId="42046" xr:uid="{ACA54737-ECAB-4BB1-AAC0-27B8CE966056}"/>
    <cellStyle name="Standard 34 2 2 4" xfId="40284" xr:uid="{CB55D692-3E24-4372-AD44-1549B25652E2}"/>
    <cellStyle name="Standard 34 2 3" xfId="37603" xr:uid="{482301A3-4483-465B-8B8D-F7B6ABE1F5AC}"/>
    <cellStyle name="Standard 34 2 3 2" xfId="40745" xr:uid="{EB3CA116-1F04-459D-8B4E-C77B6064A390}"/>
    <cellStyle name="Standard 34 2 4" xfId="41605" xr:uid="{5B52DE0A-BD9D-486D-A6C4-89B8F858062B}"/>
    <cellStyle name="Standard 34 2 5" xfId="39748" xr:uid="{77C8C2A9-8035-4DFF-9ECA-3D1AAAB945FF}"/>
    <cellStyle name="Standard 34 3" xfId="18168" xr:uid="{817B065C-F7D8-43B2-9E40-2D6CAAF25F25}"/>
    <cellStyle name="Standard 34 3 2" xfId="18169" xr:uid="{04F0C199-9ED9-4996-B55E-B968C605E418}"/>
    <cellStyle name="Standard 34 3 2 2" xfId="37606" xr:uid="{EC8364E3-1544-448E-848D-CBB82E3CCE9B}"/>
    <cellStyle name="Standard 34 3 2 3" xfId="41187" xr:uid="{0913A70C-B227-4A7A-A1E3-B5C38ECF14F5}"/>
    <cellStyle name="Standard 34 3 3" xfId="37605" xr:uid="{BA5736B2-D335-4345-AEA5-DA62C38E07C7}"/>
    <cellStyle name="Standard 34 3 3 2" xfId="42045" xr:uid="{F3D44207-F53A-442F-B300-457EBE36AB62}"/>
    <cellStyle name="Standard 34 3 4" xfId="40283" xr:uid="{5A635772-182B-48FC-8CE4-C187BF2F91C2}"/>
    <cellStyle name="Standard 34 4" xfId="18170" xr:uid="{584C3FF6-9006-414B-8331-535C3CB8909C}"/>
    <cellStyle name="Standard 34 4 2" xfId="37607" xr:uid="{7F2DDB2C-1EA2-4242-9140-558D9E58FB6E}"/>
    <cellStyle name="Standard 34 4 3" xfId="40744" xr:uid="{B5A258CF-6FE0-440F-842F-5AFC1BEF4261}"/>
    <cellStyle name="Standard 34 5" xfId="18171" xr:uid="{523458A9-3D62-4C9B-91FF-91513405E238}"/>
    <cellStyle name="Standard 34 5 2" xfId="37608" xr:uid="{1B24C7A2-13DD-432C-B2E0-7B8F1109CD9E}"/>
    <cellStyle name="Standard 34 5 3" xfId="41604" xr:uid="{A849E7D2-6E05-499F-94AA-D521C856B2C8}"/>
    <cellStyle name="Standard 35" xfId="39749" xr:uid="{D400ED25-4969-4C0E-8B20-10DD4C8B3560}"/>
    <cellStyle name="Standard 35 2" xfId="18172" xr:uid="{BE13DF72-C43A-49B7-B8CA-7D60126A24EC}"/>
    <cellStyle name="Standard 35 2 2" xfId="18173" xr:uid="{87D2E095-A3A1-4189-A624-DBBA6517E81A}"/>
    <cellStyle name="Standard 35 2 2 2" xfId="37610" xr:uid="{753C6B5C-2597-4278-B40A-8F4A42C37A45}"/>
    <cellStyle name="Standard 35 2 2 2 2" xfId="41190" xr:uid="{136D60F7-723F-48B1-8D4D-7F4CD59193BF}"/>
    <cellStyle name="Standard 35 2 2 3" xfId="42048" xr:uid="{92D10B06-06A8-4F14-A0B6-BE1988134639}"/>
    <cellStyle name="Standard 35 2 2 4" xfId="40286" xr:uid="{234E8CD3-D0BF-4619-B357-B4068BBCA56E}"/>
    <cellStyle name="Standard 35 2 3" xfId="37609" xr:uid="{348F84AA-380B-4A48-80A0-6B6CD7C5283F}"/>
    <cellStyle name="Standard 35 2 3 2" xfId="40747" xr:uid="{31748CEB-226F-4F3D-8064-CA37A38FB934}"/>
    <cellStyle name="Standard 35 2 4" xfId="41607" xr:uid="{95E58770-EB5E-4051-A74E-688DC6F6C9BA}"/>
    <cellStyle name="Standard 35 2 5" xfId="39750" xr:uid="{8AF29CEF-8F14-45DC-838F-41A96C96D745}"/>
    <cellStyle name="Standard 35 3" xfId="18174" xr:uid="{BF61660A-418F-44FE-8E53-64DC522C6706}"/>
    <cellStyle name="Standard 35 3 2" xfId="37611" xr:uid="{7588F03C-7554-4709-9B1B-F3465CAE1601}"/>
    <cellStyle name="Standard 35 3 2 2" xfId="41189" xr:uid="{E5708590-5660-4CAB-BCA1-36C94689AC1A}"/>
    <cellStyle name="Standard 35 3 3" xfId="42047" xr:uid="{ED5BEB45-0CE9-48A7-8151-2AD1C49C27EB}"/>
    <cellStyle name="Standard 35 3 4" xfId="40285" xr:uid="{07E3DC1A-013B-4C73-87CD-08FCCDAB1A10}"/>
    <cellStyle name="Standard 35 4" xfId="18175" xr:uid="{45D3673A-CFD8-4329-9AD1-AE9786431D54}"/>
    <cellStyle name="Standard 35 4 2" xfId="37612" xr:uid="{E9F7F8E1-7C3B-46A1-B579-73EEAEC17E9B}"/>
    <cellStyle name="Standard 35 4 3" xfId="40746" xr:uid="{B370A2C5-C4C2-4DA2-9AFB-B5D66877DE93}"/>
    <cellStyle name="Standard 35 5" xfId="41606" xr:uid="{E6841CBC-2A77-4ABD-ADE8-4EFB3C17F7C9}"/>
    <cellStyle name="Standard 36" xfId="39751" xr:uid="{F9E03A33-6391-41B8-93B1-8BC8B72BCC2A}"/>
    <cellStyle name="Standard 36 2" xfId="18176" xr:uid="{63440C10-4A94-4139-A44B-CEB1E31DC512}"/>
    <cellStyle name="Standard 36 2 2" xfId="18177" xr:uid="{F11F1C4F-BBBF-49CC-AFC1-7CA84644374C}"/>
    <cellStyle name="Standard 36 2 2 2" xfId="37614" xr:uid="{1584938C-742E-440A-B078-BAE57D2B6ECC}"/>
    <cellStyle name="Standard 36 2 2 2 2" xfId="41192" xr:uid="{1658024A-5DA4-465B-BD17-AEC1F6322929}"/>
    <cellStyle name="Standard 36 2 2 3" xfId="42050" xr:uid="{374A0BA1-C0BA-45DA-99C6-4D16E10CDDAF}"/>
    <cellStyle name="Standard 36 2 2 4" xfId="40288" xr:uid="{95ED94F2-1ECC-443E-88F1-48AD5250AB7C}"/>
    <cellStyle name="Standard 36 2 3" xfId="37613" xr:uid="{2434C286-E677-4C1B-B677-7D43B2418B6B}"/>
    <cellStyle name="Standard 36 2 3 2" xfId="40749" xr:uid="{C2127554-D6DB-4C12-8380-11E7BE873288}"/>
    <cellStyle name="Standard 36 2 4" xfId="41609" xr:uid="{179F4415-988B-4E23-806C-E3BEC7BEAE42}"/>
    <cellStyle name="Standard 36 2 5" xfId="39752" xr:uid="{0C9C5CCF-8583-49DB-A988-1609E9421CC4}"/>
    <cellStyle name="Standard 36 3" xfId="18178" xr:uid="{1453D388-01BB-4833-8F2E-733200E90C1E}"/>
    <cellStyle name="Standard 36 3 2" xfId="37615" xr:uid="{AF32E690-7EC3-405A-AB12-299F0C26D8C7}"/>
    <cellStyle name="Standard 36 3 2 2" xfId="41191" xr:uid="{07B00583-8534-4BD1-B0F4-D9423EF86181}"/>
    <cellStyle name="Standard 36 3 3" xfId="42049" xr:uid="{B8339DF2-7DF9-4F5F-B3BB-47206600D54C}"/>
    <cellStyle name="Standard 36 3 4" xfId="40287" xr:uid="{33318268-1E3E-45C1-9686-B0CE9882204A}"/>
    <cellStyle name="Standard 36 4" xfId="18179" xr:uid="{A4406937-C1B5-4C6B-A066-890E03F41FFA}"/>
    <cellStyle name="Standard 36 4 2" xfId="37616" xr:uid="{9DA67399-5293-4C97-B967-D587C448601C}"/>
    <cellStyle name="Standard 36 4 3" xfId="40748" xr:uid="{B10EF960-EDD0-4864-938B-92FEEDD4CF54}"/>
    <cellStyle name="Standard 36 5" xfId="41608" xr:uid="{0CA5F785-C8B5-4218-87E2-5F9FFD17E069}"/>
    <cellStyle name="Standard 37" xfId="39753" xr:uid="{84502ED4-2D8E-4673-B0B0-DCB8B968CE82}"/>
    <cellStyle name="Standard 37 2" xfId="18180" xr:uid="{2B28220E-942F-4DBB-9D27-1CDBEBBCDCF9}"/>
    <cellStyle name="Standard 37 2 2" xfId="18181" xr:uid="{9F160F72-90E2-4360-9CF7-84CC5D500C8B}"/>
    <cellStyle name="Standard 37 2 2 2" xfId="37618" xr:uid="{D5EB0DCF-7920-4D55-8F1F-C8400B3D4495}"/>
    <cellStyle name="Standard 37 2 2 2 2" xfId="41194" xr:uid="{484EF652-3277-406C-85CC-52BA85AE5F64}"/>
    <cellStyle name="Standard 37 2 2 3" xfId="42052" xr:uid="{430A3384-88C4-4876-9CA1-B79673651C3B}"/>
    <cellStyle name="Standard 37 2 2 4" xfId="40290" xr:uid="{879C99A0-3810-4529-A8AF-B0D6482FA9D0}"/>
    <cellStyle name="Standard 37 2 3" xfId="37617" xr:uid="{E77739D9-039B-47CC-B4A0-E01578985823}"/>
    <cellStyle name="Standard 37 2 3 2" xfId="40751" xr:uid="{7A6C8331-DE49-473B-8712-7A19FCB27227}"/>
    <cellStyle name="Standard 37 2 4" xfId="41611" xr:uid="{D58A217E-A7E2-4B00-8481-899EAC2DC254}"/>
    <cellStyle name="Standard 37 2 5" xfId="39754" xr:uid="{15F4033A-62AF-4DCB-A319-73C0A90E93B0}"/>
    <cellStyle name="Standard 37 3" xfId="18182" xr:uid="{AA49C46E-3102-4148-93D8-AF313BC5063A}"/>
    <cellStyle name="Standard 37 3 2" xfId="37619" xr:uid="{01E9D270-EB4D-4863-B63C-9ECBB35F85EE}"/>
    <cellStyle name="Standard 37 3 2 2" xfId="41193" xr:uid="{192FE5D5-823B-4CDF-9F94-3F8932AF5EEE}"/>
    <cellStyle name="Standard 37 3 3" xfId="42051" xr:uid="{89BA5A3B-6EAF-4F43-8B99-02E64137B47D}"/>
    <cellStyle name="Standard 37 3 4" xfId="40289" xr:uid="{B33111DF-B50D-4B34-875D-7E754F2E6513}"/>
    <cellStyle name="Standard 37 4" xfId="18183" xr:uid="{5E08AF57-B405-48BF-8137-9DF6982DEBF6}"/>
    <cellStyle name="Standard 37 4 2" xfId="37620" xr:uid="{CA9201C2-6C37-4BF4-94CB-CEF93D9A0756}"/>
    <cellStyle name="Standard 37 4 3" xfId="40750" xr:uid="{4E7A29F1-4540-486F-A6AF-37B34DBE1F9B}"/>
    <cellStyle name="Standard 37 5" xfId="41610" xr:uid="{1E71B4AD-DD0F-4E9B-AD32-000C3EA0F728}"/>
    <cellStyle name="Standard 38" xfId="39755" xr:uid="{0AFD3585-6C88-4C32-973A-8DC686EF3C64}"/>
    <cellStyle name="Standard 38 2" xfId="18184" xr:uid="{5088FA6A-47CF-48E0-95D6-0E77DD2582F0}"/>
    <cellStyle name="Standard 38 2 2" xfId="37621" xr:uid="{FAFAADD9-80B1-4578-9B96-69590D35FE89}"/>
    <cellStyle name="Standard 38 2 2 2" xfId="41196" xr:uid="{AD4BE38D-DBD0-4ACB-9530-34A7F25DD71E}"/>
    <cellStyle name="Standard 38 2 2 3" xfId="42054" xr:uid="{C1E77CCB-39F7-46EB-84BC-86D18B9FD3DB}"/>
    <cellStyle name="Standard 38 2 2 4" xfId="40292" xr:uid="{8702E351-E301-48B5-A069-09E8FB3F4230}"/>
    <cellStyle name="Standard 38 2 3" xfId="40753" xr:uid="{0194E96F-5F96-4903-AEFB-B796C21AF7C0}"/>
    <cellStyle name="Standard 38 2 4" xfId="41613" xr:uid="{EDB643C1-EA6E-4F61-A27A-DD8946E73C0C}"/>
    <cellStyle name="Standard 38 2 5" xfId="39756" xr:uid="{846ECD04-1DD9-4361-8E2E-6142C6E2D523}"/>
    <cellStyle name="Standard 38 3" xfId="18185" xr:uid="{97B4A47D-C87B-4512-AF16-E33192390415}"/>
    <cellStyle name="Standard 38 3 2" xfId="18186" xr:uid="{0AACF906-A0FC-461E-8AE7-C7E856E7114C}"/>
    <cellStyle name="Standard 38 3 2 2" xfId="37623" xr:uid="{560ED89A-CB8B-498F-A211-4381FF131E5D}"/>
    <cellStyle name="Standard 38 3 2 3" xfId="41195" xr:uid="{8645DD4C-88CF-4396-869A-542424C2DABC}"/>
    <cellStyle name="Standard 38 3 3" xfId="37622" xr:uid="{AA74886B-0713-48E7-ABF4-68F6A5E83B0A}"/>
    <cellStyle name="Standard 38 3 3 2" xfId="42053" xr:uid="{D03E6F6A-BAB7-470F-AE20-F72F7F7B12AC}"/>
    <cellStyle name="Standard 38 3 4" xfId="40291" xr:uid="{4C61908B-8C11-47FF-8CB9-336C6802B5FA}"/>
    <cellStyle name="Standard 38 4" xfId="18187" xr:uid="{B5C8B60B-EEBA-46F1-9F21-C721DDDA13CA}"/>
    <cellStyle name="Standard 38 4 2" xfId="37624" xr:uid="{D3B9D51F-DBA7-4E29-9BA0-C92E8DD2907E}"/>
    <cellStyle name="Standard 38 4 3" xfId="40752" xr:uid="{879B7E86-E8FF-4B42-ADDA-2ED048EF6ED5}"/>
    <cellStyle name="Standard 38 5" xfId="41612" xr:uid="{4E25C26F-81F6-4944-8FCF-3A5C42570961}"/>
    <cellStyle name="Standard 39" xfId="39757" xr:uid="{39E71E3B-BDB9-42E5-BC60-F3E233AE43FB}"/>
    <cellStyle name="Standard 39 2" xfId="18188" xr:uid="{2DF5466C-F1F0-443C-A590-7CFF5DEDF78F}"/>
    <cellStyle name="Standard 39 2 2" xfId="18189" xr:uid="{0E4D19F6-756A-4A93-B612-0ED8C80BE5A4}"/>
    <cellStyle name="Standard 39 2 2 2" xfId="37626" xr:uid="{A5C8F5FF-EACA-45EA-AE6F-029CBC0BFE7D}"/>
    <cellStyle name="Standard 39 2 2 2 2" xfId="41198" xr:uid="{A59BF110-DDE9-4DD5-B0D2-C469D883930E}"/>
    <cellStyle name="Standard 39 2 2 3" xfId="42056" xr:uid="{7787C6BA-B53C-4F21-B07B-15A165664781}"/>
    <cellStyle name="Standard 39 2 2 4" xfId="40294" xr:uid="{AE7AB93E-99BB-4A34-A8A4-077976A91D75}"/>
    <cellStyle name="Standard 39 2 3" xfId="37625" xr:uid="{9DD114DB-7349-4D8D-B1D7-0377BC45C9F9}"/>
    <cellStyle name="Standard 39 2 3 2" xfId="40755" xr:uid="{37046E04-4007-4382-B1FE-F8D96F0BB2FB}"/>
    <cellStyle name="Standard 39 2 4" xfId="41615" xr:uid="{31B88393-FA58-42BD-B475-A6838CE841A8}"/>
    <cellStyle name="Standard 39 2 5" xfId="39758" xr:uid="{3A980260-A855-4145-9302-3A9BF7C2B06D}"/>
    <cellStyle name="Standard 39 3" xfId="18190" xr:uid="{C08063EB-0D1D-4B1A-AB5F-554362495481}"/>
    <cellStyle name="Standard 39 3 2" xfId="37627" xr:uid="{F44D9BBF-2514-4ACE-BF82-8E22FBB6F240}"/>
    <cellStyle name="Standard 39 3 2 2" xfId="41197" xr:uid="{E28324C4-8C55-4DBC-9246-F3BA3139289A}"/>
    <cellStyle name="Standard 39 3 3" xfId="42055" xr:uid="{2002FCD9-0223-42DC-98CF-E386844A6FFD}"/>
    <cellStyle name="Standard 39 3 4" xfId="40293" xr:uid="{3D3CE08E-A487-48E8-9256-D930D5CA46FD}"/>
    <cellStyle name="Standard 39 4" xfId="18191" xr:uid="{D5623916-3191-4A0B-AF9C-F4ED165250F5}"/>
    <cellStyle name="Standard 39 4 2" xfId="37628" xr:uid="{A0929730-C98B-42EF-9410-493DED49BFA3}"/>
    <cellStyle name="Standard 39 4 3" xfId="40754" xr:uid="{BF2C6EA8-E6F9-4317-AFF9-6F1D9DEE22E4}"/>
    <cellStyle name="Standard 39 5" xfId="41614" xr:uid="{AF08F955-7BA2-47A5-BA3B-4992AB73227A}"/>
    <cellStyle name="Standard 4" xfId="95" xr:uid="{7923F321-5A3F-4FFC-8966-DF8D61DD3F09}"/>
    <cellStyle name="Standard 4 10" xfId="18192" xr:uid="{2738F807-8805-487D-B02A-6F39DD5BEEAF}"/>
    <cellStyle name="Standard 4 10 2" xfId="18193" xr:uid="{6BE44942-35F8-4D8B-BF0C-4BF3A096C972}"/>
    <cellStyle name="Standard 4 10 2 2" xfId="37630" xr:uid="{3896CB8C-AA54-482A-A6F8-83BA3B6F1432}"/>
    <cellStyle name="Standard 4 10 3" xfId="37629" xr:uid="{97E82065-6381-470C-ADA7-E79C215D4F89}"/>
    <cellStyle name="Standard 4 11" xfId="18194" xr:uid="{E07E7415-0EDD-4F07-9DE6-5FAEBBA853B5}"/>
    <cellStyle name="Standard 4 11 2" xfId="18195" xr:uid="{CE98BA2D-7276-45A0-8F68-BE39723DF992}"/>
    <cellStyle name="Standard 4 11 2 2" xfId="37632" xr:uid="{4E69868E-9AD8-4FE4-BED4-9A57568C999B}"/>
    <cellStyle name="Standard 4 11 3" xfId="37631" xr:uid="{E2B54333-19E2-42CB-98B9-FB4F29101A38}"/>
    <cellStyle name="Standard 4 12" xfId="18196" xr:uid="{EB840FF2-B95E-4DEA-A0CE-95C78AE7786A}"/>
    <cellStyle name="Standard 4 12 2" xfId="18197" xr:uid="{5C671152-7921-4145-B274-6EC8988475A8}"/>
    <cellStyle name="Standard 4 12 2 2" xfId="37634" xr:uid="{696F9E2B-568E-477B-A1B5-EDF969C23885}"/>
    <cellStyle name="Standard 4 12 3" xfId="37633" xr:uid="{1D063B15-6A5B-4E6B-A970-750E15DEA07A}"/>
    <cellStyle name="Standard 4 13" xfId="18198" xr:uid="{FECDB5D8-BA0E-4EDB-B440-11D4F7447E37}"/>
    <cellStyle name="Standard 4 13 2" xfId="18199" xr:uid="{B7E704A6-86C9-4522-895C-31708B8B6E2F}"/>
    <cellStyle name="Standard 4 13 2 2" xfId="37636" xr:uid="{855142F4-E81D-4094-8516-839453FEF3BE}"/>
    <cellStyle name="Standard 4 13 3" xfId="37635" xr:uid="{1D9F6AC2-6CEA-4C69-BF9F-2CD585273F00}"/>
    <cellStyle name="Standard 4 14" xfId="18200" xr:uid="{81D185AD-A3D4-487D-85FB-CE4689A0DAA6}"/>
    <cellStyle name="Standard 4 14 2" xfId="18201" xr:uid="{FB0E5301-C6D8-4DF3-AF81-692223A0D497}"/>
    <cellStyle name="Standard 4 14 2 2" xfId="37638" xr:uid="{3DF5E9F7-A7F0-4994-901E-F2E542F32394}"/>
    <cellStyle name="Standard 4 14 3" xfId="37637" xr:uid="{B1CA1F03-22AA-4CAF-AFA3-D7E313188D01}"/>
    <cellStyle name="Standard 4 15" xfId="18202" xr:uid="{B77564AA-FD0A-48BA-A73C-341319BC979D}"/>
    <cellStyle name="Standard 4 15 2" xfId="18203" xr:uid="{D8A07FC9-494A-4DA4-A4E9-D4AD89C2EAFD}"/>
    <cellStyle name="Standard 4 15 2 2" xfId="37640" xr:uid="{871F2F72-C3A3-491F-BC58-857584EA7C31}"/>
    <cellStyle name="Standard 4 15 3" xfId="37639" xr:uid="{DEF1A4EA-C05D-4BA7-A0A3-6BF54FD53D39}"/>
    <cellStyle name="Standard 4 16" xfId="18204" xr:uid="{B182442F-3665-47D3-8F5A-CB24426CB127}"/>
    <cellStyle name="Standard 4 16 2" xfId="18205" xr:uid="{32D1C247-759B-4AEA-899F-54FEA2826A25}"/>
    <cellStyle name="Standard 4 16 2 2" xfId="37642" xr:uid="{C92AD03D-95CD-4D65-A468-2EEC1FB0A07E}"/>
    <cellStyle name="Standard 4 16 3" xfId="37641" xr:uid="{0B1C0764-9277-413D-AD5A-89F075036D01}"/>
    <cellStyle name="Standard 4 17" xfId="18206" xr:uid="{E64E179C-5F46-4645-9037-81E7533A676A}"/>
    <cellStyle name="Standard 4 17 2" xfId="18207" xr:uid="{49B23CCE-DC64-4382-A8A9-6F9FEEA3AD81}"/>
    <cellStyle name="Standard 4 17 2 2" xfId="37644" xr:uid="{46C4746C-8447-4983-A8EF-C45788465D30}"/>
    <cellStyle name="Standard 4 17 3" xfId="37643" xr:uid="{20CCD842-E8EB-4BF1-AD7B-13CC5A2582AE}"/>
    <cellStyle name="Standard 4 18" xfId="18208" xr:uid="{5D115B14-8BE4-485B-81E5-24B0D89545D5}"/>
    <cellStyle name="Standard 4 18 2" xfId="18209" xr:uid="{E00E7BEA-DF42-4C2C-A394-A9CCC61D98AE}"/>
    <cellStyle name="Standard 4 18 2 2" xfId="37646" xr:uid="{411B1221-A905-4AA3-BA89-64940A42FD26}"/>
    <cellStyle name="Standard 4 18 3" xfId="37645" xr:uid="{FA70C827-D357-484B-930D-58F088BE23C5}"/>
    <cellStyle name="Standard 4 19" xfId="18210" xr:uid="{9B8F8E1B-7A6D-4060-90A6-AB34326E44E2}"/>
    <cellStyle name="Standard 4 19 2" xfId="18211" xr:uid="{006564CA-B7D1-465B-93AC-00ED38E929B0}"/>
    <cellStyle name="Standard 4 19 2 2" xfId="37648" xr:uid="{198FB5A8-C999-4F13-827E-31720FA7071D}"/>
    <cellStyle name="Standard 4 19 3" xfId="37647" xr:uid="{D3E0BEE5-BE1B-443A-B9B5-15076F830994}"/>
    <cellStyle name="Standard 4 2" xfId="18212" xr:uid="{8F2E5D9B-90AD-45DB-97A3-18EDC9EC16F6}"/>
    <cellStyle name="Standard 4 2 2" xfId="18213" xr:uid="{7E3B5468-51A7-4AF9-8FE6-EA2FC046D4EB}"/>
    <cellStyle name="Standard 4 2 2 2" xfId="18214" xr:uid="{2F7A156C-AA59-4756-9130-E8513EF0E54F}"/>
    <cellStyle name="Standard 4 2 2 2 2" xfId="37651" xr:uid="{DE51E1FE-5B79-4568-B435-01FB8BEEAAC9}"/>
    <cellStyle name="Standard 4 2 2 2 3" xfId="41199" xr:uid="{87F09BBD-0171-473C-B889-86C43222774A}"/>
    <cellStyle name="Standard 4 2 2 3" xfId="37650" xr:uid="{50328B77-52CD-428A-8112-FF880DFE261F}"/>
    <cellStyle name="Standard 4 2 2 3 2" xfId="42057" xr:uid="{0E4A0CB6-C69B-4EFC-A16F-866A950CF6AD}"/>
    <cellStyle name="Standard 4 2 2 4" xfId="40295" xr:uid="{39BA7B65-E957-464C-9EE9-A3B4F3E61C19}"/>
    <cellStyle name="Standard 4 2 3" xfId="18215" xr:uid="{CDFB25E9-2811-4E07-9C64-9F97D2680B6E}"/>
    <cellStyle name="Standard 4 2 3 2" xfId="18216" xr:uid="{0068B48D-74D0-4C17-AA84-F8B9E4B644B8}"/>
    <cellStyle name="Standard 4 2 3 2 2" xfId="37653" xr:uid="{0F0E5880-5241-4A3D-AD3F-A778F8AA262A}"/>
    <cellStyle name="Standard 4 2 3 3" xfId="37652" xr:uid="{DDFD9B5C-045F-4D81-8AF3-845C92F15AAC}"/>
    <cellStyle name="Standard 4 2 3 4" xfId="40756" xr:uid="{AC3C3394-F75E-43A1-99E6-ABB78B306150}"/>
    <cellStyle name="Standard 4 2 4" xfId="37649" xr:uid="{84CDFAF8-FDC7-4D2C-9887-FE89BFEFDE44}"/>
    <cellStyle name="Standard 4 2 4 2" xfId="41616" xr:uid="{F28B6979-BE20-4F04-B147-416E33C12091}"/>
    <cellStyle name="Standard 4 2 5" xfId="39759" xr:uid="{49B79D79-5F2F-4E7F-85E8-C12A81D13BF0}"/>
    <cellStyle name="Standard 4 20" xfId="18217" xr:uid="{2C2C141E-575A-4219-822A-DAE64685CEFA}"/>
    <cellStyle name="Standard 4 20 2" xfId="18218" xr:uid="{C2067187-E9B4-4E14-A141-BAD30463E941}"/>
    <cellStyle name="Standard 4 20 2 2" xfId="37655" xr:uid="{9BB8DE3D-59B9-407E-BA48-E43F47FE7E52}"/>
    <cellStyle name="Standard 4 20 3" xfId="37654" xr:uid="{7ED67BEB-D10A-4407-8E97-A707CDF3C7F0}"/>
    <cellStyle name="Standard 4 21" xfId="18219" xr:uid="{B5B96DC9-6D25-4A94-828D-B3BBFD56F715}"/>
    <cellStyle name="Standard 4 21 2" xfId="18220" xr:uid="{2F91631F-CB7C-4482-BECA-D850C3C4C6CA}"/>
    <cellStyle name="Standard 4 21 2 2" xfId="37657" xr:uid="{1E09A7C5-A245-4D54-AA72-6247B62BC88C}"/>
    <cellStyle name="Standard 4 21 3" xfId="37656" xr:uid="{2954EF23-5E45-4A39-B0F7-9E9D62D9C2EC}"/>
    <cellStyle name="Standard 4 22" xfId="18221" xr:uid="{BC45879C-8C57-49BF-9B13-8E7C56B2382B}"/>
    <cellStyle name="Standard 4 22 2" xfId="37658" xr:uid="{010F7602-859C-4695-909B-7E795F75A89D}"/>
    <cellStyle name="Standard 4 23" xfId="42154" xr:uid="{B410F16C-1E86-476E-97B7-1629D2F9D39F}"/>
    <cellStyle name="Standard 4 24" xfId="19837" xr:uid="{207703F7-6CE1-4038-BDBE-DEE88B2CC4E9}"/>
    <cellStyle name="Standard 4 3" xfId="18222" xr:uid="{8386B812-FE99-4947-ABB8-D8D55031A971}"/>
    <cellStyle name="Standard 4 3 2" xfId="18223" xr:uid="{080A3581-28DE-42BD-A18D-AF8CDC201F65}"/>
    <cellStyle name="Standard 4 3 2 2" xfId="18224" xr:uid="{E9877625-42AD-4103-88EF-1C3520410176}"/>
    <cellStyle name="Standard 4 3 2 2 2" xfId="37661" xr:uid="{47B77392-9762-49DD-B84A-C102D033E8B3}"/>
    <cellStyle name="Standard 4 3 2 2 3" xfId="41200" xr:uid="{104C5355-6622-43D6-821E-D19C3F7CDA74}"/>
    <cellStyle name="Standard 4 3 2 3" xfId="37660" xr:uid="{3EEEDB77-F9B0-4DE5-A87E-5EA7F4FB4DB3}"/>
    <cellStyle name="Standard 4 3 2 3 2" xfId="42058" xr:uid="{E6B74377-D455-48C1-8DC1-92B13B596E7A}"/>
    <cellStyle name="Standard 4 3 2 4" xfId="40296" xr:uid="{E1846C8F-0D06-4A3A-A9E4-ACF17C5FC8CF}"/>
    <cellStyle name="Standard 4 3 3" xfId="18225" xr:uid="{BFC7DF83-094A-4958-B23A-FA10DBF77BF0}"/>
    <cellStyle name="Standard 4 3 3 2" xfId="18226" xr:uid="{A6D64A97-06D1-46B3-9A21-122B29048E84}"/>
    <cellStyle name="Standard 4 3 3 2 2" xfId="37663" xr:uid="{F4CC3D3B-C32F-420D-8714-519150091F2B}"/>
    <cellStyle name="Standard 4 3 3 3" xfId="37662" xr:uid="{B58AA997-A071-408F-BD9D-C1F0068A2847}"/>
    <cellStyle name="Standard 4 3 3 4" xfId="40757" xr:uid="{F4712C66-56FD-4FC0-B53C-9C7D3E189A3B}"/>
    <cellStyle name="Standard 4 3 4" xfId="37659" xr:uid="{0A7F7E10-6911-4D29-8C90-0A448E89EC19}"/>
    <cellStyle name="Standard 4 3 4 2" xfId="41617" xr:uid="{43B804A7-B2DE-4415-AFD4-07BEC004ECF7}"/>
    <cellStyle name="Standard 4 3 5" xfId="39760" xr:uid="{051D9304-EBE4-46C1-B5EE-BAF0D8FD5CC3}"/>
    <cellStyle name="Standard 4 4" xfId="18227" xr:uid="{9B7C97F7-3E0A-4F2A-8636-D6D10C68BD20}"/>
    <cellStyle name="Standard 4 4 2" xfId="37664" xr:uid="{BA8A74D2-0113-40EC-9F11-6A253019C1ED}"/>
    <cellStyle name="Standard 4 5" xfId="18228" xr:uid="{6F577445-3DEC-4EA2-AB61-07617D351326}"/>
    <cellStyle name="Standard 4 5 2" xfId="37665" xr:uid="{897A774E-7059-4F8F-83FC-3ECB5778CE82}"/>
    <cellStyle name="Standard 4 6" xfId="18229" xr:uid="{7B1855EF-1EC8-4BEB-9E3C-C20EFCFD8F3E}"/>
    <cellStyle name="Standard 4 6 2" xfId="37666" xr:uid="{87B765D1-4EE8-4A8F-9618-003283DDBB46}"/>
    <cellStyle name="Standard 4 7" xfId="18230" xr:uid="{AC312342-B0E8-4837-9A56-D588BEC8D418}"/>
    <cellStyle name="Standard 4 7 2" xfId="37667" xr:uid="{9B4BA363-0C52-4B11-B0F9-D4B9B33E8081}"/>
    <cellStyle name="Standard 4 8" xfId="18231" xr:uid="{DF0881BC-3BE2-46B3-B12C-7BD0E8AA9CEA}"/>
    <cellStyle name="Standard 4 8 2" xfId="18232" xr:uid="{FAE98C77-A1D3-441F-95E8-321DC6A92510}"/>
    <cellStyle name="Standard 4 8 2 2" xfId="37669" xr:uid="{3775D49F-8B65-4EF7-AB88-251D4809CEDE}"/>
    <cellStyle name="Standard 4 8 3" xfId="37668" xr:uid="{D9D92152-5EE8-48D6-84EE-5212EBCD5E62}"/>
    <cellStyle name="Standard 4 9" xfId="18233" xr:uid="{13419CC4-B8DE-4332-B0E9-EC9DC7AEFD65}"/>
    <cellStyle name="Standard 4 9 2" xfId="18234" xr:uid="{7BCE28FF-5F28-4972-99F2-059CD25382CE}"/>
    <cellStyle name="Standard 4 9 2 2" xfId="37671" xr:uid="{7DD5658F-856C-448D-B3A0-5C1F6DE1CE2E}"/>
    <cellStyle name="Standard 4 9 3" xfId="37670" xr:uid="{A87D05E5-8EB9-4B50-A92A-5A21C24D5BAD}"/>
    <cellStyle name="Standard 40" xfId="39761" xr:uid="{E6D40B10-E1C0-4401-BA00-1105418E4B4D}"/>
    <cellStyle name="Standard 40 2" xfId="18235" xr:uid="{4DC51125-BADE-4683-86AD-4C3C898DFD82}"/>
    <cellStyle name="Standard 40 2 2" xfId="18236" xr:uid="{727134E0-C7A1-4932-A6E3-DE121F40D8B2}"/>
    <cellStyle name="Standard 40 2 2 2" xfId="37673" xr:uid="{1F594765-9503-46DB-A1A3-DB9A6073A306}"/>
    <cellStyle name="Standard 40 2 2 2 2" xfId="41202" xr:uid="{507BA96C-6AA0-4F48-A6E5-00A87595B371}"/>
    <cellStyle name="Standard 40 2 2 3" xfId="42060" xr:uid="{CC8FFF3E-B749-41E5-9E8C-CD84C697EBF0}"/>
    <cellStyle name="Standard 40 2 2 4" xfId="40298" xr:uid="{B6AB1144-48B5-41D5-8AAE-AAF8A633CA10}"/>
    <cellStyle name="Standard 40 2 3" xfId="37672" xr:uid="{3CC1E5F9-4301-4EB0-A4BC-48297295FF4C}"/>
    <cellStyle name="Standard 40 2 3 2" xfId="40759" xr:uid="{4CF6DB8F-BA05-4685-8340-A7B0DA37BB69}"/>
    <cellStyle name="Standard 40 2 4" xfId="41619" xr:uid="{876AFD11-1E94-49E1-97A8-CCEEC8EA8A1A}"/>
    <cellStyle name="Standard 40 2 5" xfId="39762" xr:uid="{955C2D60-7D17-46D9-96C1-48A914E706A7}"/>
    <cellStyle name="Standard 40 3" xfId="18237" xr:uid="{9900450F-A234-4FAB-9B0F-240F33F9A9A2}"/>
    <cellStyle name="Standard 40 3 2" xfId="37674" xr:uid="{793F1E4C-F4AC-4B8A-B93E-A4AD310FE92D}"/>
    <cellStyle name="Standard 40 3 2 2" xfId="41201" xr:uid="{AEF1D029-3AA3-4CDC-AC31-D3FD3F58D63E}"/>
    <cellStyle name="Standard 40 3 3" xfId="42059" xr:uid="{15E09939-2571-4ED1-9D9C-7B3196332D6D}"/>
    <cellStyle name="Standard 40 3 4" xfId="40297" xr:uid="{73911FAA-E06A-441B-BC6F-DC161936816B}"/>
    <cellStyle name="Standard 40 4" xfId="18238" xr:uid="{406F0E0B-289B-49AD-8F03-4E7CF9754BE6}"/>
    <cellStyle name="Standard 40 4 2" xfId="37675" xr:uid="{CDFDE0EF-8408-4F8E-BD33-122C1D5588E9}"/>
    <cellStyle name="Standard 40 4 3" xfId="40758" xr:uid="{FA953A51-AB9C-4721-8EA6-B8444DBAC044}"/>
    <cellStyle name="Standard 40 5" xfId="41618" xr:uid="{C14DB2E8-9205-4E8B-8E7A-7E9DA764A84C}"/>
    <cellStyle name="Standard 41" xfId="39763" xr:uid="{1E884C4F-25D4-4FC7-922C-815261F64ECB}"/>
    <cellStyle name="Standard 41 2" xfId="18239" xr:uid="{A17233AF-7099-4207-9FBB-757537C553E9}"/>
    <cellStyle name="Standard 41 2 2" xfId="18240" xr:uid="{D4D0F221-E6C5-4CB2-9A23-8C7169EB0623}"/>
    <cellStyle name="Standard 41 2 2 2" xfId="37677" xr:uid="{176F68D3-1081-45BD-93FD-63F4765759B8}"/>
    <cellStyle name="Standard 41 2 2 2 2" xfId="41204" xr:uid="{580A5B86-A34E-4759-8BE0-2C3A0CF8B75B}"/>
    <cellStyle name="Standard 41 2 2 3" xfId="42062" xr:uid="{0E608142-73BE-4C27-9DA9-DD94B94A3EE8}"/>
    <cellStyle name="Standard 41 2 2 4" xfId="40300" xr:uid="{DB816C2D-3877-47E0-8BAC-3E5682E9B92D}"/>
    <cellStyle name="Standard 41 2 3" xfId="37676" xr:uid="{72733215-2597-4F71-B405-853A84E95DA1}"/>
    <cellStyle name="Standard 41 2 3 2" xfId="40761" xr:uid="{873CB646-95F5-496A-9C3C-9F98C26C886F}"/>
    <cellStyle name="Standard 41 2 4" xfId="41621" xr:uid="{FD99ED6F-6E55-462B-B874-76E6E4BF17CD}"/>
    <cellStyle name="Standard 41 2 5" xfId="39764" xr:uid="{7FFF1B51-E5D1-43A4-8B2D-C0BD53B03A74}"/>
    <cellStyle name="Standard 41 3" xfId="18241" xr:uid="{210F6A30-87BE-4569-9939-62BC206F8CE5}"/>
    <cellStyle name="Standard 41 3 2" xfId="37678" xr:uid="{3BC6E59B-906F-4358-A937-1D8C46DDCFA5}"/>
    <cellStyle name="Standard 41 3 2 2" xfId="41203" xr:uid="{A220C554-45C7-4F44-AEED-AC1C1C264299}"/>
    <cellStyle name="Standard 41 3 3" xfId="42061" xr:uid="{1DD65F37-4FAB-4FE8-8D31-8932359D395B}"/>
    <cellStyle name="Standard 41 3 4" xfId="40299" xr:uid="{C8001E3C-D5BA-4ABE-BF06-7FB153AB94C7}"/>
    <cellStyle name="Standard 41 4" xfId="18242" xr:uid="{6BCF2BC7-7B88-4478-B874-A5FB610B768D}"/>
    <cellStyle name="Standard 41 4 2" xfId="37679" xr:uid="{225F27B7-D5C8-477F-A67B-5C17893B2868}"/>
    <cellStyle name="Standard 41 4 3" xfId="40760" xr:uid="{6FE2274F-BB1C-4402-B6BD-3D6012D8DA1B}"/>
    <cellStyle name="Standard 41 5" xfId="41620" xr:uid="{F414D910-1C5F-4BAA-91DB-2C449D541B41}"/>
    <cellStyle name="Standard 42" xfId="39765" xr:uid="{1C6498CF-96A9-445A-BC76-366A02145729}"/>
    <cellStyle name="Standard 42 2" xfId="18243" xr:uid="{AE80C555-1C8F-4AA3-848E-63F15542D46E}"/>
    <cellStyle name="Standard 42 2 2" xfId="18244" xr:uid="{ACE191F2-D9BB-416B-A9DD-A3B60C8E3820}"/>
    <cellStyle name="Standard 42 2 2 2" xfId="37681" xr:uid="{D313D32E-609D-4265-83CE-7AF6AE717435}"/>
    <cellStyle name="Standard 42 2 2 2 2" xfId="41206" xr:uid="{0926CFA7-9CD3-48C2-BF6B-20CB7AEA3531}"/>
    <cellStyle name="Standard 42 2 2 3" xfId="42064" xr:uid="{3BD11368-EC2B-4C02-BFAB-09223A203F14}"/>
    <cellStyle name="Standard 42 2 2 4" xfId="40302" xr:uid="{8DADE221-70DC-4C50-9DC0-0C8C3C030A57}"/>
    <cellStyle name="Standard 42 2 3" xfId="37680" xr:uid="{C9C0B372-C124-4B9F-B870-6F18D88D2ECB}"/>
    <cellStyle name="Standard 42 2 3 2" xfId="40763" xr:uid="{620BC190-E39C-4D39-97E9-AEEF722BA2C7}"/>
    <cellStyle name="Standard 42 2 4" xfId="41623" xr:uid="{9BA8FF9F-9C0D-4D66-AE08-02DD8E4AB1D2}"/>
    <cellStyle name="Standard 42 2 5" xfId="39766" xr:uid="{D8E6BC19-D951-44B5-A4E6-62715039F334}"/>
    <cellStyle name="Standard 42 3" xfId="18245" xr:uid="{0E20AF02-2881-4B75-9B56-3819FE56F989}"/>
    <cellStyle name="Standard 42 3 2" xfId="37682" xr:uid="{18121BB8-56C7-44FF-9B18-284A2CC1B3DF}"/>
    <cellStyle name="Standard 42 3 2 2" xfId="41205" xr:uid="{9036EB86-0916-49C9-9A50-FAB9F7378022}"/>
    <cellStyle name="Standard 42 3 3" xfId="42063" xr:uid="{DBBAAD94-4A78-48FA-A998-38F0656C9EC1}"/>
    <cellStyle name="Standard 42 3 4" xfId="40301" xr:uid="{FF02F1EE-4AFF-4B8D-8F35-53FCCFCD7A16}"/>
    <cellStyle name="Standard 42 4" xfId="18246" xr:uid="{823DA8AF-A6F9-43BA-AA17-95D65CF1D3E9}"/>
    <cellStyle name="Standard 42 4 2" xfId="37683" xr:uid="{E8CEE069-E965-4CEA-9A85-28DE322231B6}"/>
    <cellStyle name="Standard 42 4 3" xfId="40762" xr:uid="{25ABE7FD-30F1-4F22-AF09-00F519BE2EBB}"/>
    <cellStyle name="Standard 42 5" xfId="41622" xr:uid="{25D7866F-31E0-4BBD-BEE0-7907A43988D3}"/>
    <cellStyle name="Standard 43" xfId="39767" xr:uid="{C23E22E3-1A14-45E7-B77D-A1702686C67B}"/>
    <cellStyle name="Standard 43 2" xfId="18247" xr:uid="{0E95A2F6-A823-4333-9793-36A9E235E676}"/>
    <cellStyle name="Standard 43 2 2" xfId="37684" xr:uid="{07167CF4-505E-4CAF-A218-BFA433A5CEB4}"/>
    <cellStyle name="Standard 43 3" xfId="18248" xr:uid="{00CD7FAC-6620-4709-924E-25E9ADE3F4E0}"/>
    <cellStyle name="Standard 43 3 2" xfId="37685" xr:uid="{E4B9C505-B5A9-44CD-A304-74655D135E02}"/>
    <cellStyle name="Standard 44" xfId="39768" xr:uid="{E8CB2EE8-6C6D-4235-9017-A0159F5968C5}"/>
    <cellStyle name="Standard 44 2" xfId="18249" xr:uid="{849F852E-D906-4F8F-995C-9EAD0A9B94FC}"/>
    <cellStyle name="Standard 44 2 2" xfId="37686" xr:uid="{7FB79C1A-DEB0-4E02-9160-FFC0D72B6615}"/>
    <cellStyle name="Standard 44 2 2 2" xfId="41208" xr:uid="{6B8BE909-E64D-4A3C-8285-59E0EC1983D9}"/>
    <cellStyle name="Standard 44 2 2 3" xfId="42066" xr:uid="{5DC70337-6CA1-49B5-B062-C9A6ECA996E2}"/>
    <cellStyle name="Standard 44 2 2 4" xfId="40304" xr:uid="{6D5B0966-BC9A-4E17-8C97-35738786AA13}"/>
    <cellStyle name="Standard 44 2 3" xfId="40765" xr:uid="{BCC5298D-7820-4BC4-9826-8C2BC84A6793}"/>
    <cellStyle name="Standard 44 2 4" xfId="41625" xr:uid="{8A01F511-C956-4F09-880F-1AB2A8D6A88D}"/>
    <cellStyle name="Standard 44 2 5" xfId="39769" xr:uid="{6D50C033-841A-48B5-8774-46F1646D7893}"/>
    <cellStyle name="Standard 44 3" xfId="18250" xr:uid="{E8680AA4-711B-40FC-94B9-5C2D61ED049B}"/>
    <cellStyle name="Standard 44 3 2" xfId="37687" xr:uid="{CEA62742-39E3-4DFB-B9C7-606D813BE567}"/>
    <cellStyle name="Standard 44 3 2 2" xfId="41207" xr:uid="{D21E9553-7C19-4935-90C4-DB8F56EE5AA5}"/>
    <cellStyle name="Standard 44 3 3" xfId="42065" xr:uid="{4C3F552B-13C2-41B6-B309-4F5B1CBC009B}"/>
    <cellStyle name="Standard 44 3 4" xfId="40303" xr:uid="{EE83AB0E-D102-4054-A3DE-0ABE21FDBC63}"/>
    <cellStyle name="Standard 44 4" xfId="40764" xr:uid="{3D8D6F8E-3AA1-4D1B-9CBC-40A4BB0FCA33}"/>
    <cellStyle name="Standard 44 5" xfId="41624" xr:uid="{2EAD2696-3655-4C26-9B95-0D6EC73F28F8}"/>
    <cellStyle name="Standard 45" xfId="39770" xr:uid="{760F548F-9DCC-4EBC-8D44-6316D4112716}"/>
    <cellStyle name="Standard 45 2" xfId="18251" xr:uid="{1074876E-E219-446C-9CBB-79E9643113C4}"/>
    <cellStyle name="Standard 45 2 2" xfId="37688" xr:uid="{EA54DEAE-73BB-44C1-8E2B-484DEA4E5AD8}"/>
    <cellStyle name="Standard 45 2 2 2" xfId="41210" xr:uid="{D0835BF1-D28B-4086-8B4E-B3D7AE88A369}"/>
    <cellStyle name="Standard 45 2 2 3" xfId="42068" xr:uid="{1F6BCDB8-3558-4B68-91CF-7F2DEC9BC50C}"/>
    <cellStyle name="Standard 45 2 2 4" xfId="40306" xr:uid="{545F333D-6CBA-4A62-AA0B-B697117E7CB8}"/>
    <cellStyle name="Standard 45 2 3" xfId="40767" xr:uid="{65DB54AD-E258-4426-A5E2-3435027262EB}"/>
    <cellStyle name="Standard 45 2 4" xfId="41627" xr:uid="{907F982B-A78E-4EEA-837A-DF87FB897AFB}"/>
    <cellStyle name="Standard 45 2 5" xfId="39771" xr:uid="{B7AE9A60-4032-4BFE-9F90-5433C26F25AB}"/>
    <cellStyle name="Standard 45 3" xfId="18252" xr:uid="{4D5DBE61-CA27-46B8-B3A6-9E2FA93AD31A}"/>
    <cellStyle name="Standard 45 3 2" xfId="37689" xr:uid="{C6EA98C3-33E2-4FB9-AEF2-A49B334E5108}"/>
    <cellStyle name="Standard 45 3 2 2" xfId="41209" xr:uid="{3CCBC225-00B6-43F9-866C-384253161E1B}"/>
    <cellStyle name="Standard 45 3 3" xfId="42067" xr:uid="{C4E6924D-AD25-422C-B465-22DFFC4D5046}"/>
    <cellStyle name="Standard 45 3 4" xfId="40305" xr:uid="{2E421306-7A8C-4273-B607-AAF40EDE70CF}"/>
    <cellStyle name="Standard 45 4" xfId="40766" xr:uid="{87DE1F7C-9D5E-4E56-992D-504ED07FAFE8}"/>
    <cellStyle name="Standard 45 5" xfId="41626" xr:uid="{E393293B-65F5-418A-B319-190EE9394163}"/>
    <cellStyle name="Standard 46" xfId="39772" xr:uid="{83A35077-14E0-42F6-AC81-2296AC1E94F9}"/>
    <cellStyle name="Standard 46 2" xfId="18253" xr:uid="{E62B28CA-D0AA-458C-A541-177932E3B5C5}"/>
    <cellStyle name="Standard 46 2 2" xfId="37690" xr:uid="{64328D92-9ECB-4672-AACE-FFA677CDE699}"/>
    <cellStyle name="Standard 46 2 2 2" xfId="41212" xr:uid="{5CCD01BE-44DB-43E3-A3CC-CF9152C870FD}"/>
    <cellStyle name="Standard 46 2 2 3" xfId="42070" xr:uid="{50944E5A-9C67-4A4E-9B28-756C8138FA4A}"/>
    <cellStyle name="Standard 46 2 2 4" xfId="40308" xr:uid="{8EC10FA3-09F3-4937-BBA4-4BD7B31E6547}"/>
    <cellStyle name="Standard 46 2 3" xfId="40769" xr:uid="{B65D34CE-373E-4BEC-9B16-84EB704F5B4E}"/>
    <cellStyle name="Standard 46 2 4" xfId="41629" xr:uid="{E86DC726-EB09-490C-8BFC-3485A8097CB4}"/>
    <cellStyle name="Standard 46 2 5" xfId="39773" xr:uid="{B1E4F783-F30D-4F83-885A-89BD2737453D}"/>
    <cellStyle name="Standard 46 3" xfId="18254" xr:uid="{57C17480-797D-478F-AD5F-3F4A3FC15C92}"/>
    <cellStyle name="Standard 46 3 2" xfId="37691" xr:uid="{5A4948E1-250E-4F2D-9DFC-4E8F219638F5}"/>
    <cellStyle name="Standard 46 3 2 2" xfId="41211" xr:uid="{7E9CDD87-AF77-4348-A3CC-C4AE538C24BC}"/>
    <cellStyle name="Standard 46 3 3" xfId="42069" xr:uid="{DAD4B56A-B264-4FBE-9CAC-4B037826D63E}"/>
    <cellStyle name="Standard 46 3 4" xfId="40307" xr:uid="{40300F70-E938-4771-98F5-3B349B9DC019}"/>
    <cellStyle name="Standard 46 4" xfId="40768" xr:uid="{D187D9EC-A0B4-46A4-B749-7C10565A5D58}"/>
    <cellStyle name="Standard 46 5" xfId="41628" xr:uid="{8450E63C-E10B-4580-9790-0B4A192B2070}"/>
    <cellStyle name="Standard 47" xfId="39774" xr:uid="{D48A4FA7-E894-4D65-899E-B897170AEDFD}"/>
    <cellStyle name="Standard 47 2" xfId="18255" xr:uid="{78E238D8-FDEF-4B73-BF1A-379A85ACFE82}"/>
    <cellStyle name="Standard 47 2 2" xfId="37692" xr:uid="{65C3E21D-58D9-4CAA-AE1B-8719AC9306B4}"/>
    <cellStyle name="Standard 47 2 2 2" xfId="41214" xr:uid="{9C42E65D-FDB1-42FF-9C8D-301D8F00DEC4}"/>
    <cellStyle name="Standard 47 2 2 3" xfId="42072" xr:uid="{3C33DA01-CC53-41EE-B7D1-64DB4D169DAC}"/>
    <cellStyle name="Standard 47 2 2 4" xfId="40310" xr:uid="{1ECA51F0-DB37-4641-A6D9-E19A5FEFA14A}"/>
    <cellStyle name="Standard 47 2 3" xfId="40771" xr:uid="{DF9C2E6B-63BC-47A5-9499-653D4326C773}"/>
    <cellStyle name="Standard 47 2 4" xfId="41631" xr:uid="{011522FC-4B5F-442F-8967-9B607DEF4C93}"/>
    <cellStyle name="Standard 47 2 5" xfId="39775" xr:uid="{A1332DEF-4B21-49D3-A181-3C1872516998}"/>
    <cellStyle name="Standard 47 3" xfId="18256" xr:uid="{8CF4A753-2318-4757-A564-20C40E6742CC}"/>
    <cellStyle name="Standard 47 3 2" xfId="37693" xr:uid="{A412EC4E-26AE-4D83-B2A1-B68F0139CC37}"/>
    <cellStyle name="Standard 47 3 2 2" xfId="41213" xr:uid="{8A794CD9-5837-43B5-AD58-42047B79158B}"/>
    <cellStyle name="Standard 47 3 3" xfId="42071" xr:uid="{A9E4BFA8-5855-48A1-A8D3-867D758A1321}"/>
    <cellStyle name="Standard 47 3 4" xfId="40309" xr:uid="{CC234E92-EA88-49EF-B8B7-6B971E42A8D0}"/>
    <cellStyle name="Standard 47 4" xfId="40770" xr:uid="{B9B75B38-5C85-40FF-BFD8-3C24F49278AA}"/>
    <cellStyle name="Standard 47 5" xfId="41630" xr:uid="{4AD84D65-E2B2-4C35-A1EB-2D94313D414F}"/>
    <cellStyle name="Standard 48" xfId="39776" xr:uid="{920D3729-4693-42C7-9971-7528EFC869E1}"/>
    <cellStyle name="Standard 48 2" xfId="18257" xr:uid="{F6915585-DB47-43B6-A848-FF90027FAED5}"/>
    <cellStyle name="Standard 48 2 2" xfId="37694" xr:uid="{5750F593-4E4F-4565-801B-124F898A03E6}"/>
    <cellStyle name="Standard 48 2 2 2" xfId="41216" xr:uid="{8EA866DD-066A-43F9-A64F-5D85524B7595}"/>
    <cellStyle name="Standard 48 2 2 3" xfId="42074" xr:uid="{AAB23BDD-ECFB-433B-BADA-2DDBA3D024BC}"/>
    <cellStyle name="Standard 48 2 2 4" xfId="40312" xr:uid="{BB09995C-5698-4DCB-849D-91CE01E64176}"/>
    <cellStyle name="Standard 48 2 3" xfId="40773" xr:uid="{7AB482D5-BD3A-42FE-A453-D5E0FE8D08AF}"/>
    <cellStyle name="Standard 48 2 4" xfId="41633" xr:uid="{A3C55D91-E757-48AE-9DC2-B8AE02ADA8D5}"/>
    <cellStyle name="Standard 48 2 5" xfId="39777" xr:uid="{02B76165-E95E-42FB-AD36-46DF865FB8BF}"/>
    <cellStyle name="Standard 48 3" xfId="18258" xr:uid="{305A065C-63C5-43AB-A3AD-DA84D33086E4}"/>
    <cellStyle name="Standard 48 3 2" xfId="37695" xr:uid="{D06A73F2-3718-488D-BB45-7B886F1A79A5}"/>
    <cellStyle name="Standard 48 3 2 2" xfId="41215" xr:uid="{341321FC-21B1-422E-A2E3-03CD7FDD031B}"/>
    <cellStyle name="Standard 48 3 3" xfId="42073" xr:uid="{5D7DB74D-117A-4427-8001-1FD80E8ED525}"/>
    <cellStyle name="Standard 48 3 4" xfId="40311" xr:uid="{AF29CAF5-8CA5-4B90-9C3B-2D483BF1580F}"/>
    <cellStyle name="Standard 48 4" xfId="40772" xr:uid="{4571E50B-835F-4693-B03D-0E0652B5A6D0}"/>
    <cellStyle name="Standard 48 5" xfId="41632" xr:uid="{337718B6-58A5-4615-ABD8-5C156C02628F}"/>
    <cellStyle name="Standard 49" xfId="39778" xr:uid="{22718840-9467-40F1-9044-6E5EF511D32E}"/>
    <cellStyle name="Standard 49 2" xfId="18259" xr:uid="{6A74A531-3CC0-466D-81E6-DA01034CE45E}"/>
    <cellStyle name="Standard 49 2 2" xfId="37696" xr:uid="{9F82E6BA-B9D4-4813-8E42-0B33959209BF}"/>
    <cellStyle name="Standard 49 2 2 2" xfId="41218" xr:uid="{3D4FB0F9-4691-4A5D-B86B-1FB19DA2E9D2}"/>
    <cellStyle name="Standard 49 2 2 3" xfId="42076" xr:uid="{EEE09284-D63B-4A30-8B5D-C0F0E8DDEE79}"/>
    <cellStyle name="Standard 49 2 2 4" xfId="40314" xr:uid="{12D8F364-C611-472F-AA64-6E0F6C7D044D}"/>
    <cellStyle name="Standard 49 2 3" xfId="40775" xr:uid="{9904126D-3585-4AED-BDC8-4558C6AA29DD}"/>
    <cellStyle name="Standard 49 2 4" xfId="41635" xr:uid="{934BE7B3-9FC0-4954-BF05-E336DB7B896B}"/>
    <cellStyle name="Standard 49 2 5" xfId="39779" xr:uid="{BA5F60D9-4539-49D7-AFC7-111EC9FA05FC}"/>
    <cellStyle name="Standard 49 3" xfId="18260" xr:uid="{615E97FF-5471-4092-BF92-D88943FBD9F3}"/>
    <cellStyle name="Standard 49 3 2" xfId="37697" xr:uid="{86882933-1C99-4B59-B6EC-7B5A5E24E21D}"/>
    <cellStyle name="Standard 49 3 2 2" xfId="41217" xr:uid="{41328735-AEFB-4772-A465-CF3B8761CB6D}"/>
    <cellStyle name="Standard 49 3 3" xfId="42075" xr:uid="{2F9F72E0-2DDE-45E2-AC60-EC5AEADAC5D4}"/>
    <cellStyle name="Standard 49 3 4" xfId="40313" xr:uid="{4117AB09-59AA-4121-A99B-D3CE33C8FDDB}"/>
    <cellStyle name="Standard 49 4" xfId="40774" xr:uid="{38536086-0945-49D8-B041-1DF4B4C29592}"/>
    <cellStyle name="Standard 49 5" xfId="41634" xr:uid="{07410078-6244-4BEF-AF2B-CBF9DF029B0F}"/>
    <cellStyle name="Standard 5" xfId="111" xr:uid="{82A19127-7A9A-4E62-B034-A5FB7B302623}"/>
    <cellStyle name="Standard 5 10" xfId="18261" xr:uid="{EEA7EF9A-74C5-420D-83CE-0FC68B75DC2F}"/>
    <cellStyle name="Standard 5 10 2" xfId="18262" xr:uid="{3468A148-368A-48EF-AE4F-F4C0DF33523B}"/>
    <cellStyle name="Standard 5 10 2 2" xfId="37699" xr:uid="{CE1EBFE6-8D0F-4043-960B-2A02BC103476}"/>
    <cellStyle name="Standard 5 10 3" xfId="37698" xr:uid="{328C0A44-6EAE-4C09-A8C1-B014F095EAF3}"/>
    <cellStyle name="Standard 5 11" xfId="18263" xr:uid="{745FE042-8577-42E2-97E0-93A8BD4033B0}"/>
    <cellStyle name="Standard 5 11 2" xfId="18264" xr:uid="{1BEE1FB1-904F-4F4D-AA4B-B3AEAA41F2CE}"/>
    <cellStyle name="Standard 5 11 2 2" xfId="37701" xr:uid="{106DD867-50D5-4509-8E35-F581D1B3B5EB}"/>
    <cellStyle name="Standard 5 11 3" xfId="37700" xr:uid="{11EB53ED-365D-4C8C-83EA-EDA2657B93D8}"/>
    <cellStyle name="Standard 5 12" xfId="18265" xr:uid="{2B51FBF2-FB8A-4173-AF3D-983C393515E4}"/>
    <cellStyle name="Standard 5 12 2" xfId="18266" xr:uid="{250ACAAB-69E9-49BD-ACC8-295D02F9BC1E}"/>
    <cellStyle name="Standard 5 12 2 2" xfId="37703" xr:uid="{BEEC95B3-E043-406C-AA13-31BA397F7EEF}"/>
    <cellStyle name="Standard 5 12 3" xfId="37702" xr:uid="{F9A0EE54-AB96-418F-ACBA-F4A884D22295}"/>
    <cellStyle name="Standard 5 13" xfId="18267" xr:uid="{2AB8DB50-42E2-46C5-A284-D62DF3EF5B77}"/>
    <cellStyle name="Standard 5 13 2" xfId="18268" xr:uid="{D3C74EA7-E315-4EA9-9920-266722C4E1BC}"/>
    <cellStyle name="Standard 5 13 2 2" xfId="37705" xr:uid="{0B80D8B1-CFF3-4677-B9A3-D82EDCEF2506}"/>
    <cellStyle name="Standard 5 13 3" xfId="37704" xr:uid="{A2AF2BD7-CB00-4C9A-A847-80EAC79FBCEE}"/>
    <cellStyle name="Standard 5 14" xfId="18269" xr:uid="{CA109BFF-15D6-4809-941F-58A15CE618E9}"/>
    <cellStyle name="Standard 5 14 2" xfId="18270" xr:uid="{6E062BCC-61C3-41D3-96E3-DCE2AEFB46BA}"/>
    <cellStyle name="Standard 5 14 2 2" xfId="37707" xr:uid="{A8F1FE6B-A8CF-4BE9-9538-8D1E779FC023}"/>
    <cellStyle name="Standard 5 14 3" xfId="37706" xr:uid="{FF88DB82-4F91-4AF4-973E-6DD5F79DB155}"/>
    <cellStyle name="Standard 5 15" xfId="18271" xr:uid="{B31683C6-B367-4C7A-BBCA-A3A973D41AF6}"/>
    <cellStyle name="Standard 5 15 2" xfId="18272" xr:uid="{3BAB5F19-ACCD-472C-8321-0F96077521E9}"/>
    <cellStyle name="Standard 5 15 2 2" xfId="37709" xr:uid="{1BCF9675-5466-426F-A2BD-CB139957C538}"/>
    <cellStyle name="Standard 5 15 3" xfId="37708" xr:uid="{80233E4A-8C36-469E-8007-8F621484C923}"/>
    <cellStyle name="Standard 5 16" xfId="18273" xr:uid="{01DA2FEC-C181-4A5B-8AAE-8DDE5BA8A29D}"/>
    <cellStyle name="Standard 5 16 2" xfId="18274" xr:uid="{0AC63E12-C9F2-43F6-90EE-578F2478E026}"/>
    <cellStyle name="Standard 5 16 2 2" xfId="37711" xr:uid="{A8ADFFC1-F9D1-4CDF-BA7D-7B579145EFC2}"/>
    <cellStyle name="Standard 5 16 3" xfId="37710" xr:uid="{45140E65-9373-401B-90B2-42403AC5E59C}"/>
    <cellStyle name="Standard 5 17" xfId="18275" xr:uid="{E926DB60-4AFD-443F-84A8-B097FE249A0B}"/>
    <cellStyle name="Standard 5 17 2" xfId="18276" xr:uid="{C13F030E-3587-472E-A853-67408A91158C}"/>
    <cellStyle name="Standard 5 17 2 2" xfId="37713" xr:uid="{83151752-C203-4AE6-AD99-8C0CF636033D}"/>
    <cellStyle name="Standard 5 17 3" xfId="37712" xr:uid="{C5A5BC04-C00D-45B6-8EE6-25FD38E84220}"/>
    <cellStyle name="Standard 5 18" xfId="18277" xr:uid="{B4CFC339-FF0A-45FB-B12F-59B74D347D0B}"/>
    <cellStyle name="Standard 5 18 2" xfId="18278" xr:uid="{03C88B34-4DFC-4477-8BCC-125F7589EBF8}"/>
    <cellStyle name="Standard 5 18 2 2" xfId="37715" xr:uid="{EDDCEC0A-CC95-4149-93E8-7C00815190A4}"/>
    <cellStyle name="Standard 5 18 3" xfId="37714" xr:uid="{259A882C-5190-4CEF-A94E-0B4CFF60161C}"/>
    <cellStyle name="Standard 5 19" xfId="18279" xr:uid="{4FE73F96-82F1-4941-991B-9D0424FB490C}"/>
    <cellStyle name="Standard 5 19 2" xfId="18280" xr:uid="{6CDD7407-0460-4E8E-A9E5-C3CE51CDEBDB}"/>
    <cellStyle name="Standard 5 19 2 2" xfId="37717" xr:uid="{E447EE66-6BBB-493E-84D7-5CDEA48261FB}"/>
    <cellStyle name="Standard 5 19 3" xfId="37716" xr:uid="{4AEF95BC-DF80-4AF2-8BFF-22A6A9F5D466}"/>
    <cellStyle name="Standard 5 2" xfId="18281" xr:uid="{F5AD40F9-133B-4550-8211-04C4FDF0733A}"/>
    <cellStyle name="Standard 5 2 2" xfId="18282" xr:uid="{5BC505B4-52AE-4026-87B1-D4BCA44A0B50}"/>
    <cellStyle name="Standard 5 2 2 2" xfId="18283" xr:uid="{C103DA29-CD07-47E5-B511-0004A5C546B0}"/>
    <cellStyle name="Standard 5 2 2 2 2" xfId="37720" xr:uid="{16FCB6BA-C2E0-48C7-8AB0-7C08DEE61000}"/>
    <cellStyle name="Standard 5 2 2 2 3" xfId="41220" xr:uid="{C7EB6764-5023-4960-8F91-B965EDCEE461}"/>
    <cellStyle name="Standard 5 2 2 3" xfId="37719" xr:uid="{61782120-934F-4C77-B31F-644653C1BCA4}"/>
    <cellStyle name="Standard 5 2 2 3 2" xfId="42078" xr:uid="{ADC2D98D-C5A7-4953-A50F-2FDDAC3E2759}"/>
    <cellStyle name="Standard 5 2 2 4" xfId="40316" xr:uid="{93EB1847-B4C3-4041-A99F-E57CEBD8F04A}"/>
    <cellStyle name="Standard 5 2 3" xfId="18284" xr:uid="{0E8079DF-1079-4A61-809D-D57263A7ADE9}"/>
    <cellStyle name="Standard 5 2 3 2" xfId="18285" xr:uid="{1525F9DB-7178-4B34-9D03-52E98C5FC3F9}"/>
    <cellStyle name="Standard 5 2 3 2 2" xfId="37722" xr:uid="{E72539A0-2BC1-4CD4-A4A9-E7D422D40895}"/>
    <cellStyle name="Standard 5 2 3 3" xfId="37721" xr:uid="{9A4315F4-2C88-414D-9431-56EC6DB6F16B}"/>
    <cellStyle name="Standard 5 2 3 4" xfId="40777" xr:uid="{B8D28E58-5A51-4ECA-B439-826999B30528}"/>
    <cellStyle name="Standard 5 2 4" xfId="18286" xr:uid="{7518F507-70FE-4BB3-8D93-A175D7CF3AF1}"/>
    <cellStyle name="Standard 5 2 4 2" xfId="37723" xr:uid="{101883CB-87E9-497F-97D8-90C070A7B6E3}"/>
    <cellStyle name="Standard 5 2 4 3" xfId="41637" xr:uid="{B18DCB7C-0402-455B-B6BE-6506BAA49459}"/>
    <cellStyle name="Standard 5 2 5" xfId="37718" xr:uid="{055764DE-CEB4-45E9-AA55-998EEE2BD259}"/>
    <cellStyle name="Standard 5 2 6" xfId="39781" xr:uid="{2E95D683-07C6-4605-AB7A-E07B7451CCF2}"/>
    <cellStyle name="Standard 5 20" xfId="18287" xr:uid="{D033AD8A-CA57-4FE0-8FF8-60F7BAE86EC6}"/>
    <cellStyle name="Standard 5 20 2" xfId="18288" xr:uid="{4D1B319F-BFD5-4EBA-AC59-2C986C8D8EE2}"/>
    <cellStyle name="Standard 5 20 2 2" xfId="37725" xr:uid="{D5017392-F4F8-4A0C-8639-AF883BF3FAA6}"/>
    <cellStyle name="Standard 5 20 3" xfId="37724" xr:uid="{978B8C64-85F0-4CEE-B581-C6383FCE4F17}"/>
    <cellStyle name="Standard 5 21" xfId="18289" xr:uid="{7F8A9BB1-5583-42D5-AEE5-DBA3EA67E039}"/>
    <cellStyle name="Standard 5 21 2" xfId="18290" xr:uid="{EDCDCE78-CAB5-4E41-B354-D29DA6EACF5C}"/>
    <cellStyle name="Standard 5 21 2 2" xfId="37727" xr:uid="{70F0B57E-6F5D-4396-8F22-E1EBCFC357D0}"/>
    <cellStyle name="Standard 5 21 3" xfId="37726" xr:uid="{37748C07-41F1-4763-9A40-686B9F5D28F5}"/>
    <cellStyle name="Standard 5 22" xfId="18291" xr:uid="{DE999D5C-B9D1-469B-90F8-CA7CB66C13C9}"/>
    <cellStyle name="Standard 5 22 2" xfId="37728" xr:uid="{A8E9BB89-AA03-45D9-8B76-D22C5916720E}"/>
    <cellStyle name="Standard 5 23" xfId="39780" xr:uid="{66AC4C03-94DE-45C3-B07D-745D7B6BF45E}"/>
    <cellStyle name="Standard 5 3" xfId="18292" xr:uid="{FBA8CF00-9CC1-4069-B33B-239C00D256C1}"/>
    <cellStyle name="Standard 5 3 2" xfId="18293" xr:uid="{E9DFBD32-2B2F-4ACC-B8C1-52F8AD93EDB9}"/>
    <cellStyle name="Standard 5 3 2 2" xfId="18294" xr:uid="{B2519F2E-3BCC-4F90-A283-5DF9574649BB}"/>
    <cellStyle name="Standard 5 3 2 2 2" xfId="37731" xr:uid="{46BF4755-8C59-4227-BC8C-CCFE1DF0DB01}"/>
    <cellStyle name="Standard 5 3 2 2 3" xfId="41221" xr:uid="{EE33E14E-FB1A-4399-AEF8-F0474A543EB8}"/>
    <cellStyle name="Standard 5 3 2 3" xfId="37730" xr:uid="{D4E6AA58-D5C4-48D1-B656-F9B4A9BBAD0A}"/>
    <cellStyle name="Standard 5 3 2 3 2" xfId="42079" xr:uid="{1A1335AF-D993-4F05-AEFF-A0F6D1DD210D}"/>
    <cellStyle name="Standard 5 3 2 4" xfId="40317" xr:uid="{C1EC82E5-1FF6-4F52-B322-2356F8C8E631}"/>
    <cellStyle name="Standard 5 3 3" xfId="18295" xr:uid="{99A2C079-4022-438F-8B72-47609CCC02E1}"/>
    <cellStyle name="Standard 5 3 3 2" xfId="18296" xr:uid="{A38538A5-1CB0-4F7A-ADFC-22754FEDAB0F}"/>
    <cellStyle name="Standard 5 3 3 2 2" xfId="37733" xr:uid="{69034E8A-5BA0-46FB-86B3-F255CE0F5A94}"/>
    <cellStyle name="Standard 5 3 3 3" xfId="37732" xr:uid="{DBFE623D-14F5-4359-B8C4-23ED59CEBD0A}"/>
    <cellStyle name="Standard 5 3 3 4" xfId="40778" xr:uid="{FB8E51F5-4869-4860-9E63-5E575A2491CD}"/>
    <cellStyle name="Standard 5 3 4" xfId="18297" xr:uid="{8C41C3DC-77D6-41F9-B5F0-A0C585F7EA93}"/>
    <cellStyle name="Standard 5 3 4 2" xfId="37734" xr:uid="{93AB2A1C-06D1-41C5-9DE0-FC12A6657F73}"/>
    <cellStyle name="Standard 5 3 4 3" xfId="41638" xr:uid="{1F62818C-ADB9-4B7E-9740-34917FB7A217}"/>
    <cellStyle name="Standard 5 3 5" xfId="37729" xr:uid="{BAA05038-E1E8-4C29-8F16-A9435BD87D21}"/>
    <cellStyle name="Standard 5 3 6" xfId="39782" xr:uid="{A3B17F02-1306-412C-8926-29E0BF0DFA31}"/>
    <cellStyle name="Standard 5 4" xfId="18298" xr:uid="{122A4A3B-52DE-4C8E-9514-9AA681B1C5C8}"/>
    <cellStyle name="Standard 5 4 2" xfId="18299" xr:uid="{8CC47530-5544-47CA-B41B-BF1B76D83F45}"/>
    <cellStyle name="Standard 5 4 2 2" xfId="37736" xr:uid="{C7F409BE-1C6E-4152-9218-2E25CE53FE8B}"/>
    <cellStyle name="Standard 5 4 2 2 2" xfId="41222" xr:uid="{03BE318F-6752-4251-9FC2-167E51CE3133}"/>
    <cellStyle name="Standard 5 4 2 3" xfId="42080" xr:uid="{3564DC7B-3DBA-4B5E-99DD-652D0F863E89}"/>
    <cellStyle name="Standard 5 4 2 4" xfId="40318" xr:uid="{9C92E11C-EC6A-4394-967D-460079726F95}"/>
    <cellStyle name="Standard 5 4 3" xfId="37735" xr:uid="{07F5D6B4-BB5B-4807-BD2F-EE9B72B46161}"/>
    <cellStyle name="Standard 5 4 3 2" xfId="40779" xr:uid="{D52198F2-0C71-4E28-9417-C7485A4BD7B0}"/>
    <cellStyle name="Standard 5 4 4" xfId="41639" xr:uid="{D21AB977-4A66-4B21-B0AA-38708808455C}"/>
    <cellStyle name="Standard 5 4 5" xfId="39783" xr:uid="{C1DA3DE8-27D9-4E14-A7A0-8531C236A4DF}"/>
    <cellStyle name="Standard 5 5" xfId="18300" xr:uid="{0F6A5F31-84C6-4C17-A783-516BC86ED728}"/>
    <cellStyle name="Standard 5 5 2" xfId="18301" xr:uid="{7302CB11-4C90-4553-9199-A7BAA7F1216D}"/>
    <cellStyle name="Standard 5 5 2 2" xfId="37738" xr:uid="{D7DD2758-FC54-45AD-B8CB-5DE392344DB0}"/>
    <cellStyle name="Standard 5 5 2 3" xfId="41219" xr:uid="{6E53EDF6-138C-4212-8FA2-C436F7E497B2}"/>
    <cellStyle name="Standard 5 5 3" xfId="37737" xr:uid="{749FB0A3-E467-444D-A975-41EDABF20FDC}"/>
    <cellStyle name="Standard 5 5 3 2" xfId="42077" xr:uid="{869359FB-65D7-4017-8CD2-5EEB3C9B14CF}"/>
    <cellStyle name="Standard 5 5 4" xfId="40315" xr:uid="{373206B9-D016-4399-9D2D-F0424ACD8E12}"/>
    <cellStyle name="Standard 5 6" xfId="18302" xr:uid="{2E35CC95-AABC-41D9-BEFF-5A2FF542EA2B}"/>
    <cellStyle name="Standard 5 6 2" xfId="18303" xr:uid="{59C959AC-6153-4B51-BBC7-50B2369F0E7B}"/>
    <cellStyle name="Standard 5 6 2 2" xfId="37740" xr:uid="{6CBAAB99-00F0-477F-AE3B-C3A3033E133B}"/>
    <cellStyle name="Standard 5 6 3" xfId="37739" xr:uid="{A809D59B-AD3D-4FAD-B759-6AAD0F682597}"/>
    <cellStyle name="Standard 5 6 4" xfId="40776" xr:uid="{7ADD538D-663E-433A-B3DF-0092B8C84C8C}"/>
    <cellStyle name="Standard 5 7" xfId="18304" xr:uid="{8C056AA5-CB0F-4834-99B3-746F06EDE331}"/>
    <cellStyle name="Standard 5 7 2" xfId="18305" xr:uid="{E2C6FADE-A750-4C81-8364-09AC4D761958}"/>
    <cellStyle name="Standard 5 7 2 2" xfId="37742" xr:uid="{7D5EDC7E-8277-45C4-83E3-E179401940A1}"/>
    <cellStyle name="Standard 5 7 3" xfId="37741" xr:uid="{1ABD1B8B-B04C-4282-AB32-C93E54A9779A}"/>
    <cellStyle name="Standard 5 7 4" xfId="41636" xr:uid="{CB99DBC4-C050-47E8-801D-DA3D98C5FC27}"/>
    <cellStyle name="Standard 5 8" xfId="18306" xr:uid="{B2BA8856-8634-4AF5-91AA-B16A28A23443}"/>
    <cellStyle name="Standard 5 8 2" xfId="18307" xr:uid="{BD3007BA-BC7E-49AD-96BC-0BED8A0B1707}"/>
    <cellStyle name="Standard 5 8 2 2" xfId="37744" xr:uid="{2B99BDE6-6DD6-479D-8FFE-C4AE6462C530}"/>
    <cellStyle name="Standard 5 8 3" xfId="37743" xr:uid="{C9CDCE50-0205-46BE-8476-0C7139F4ECEF}"/>
    <cellStyle name="Standard 5 8 4" xfId="42158" xr:uid="{67B64AB1-C150-409F-ABA0-C0A2BF7401FA}"/>
    <cellStyle name="Standard 5 9" xfId="18308" xr:uid="{5E92B8AD-133E-47AC-903E-D0DA69FBF489}"/>
    <cellStyle name="Standard 5 9 2" xfId="18309" xr:uid="{8925B472-2EF0-44DA-A359-3AEEBF1C3C66}"/>
    <cellStyle name="Standard 5 9 2 2" xfId="37746" xr:uid="{45D51C85-7C13-4B84-8DD7-04FD5A7C3A22}"/>
    <cellStyle name="Standard 5 9 3" xfId="37745" xr:uid="{43E4FD2F-EFB3-42D9-8AD8-79124EF726C1}"/>
    <cellStyle name="Standard 50" xfId="18310" xr:uid="{1F21FEF4-9973-4DE7-B4C3-E3DA67FBDAAA}"/>
    <cellStyle name="Standard 50 2" xfId="18311" xr:uid="{502CEF13-5491-4E4B-982A-D5808CEA982C}"/>
    <cellStyle name="Standard 50 2 2" xfId="37748" xr:uid="{41968E4E-F043-4B14-92BE-F62CE2C1ABF2}"/>
    <cellStyle name="Standard 50 2 2 2" xfId="41224" xr:uid="{381A6B5B-F433-48CE-8F50-219968A80014}"/>
    <cellStyle name="Standard 50 2 2 3" xfId="42082" xr:uid="{A23CCADC-8CB0-4C3F-8E5C-4360BC8C8E98}"/>
    <cellStyle name="Standard 50 2 2 4" xfId="40320" xr:uid="{82604B68-3FF1-4F9C-84A7-9E88179711E1}"/>
    <cellStyle name="Standard 50 2 3" xfId="40781" xr:uid="{A6FA5AA7-AC6E-4A84-9E6C-4647B453BBAF}"/>
    <cellStyle name="Standard 50 2 4" xfId="41641" xr:uid="{2DE7BA90-6B3A-4ACD-AA37-9CA91A5E3660}"/>
    <cellStyle name="Standard 50 2 5" xfId="39785" xr:uid="{AB5F6C07-426B-4559-A042-DBE4987B50D9}"/>
    <cellStyle name="Standard 50 3" xfId="37747" xr:uid="{D0AED40F-3293-4AEA-B29E-EC842D75D160}"/>
    <cellStyle name="Standard 50 3 2" xfId="41223" xr:uid="{A41DF89C-37DD-4430-A605-EFC00E9272CD}"/>
    <cellStyle name="Standard 50 3 3" xfId="42081" xr:uid="{86D3BF44-7964-49E9-B1DD-66FF2CFEE023}"/>
    <cellStyle name="Standard 50 3 4" xfId="40319" xr:uid="{8965FCFF-5BDC-425B-BF58-31FCC612B1F1}"/>
    <cellStyle name="Standard 50 4" xfId="40780" xr:uid="{09475BA3-12F0-4CAB-85A7-2100E3E14306}"/>
    <cellStyle name="Standard 50 5" xfId="41640" xr:uid="{A59F932E-32A5-49EE-AC48-737ACE8E4498}"/>
    <cellStyle name="Standard 50 6" xfId="39784" xr:uid="{ACF46CCA-C88F-41B4-958F-C961B6F3F1CD}"/>
    <cellStyle name="Standard 51" xfId="18312" xr:uid="{5335C6A1-48AE-45AD-8B7F-5E371F318A3E}"/>
    <cellStyle name="Standard 51 2" xfId="18313" xr:uid="{C8A8A86A-9BCD-43FF-BE89-E4BAF8855D0D}"/>
    <cellStyle name="Standard 51 2 2" xfId="37750" xr:uid="{1A35E677-36C5-4004-8BA1-45B68ADED4A0}"/>
    <cellStyle name="Standard 51 2 2 2" xfId="41226" xr:uid="{D134CF82-7803-487B-AF81-9F7EEA36B77E}"/>
    <cellStyle name="Standard 51 2 2 3" xfId="42084" xr:uid="{34AE6FED-74DC-4D68-8AF4-9EDEF797578A}"/>
    <cellStyle name="Standard 51 2 2 4" xfId="40322" xr:uid="{80A0E4C4-E114-402B-8B58-4B84128B23C5}"/>
    <cellStyle name="Standard 51 2 3" xfId="40783" xr:uid="{88DAF877-811F-41E4-A8F9-3C1CCE1DC269}"/>
    <cellStyle name="Standard 51 2 4" xfId="41643" xr:uid="{49FC49C6-C813-4A3B-BE39-C319C9244B0D}"/>
    <cellStyle name="Standard 51 2 5" xfId="39787" xr:uid="{1DF02E17-DB4D-40C6-8D2B-A986D666A20E}"/>
    <cellStyle name="Standard 51 3" xfId="37749" xr:uid="{07AB89B7-B71B-4F0E-96ED-AEDC5EA3E722}"/>
    <cellStyle name="Standard 51 3 2" xfId="41225" xr:uid="{DB6ACB62-6F53-4702-BBC6-67F3C90DBFE2}"/>
    <cellStyle name="Standard 51 3 3" xfId="42083" xr:uid="{EF98F7B4-FA10-4AC4-BF6B-E839D6C02F17}"/>
    <cellStyle name="Standard 51 3 4" xfId="40321" xr:uid="{998BD759-3D1D-4DAA-9263-E384C161FADC}"/>
    <cellStyle name="Standard 51 4" xfId="40782" xr:uid="{66B92FC1-501B-4D54-A427-31B34CB82605}"/>
    <cellStyle name="Standard 51 5" xfId="41642" xr:uid="{FABFDD84-85CD-4B62-9795-8B36F469A942}"/>
    <cellStyle name="Standard 51 6" xfId="39786" xr:uid="{E056B873-38D5-4F5F-9399-E1039C491719}"/>
    <cellStyle name="Standard 52" xfId="18314" xr:uid="{F5BCAD00-6E6D-4D7C-9D5A-592B421C958D}"/>
    <cellStyle name="Standard 52 2" xfId="18315" xr:uid="{39569A91-26CB-4163-B6EC-C7A256561270}"/>
    <cellStyle name="Standard 52 2 2" xfId="37752" xr:uid="{21325D71-E2FD-4BE2-A899-303179CAA933}"/>
    <cellStyle name="Standard 52 2 2 2" xfId="41228" xr:uid="{CBFAA933-4B73-4266-976E-1227B89BC361}"/>
    <cellStyle name="Standard 52 2 2 3" xfId="42086" xr:uid="{C97C1222-75D5-4AB6-BBBB-888BDAA61981}"/>
    <cellStyle name="Standard 52 2 2 4" xfId="40324" xr:uid="{66A43A12-E918-41C1-BE2B-10D9DACE67D9}"/>
    <cellStyle name="Standard 52 2 3" xfId="40785" xr:uid="{6698A751-0964-4B04-8310-4244B7ECF93D}"/>
    <cellStyle name="Standard 52 2 4" xfId="41645" xr:uid="{9920A853-40A1-4486-9635-EED4365B9E54}"/>
    <cellStyle name="Standard 52 2 5" xfId="39789" xr:uid="{F9E2B43B-D1F3-4C96-8E18-ACE3D2CBE955}"/>
    <cellStyle name="Standard 52 3" xfId="37751" xr:uid="{8F6CFC70-45B9-41C2-842D-9BEDD0FF6A48}"/>
    <cellStyle name="Standard 52 3 2" xfId="41227" xr:uid="{195D3D91-3140-4B98-96EE-668EAE3AEFE3}"/>
    <cellStyle name="Standard 52 3 3" xfId="42085" xr:uid="{BB13E0AD-391D-49F6-9AD8-6665F86E6D21}"/>
    <cellStyle name="Standard 52 3 4" xfId="40323" xr:uid="{AE680F60-9CBA-4EC5-852C-15486FC8A759}"/>
    <cellStyle name="Standard 52 4" xfId="40784" xr:uid="{FE1E54B4-47F0-4BFD-BBDD-008D151C6CB6}"/>
    <cellStyle name="Standard 52 5" xfId="41644" xr:uid="{C4C4D808-C90D-4125-9266-57072A9E6C55}"/>
    <cellStyle name="Standard 52 6" xfId="39788" xr:uid="{71C1057B-A370-44B0-AA89-13B174C54419}"/>
    <cellStyle name="Standard 53" xfId="18316" xr:uid="{F592B944-DC63-4B00-BD4E-EE4B89153648}"/>
    <cellStyle name="Standard 53 2" xfId="18317" xr:uid="{0CB07A02-BD2E-4E74-B767-2D7A46635DB9}"/>
    <cellStyle name="Standard 53 2 2" xfId="37754" xr:uid="{A72F11E7-F351-4912-AAF3-EFD4C3018B0E}"/>
    <cellStyle name="Standard 53 2 2 2" xfId="41230" xr:uid="{050B2F0B-6B9E-461B-A4FA-F4B41FB90637}"/>
    <cellStyle name="Standard 53 2 2 3" xfId="42088" xr:uid="{51DE90EA-C5B9-4333-8509-A3716C35F0FA}"/>
    <cellStyle name="Standard 53 2 2 4" xfId="40326" xr:uid="{113200FE-9F81-4D5A-B4CF-47E597AA29ED}"/>
    <cellStyle name="Standard 53 2 3" xfId="40787" xr:uid="{E3908CF7-EBA0-48E1-897A-20A49575F116}"/>
    <cellStyle name="Standard 53 2 4" xfId="41647" xr:uid="{860E3A39-D277-4D29-AC07-E2641C715757}"/>
    <cellStyle name="Standard 53 2 5" xfId="39791" xr:uid="{2CAFC4FB-8CC8-44A4-9D1E-2CDA7B0FF753}"/>
    <cellStyle name="Standard 53 3" xfId="37753" xr:uid="{719C2C6C-3B28-42AD-BEBB-B0D624F6D152}"/>
    <cellStyle name="Standard 53 3 2" xfId="41229" xr:uid="{F2C32877-E714-4C06-9278-E6E1C63092A8}"/>
    <cellStyle name="Standard 53 3 3" xfId="42087" xr:uid="{10ED0435-D0AA-4101-B711-C8BFAECAEC9C}"/>
    <cellStyle name="Standard 53 3 4" xfId="40325" xr:uid="{FB319324-C7D3-41EE-80EE-06E4364C585D}"/>
    <cellStyle name="Standard 53 4" xfId="40786" xr:uid="{F3D0794C-0C1C-451E-8A7D-96D3B507BA7B}"/>
    <cellStyle name="Standard 53 5" xfId="41646" xr:uid="{69333E8A-1732-4ADA-ACDF-886B939C643C}"/>
    <cellStyle name="Standard 53 6" xfId="39790" xr:uid="{CB611584-65F2-4438-BE5B-5C2753B7E53F}"/>
    <cellStyle name="Standard 54" xfId="18318" xr:uid="{2FB80E11-316A-4A32-90BC-E2A9C0F6A9EF}"/>
    <cellStyle name="Standard 54 2" xfId="18319" xr:uid="{8289F605-0937-44F1-ABCD-E90543458200}"/>
    <cellStyle name="Standard 54 2 2" xfId="37756" xr:uid="{15E6FFE6-0574-4D66-8ACB-66AEB7742BEA}"/>
    <cellStyle name="Standard 54 2 2 2" xfId="41232" xr:uid="{8DB05C9D-270C-45C4-8AD3-71187643AD5F}"/>
    <cellStyle name="Standard 54 2 2 3" xfId="42090" xr:uid="{76C6F48D-D952-4398-82B9-4E76C5396C0A}"/>
    <cellStyle name="Standard 54 2 2 4" xfId="40328" xr:uid="{BF065455-42D7-408C-BB11-682184615AEA}"/>
    <cellStyle name="Standard 54 2 3" xfId="40789" xr:uid="{2E7C16FC-EAB5-499D-991F-B005E2B029A4}"/>
    <cellStyle name="Standard 54 2 4" xfId="41649" xr:uid="{A821EA10-011A-45B0-BB23-EF3DE2B9E1C4}"/>
    <cellStyle name="Standard 54 2 5" xfId="39793" xr:uid="{E64ED94F-F894-4AF7-B8E5-9B5DBDB22844}"/>
    <cellStyle name="Standard 54 3" xfId="37755" xr:uid="{D7CEE4C1-DA58-4E40-95F1-6A3168CB266B}"/>
    <cellStyle name="Standard 54 3 2" xfId="41231" xr:uid="{EDF63D51-D51C-41DE-873F-8217EC92E753}"/>
    <cellStyle name="Standard 54 3 3" xfId="42089" xr:uid="{71FE8B72-01E9-496A-B773-39AFA8B1100A}"/>
    <cellStyle name="Standard 54 3 4" xfId="40327" xr:uid="{DBA36787-DB71-49DF-95A6-9286EAA81C8A}"/>
    <cellStyle name="Standard 54 4" xfId="40788" xr:uid="{BBEA883A-0E05-4B60-8255-26E58AF8A91D}"/>
    <cellStyle name="Standard 54 5" xfId="41648" xr:uid="{A243C5A2-B0D7-46D7-A1E0-48F8527E1547}"/>
    <cellStyle name="Standard 54 6" xfId="39792" xr:uid="{692BBF61-4079-4249-A3FF-90483F307101}"/>
    <cellStyle name="Standard 55" xfId="18320" xr:uid="{48AD175C-45F0-4CD8-9245-05A947B6A48A}"/>
    <cellStyle name="Standard 55 2" xfId="37757" xr:uid="{20CC70C3-5312-4B02-940F-306438A9B25F}"/>
    <cellStyle name="Standard 55 2 2" xfId="40330" xr:uid="{3FA0C9EE-6B4E-478D-8135-4031A4E28F79}"/>
    <cellStyle name="Standard 55 2 2 2" xfId="41234" xr:uid="{939D40E9-AFA3-40C6-BAA2-26B04C28A651}"/>
    <cellStyle name="Standard 55 2 2 3" xfId="42092" xr:uid="{6BF1B4A4-2B6B-48D6-9524-AF264F8611A9}"/>
    <cellStyle name="Standard 55 2 3" xfId="40791" xr:uid="{8258BC12-9D7F-416C-8C56-04127E99151A}"/>
    <cellStyle name="Standard 55 2 4" xfId="41651" xr:uid="{BE5448D1-B2A0-41AE-B259-80D0F3D70FFD}"/>
    <cellStyle name="Standard 55 2 5" xfId="39795" xr:uid="{72E2C209-4837-48B6-B5E7-FB3801AC24FF}"/>
    <cellStyle name="Standard 55 3" xfId="40329" xr:uid="{7CD5AF4C-E885-463D-93AE-844B9E0DCF9A}"/>
    <cellStyle name="Standard 55 3 2" xfId="41233" xr:uid="{93BD548F-0C02-4739-8DEA-6FCDCB541C3E}"/>
    <cellStyle name="Standard 55 3 3" xfId="42091" xr:uid="{9A64DCFA-0B16-486F-B876-979FA11221F6}"/>
    <cellStyle name="Standard 55 4" xfId="40790" xr:uid="{37C2C502-75E8-4AE6-9E0B-B8C5EF4F5F35}"/>
    <cellStyle name="Standard 55 5" xfId="41650" xr:uid="{BEECA790-45BE-48F7-BD62-6D0EAFC44E3F}"/>
    <cellStyle name="Standard 55 6" xfId="39794" xr:uid="{DEB4459D-FAFE-4DB3-848C-A07F18E05264}"/>
    <cellStyle name="Standard 56" xfId="18321" xr:uid="{2C43B405-2E4C-495D-8E5D-5C659AA24E41}"/>
    <cellStyle name="Standard 56 2" xfId="37758" xr:uid="{1D65A6E6-A1D2-4891-B0AA-EED503818B44}"/>
    <cellStyle name="Standard 56 2 2" xfId="40332" xr:uid="{B70A661A-371E-4436-99A2-3A3A3A3D542A}"/>
    <cellStyle name="Standard 56 2 2 2" xfId="41236" xr:uid="{32E4F125-9F3E-43ED-B917-7CD5B5520F0A}"/>
    <cellStyle name="Standard 56 2 2 3" xfId="42094" xr:uid="{718A6BA3-DA9C-4FF9-812E-CFBCE70E7AF1}"/>
    <cellStyle name="Standard 56 2 3" xfId="40793" xr:uid="{4FCD68E7-F5BA-402C-A7A2-2AC4B6FB11BE}"/>
    <cellStyle name="Standard 56 2 4" xfId="41653" xr:uid="{C3515651-D944-42CC-AECE-7FB0BD9563D0}"/>
    <cellStyle name="Standard 56 2 5" xfId="39797" xr:uid="{66D32556-1AB1-4EFA-A08C-BDB73622506A}"/>
    <cellStyle name="Standard 56 3" xfId="40331" xr:uid="{BB20AB07-FEE7-48C4-A9B1-23542658F902}"/>
    <cellStyle name="Standard 56 3 2" xfId="41235" xr:uid="{254E78AD-E6C3-46A9-873F-819418180736}"/>
    <cellStyle name="Standard 56 3 3" xfId="42093" xr:uid="{3E075272-802F-4165-93C9-6CD5DBE85397}"/>
    <cellStyle name="Standard 56 4" xfId="40792" xr:uid="{5791969B-0B34-4F1B-9D99-6B0446ECC3BB}"/>
    <cellStyle name="Standard 56 5" xfId="41652" xr:uid="{2C59E733-4C8C-4ED8-8CF6-77F482935B88}"/>
    <cellStyle name="Standard 56 6" xfId="39796" xr:uid="{6593DED9-A684-4FCA-96FE-CE3157436662}"/>
    <cellStyle name="Standard 57" xfId="39798" xr:uid="{B2070A21-4E29-49C4-B6DC-F445A2105AF0}"/>
    <cellStyle name="Standard 57 2" xfId="39799" xr:uid="{8A84A393-CD0E-407A-8402-32997120DE35}"/>
    <cellStyle name="Standard 57 2 2" xfId="40334" xr:uid="{6A200CD0-A17A-4DF4-A778-933F91577EC2}"/>
    <cellStyle name="Standard 57 2 2 2" xfId="41238" xr:uid="{C4A542FE-534A-4D55-9F42-ED98606CC1A8}"/>
    <cellStyle name="Standard 57 2 2 3" xfId="42096" xr:uid="{9D0D7ABE-4BF5-4AB3-ABF7-A7C7B4E393E0}"/>
    <cellStyle name="Standard 57 2 3" xfId="40795" xr:uid="{85148443-26A4-4408-AFC4-7FE2E79A59CA}"/>
    <cellStyle name="Standard 57 2 4" xfId="41655" xr:uid="{B78EEC65-0967-47AC-B9D0-E39AFE104A8F}"/>
    <cellStyle name="Standard 57 3" xfId="40333" xr:uid="{8313F981-B660-40C4-8930-BA01572666E1}"/>
    <cellStyle name="Standard 57 3 2" xfId="41237" xr:uid="{55FF2C5B-6B8B-40C5-873A-5D28C5B13C2B}"/>
    <cellStyle name="Standard 57 3 3" xfId="42095" xr:uid="{15AA40A7-9DE4-4D5C-B1C1-128A1A19D6E3}"/>
    <cellStyle name="Standard 57 4" xfId="40794" xr:uid="{AFF424C7-3B57-4047-B825-5BA85EE6B989}"/>
    <cellStyle name="Standard 57 5" xfId="41654" xr:uid="{4530E46A-9E47-415C-A7E6-B8BD633AC798}"/>
    <cellStyle name="Standard 58" xfId="39800" xr:uid="{03DACEF8-F5C9-40DF-A657-7E0242E04700}"/>
    <cellStyle name="Standard 58 2" xfId="39801" xr:uid="{C80B6832-42AE-4CB2-96C2-003BBC3CF67C}"/>
    <cellStyle name="Standard 58 2 2" xfId="40336" xr:uid="{1B0BCBD1-CFE6-4019-9FC9-CE7457BE4220}"/>
    <cellStyle name="Standard 58 2 2 2" xfId="41240" xr:uid="{699B8AEA-F3A8-4B9E-AE8E-6572ED0DC5CF}"/>
    <cellStyle name="Standard 58 2 2 3" xfId="42098" xr:uid="{75CA9EF6-7784-4E33-9FAD-543818677D0B}"/>
    <cellStyle name="Standard 58 2 3" xfId="40797" xr:uid="{D23BE4C7-3C36-47B5-81B3-6EBFCD79D6BC}"/>
    <cellStyle name="Standard 58 2 4" xfId="41657" xr:uid="{5BA26992-5CE1-4594-8463-4A0C652BC9C5}"/>
    <cellStyle name="Standard 58 3" xfId="40335" xr:uid="{88E43279-98BE-48D4-9537-29F6D65CA9EA}"/>
    <cellStyle name="Standard 58 3 2" xfId="41239" xr:uid="{DF024941-A9B4-404A-9DEA-F42C290F8282}"/>
    <cellStyle name="Standard 58 3 3" xfId="42097" xr:uid="{186611B1-088E-4779-805E-C31177E33912}"/>
    <cellStyle name="Standard 58 4" xfId="40796" xr:uid="{73238F80-D0E2-48BA-9FA0-CBFCFC40E2EF}"/>
    <cellStyle name="Standard 58 5" xfId="41656" xr:uid="{7DE3E861-AF45-43B8-8C22-A199AD6CC4D3}"/>
    <cellStyle name="Standard 59" xfId="39802" xr:uid="{A7A11449-2FEB-4435-9195-4BD6103F2C90}"/>
    <cellStyle name="Standard 59 2" xfId="39803" xr:uid="{0DF24973-8C49-4ABB-B063-EF61BAC47BAE}"/>
    <cellStyle name="Standard 59 2 2" xfId="40338" xr:uid="{C7C4A87C-0CEF-4EFC-9547-79664E023997}"/>
    <cellStyle name="Standard 59 2 2 2" xfId="41242" xr:uid="{C40A4DAB-D03F-4E44-B864-37E592231289}"/>
    <cellStyle name="Standard 59 2 2 3" xfId="42100" xr:uid="{3728F986-BCED-4C25-A4A2-CEA5B9C75F81}"/>
    <cellStyle name="Standard 59 2 3" xfId="40799" xr:uid="{CFF06C04-1D99-4CEA-B982-D846091AFFC3}"/>
    <cellStyle name="Standard 59 2 4" xfId="41659" xr:uid="{19EB6A52-D92B-49CD-A200-1AA563D36867}"/>
    <cellStyle name="Standard 59 3" xfId="40337" xr:uid="{6149FFBC-26EA-40C8-8C64-38525EF31C0F}"/>
    <cellStyle name="Standard 59 3 2" xfId="41241" xr:uid="{438C5DEB-9641-4798-B8D7-5337A1D6D0A1}"/>
    <cellStyle name="Standard 59 3 3" xfId="42099" xr:uid="{F3549F68-57B8-4B18-A645-BB9CEB351FA4}"/>
    <cellStyle name="Standard 59 4" xfId="40798" xr:uid="{E6B964B5-0E24-4270-9FF0-50E6459A31B6}"/>
    <cellStyle name="Standard 59 5" xfId="41658" xr:uid="{CBCDCFFA-B0BF-41B7-AF3D-A88E1D00C5A7}"/>
    <cellStyle name="Standard 6" xfId="125" xr:uid="{E6B6ED14-CBAF-493B-9BBD-B53A8A599A25}"/>
    <cellStyle name="Standard 6 10" xfId="18322" xr:uid="{D35E48F5-62D1-4E17-8F62-0877A8BDEB91}"/>
    <cellStyle name="Standard 6 10 2" xfId="18323" xr:uid="{62B3D005-8A42-4C6B-A4A7-365D7ABCEB26}"/>
    <cellStyle name="Standard 6 10 2 2" xfId="37760" xr:uid="{2F8985D4-9E0F-4494-AC25-40D8D9E47A48}"/>
    <cellStyle name="Standard 6 10 3" xfId="37759" xr:uid="{8D6D5390-6F92-4CA7-AFAD-BD55D2E4D532}"/>
    <cellStyle name="Standard 6 11" xfId="18324" xr:uid="{A14E316C-E9D5-422D-AA30-EC19C8470FE4}"/>
    <cellStyle name="Standard 6 11 2" xfId="18325" xr:uid="{26417120-F92A-4275-8E52-EA23A821BC69}"/>
    <cellStyle name="Standard 6 11 2 2" xfId="37762" xr:uid="{4E9064B7-F571-4656-9684-A6EB90AB643E}"/>
    <cellStyle name="Standard 6 11 3" xfId="37761" xr:uid="{AED8F686-C701-4B43-A3DA-FCDF8BF5CD54}"/>
    <cellStyle name="Standard 6 12" xfId="18326" xr:uid="{AF2E7C8D-B94F-47CC-A729-8D93005B3B9C}"/>
    <cellStyle name="Standard 6 12 2" xfId="18327" xr:uid="{C8C08A48-F4AF-4EFC-BAB8-3C0226857DB5}"/>
    <cellStyle name="Standard 6 12 2 2" xfId="37764" xr:uid="{09F9DB88-B0ED-4927-834A-B9EFE0051E7B}"/>
    <cellStyle name="Standard 6 12 3" xfId="37763" xr:uid="{29A2ABF4-F448-4B52-8788-AEB5CBA64474}"/>
    <cellStyle name="Standard 6 13" xfId="18328" xr:uid="{1ECCA118-3303-4C93-9B51-D65FE3D1BA09}"/>
    <cellStyle name="Standard 6 13 2" xfId="18329" xr:uid="{4BCEA6F7-F417-4808-A94A-31F90DB1072C}"/>
    <cellStyle name="Standard 6 13 2 2" xfId="37766" xr:uid="{03B09E06-139D-41E4-AB05-A57FC132559C}"/>
    <cellStyle name="Standard 6 13 3" xfId="37765" xr:uid="{81691647-CA18-4216-816B-F84D5FAB4C71}"/>
    <cellStyle name="Standard 6 14" xfId="18330" xr:uid="{AADB89F6-BA31-4A13-8B6F-9F3638B2454A}"/>
    <cellStyle name="Standard 6 14 2" xfId="18331" xr:uid="{85EF3894-9310-4793-B582-499C160A22DD}"/>
    <cellStyle name="Standard 6 14 2 2" xfId="37768" xr:uid="{B753586D-5DC0-495E-987C-7E3A11E570DC}"/>
    <cellStyle name="Standard 6 14 3" xfId="37767" xr:uid="{1C31B277-FF89-44B8-9C21-483ACB53E026}"/>
    <cellStyle name="Standard 6 15" xfId="18332" xr:uid="{7E72D0B4-0F38-416F-8F41-36EC1220F187}"/>
    <cellStyle name="Standard 6 15 2" xfId="18333" xr:uid="{AFAC6EA5-ABB8-4EB0-B8E8-60045BD2329C}"/>
    <cellStyle name="Standard 6 15 2 2" xfId="37770" xr:uid="{961B5D5D-8928-487B-A709-BF3E86EAFDE6}"/>
    <cellStyle name="Standard 6 15 3" xfId="37769" xr:uid="{679DE908-B6A5-4A6D-AB7C-1E4D61E1A674}"/>
    <cellStyle name="Standard 6 16" xfId="18334" xr:uid="{6685F8E7-A992-4FBA-A00D-46803F19F699}"/>
    <cellStyle name="Standard 6 16 2" xfId="18335" xr:uid="{0C011101-A771-49A9-AE41-73AFB2E60B2E}"/>
    <cellStyle name="Standard 6 16 2 2" xfId="37772" xr:uid="{2407EDD3-E005-4BBD-82D1-FFDA524AFFB4}"/>
    <cellStyle name="Standard 6 16 3" xfId="37771" xr:uid="{E12F171B-5D0F-4151-8028-42401580F67C}"/>
    <cellStyle name="Standard 6 17" xfId="18336" xr:uid="{5677C25A-27B5-479D-818F-50B8A8B611CC}"/>
    <cellStyle name="Standard 6 17 2" xfId="18337" xr:uid="{45EA8AED-6378-488B-B606-CE69FDAA3E9F}"/>
    <cellStyle name="Standard 6 17 2 2" xfId="37774" xr:uid="{2E476E7F-7A60-4918-9B47-27EAE62C15DA}"/>
    <cellStyle name="Standard 6 17 3" xfId="37773" xr:uid="{B4C52112-B5D3-4A46-9E00-791D157A5775}"/>
    <cellStyle name="Standard 6 18" xfId="18338" xr:uid="{C3AF51E4-AC0F-4B27-8DFA-8603784F231F}"/>
    <cellStyle name="Standard 6 18 2" xfId="18339" xr:uid="{6C94B979-5BA8-46C2-B7F8-9D68D9C06E9B}"/>
    <cellStyle name="Standard 6 18 2 2" xfId="37776" xr:uid="{D8901AB5-821B-4F71-A5F3-81946E15A025}"/>
    <cellStyle name="Standard 6 18 3" xfId="37775" xr:uid="{6010CEC0-8C22-4D9B-871F-A09DAE778E30}"/>
    <cellStyle name="Standard 6 19" xfId="18340" xr:uid="{A8E44078-AF2E-4800-BE11-FD500C2A7B38}"/>
    <cellStyle name="Standard 6 19 2" xfId="18341" xr:uid="{201E5690-9B61-4853-B092-70F39E23EFE5}"/>
    <cellStyle name="Standard 6 19 2 2" xfId="37778" xr:uid="{EAE068D1-1948-4228-92DF-BED3C671864B}"/>
    <cellStyle name="Standard 6 19 3" xfId="37777" xr:uid="{6CD9429D-1EF5-40F5-8F4B-F1B8DE035FE0}"/>
    <cellStyle name="Standard 6 2" xfId="18342" xr:uid="{2BA032BB-6716-4E20-916F-4ACF23205BE7}"/>
    <cellStyle name="Standard 6 2 2" xfId="18343" xr:uid="{2F4961DF-92ED-4581-9E85-59438D7A511B}"/>
    <cellStyle name="Standard 6 2 2 2" xfId="37780" xr:uid="{D1B71429-2885-4D40-9BEE-803E4938EF8A}"/>
    <cellStyle name="Standard 6 2 2 2 2" xfId="41244" xr:uid="{910E267E-1CF5-4ECF-83DD-A9FD77503042}"/>
    <cellStyle name="Standard 6 2 2 3" xfId="42102" xr:uid="{2DC1094F-8922-48C3-A458-46EC7BB80EAC}"/>
    <cellStyle name="Standard 6 2 2 4" xfId="40340" xr:uid="{448DA3DB-ECEC-41CE-9806-64132AE82A39}"/>
    <cellStyle name="Standard 6 2 3" xfId="37779" xr:uid="{3E0354A5-A7F5-4729-A73C-77F2E293A576}"/>
    <cellStyle name="Standard 6 2 3 2" xfId="40801" xr:uid="{8D50902D-D0BA-48DB-903F-E917F188ABAE}"/>
    <cellStyle name="Standard 6 2 4" xfId="41661" xr:uid="{D9A7A2AF-9064-407F-81D8-1334EDA16ADC}"/>
    <cellStyle name="Standard 6 2 5" xfId="39805" xr:uid="{95763CC9-F3C6-48ED-9032-F03B0B9B81AF}"/>
    <cellStyle name="Standard 6 20" xfId="18344" xr:uid="{299CD178-45F7-4C2A-9E14-13B87253BCBB}"/>
    <cellStyle name="Standard 6 20 2" xfId="18345" xr:uid="{0C6DD789-EC02-4525-92C1-87556FFC79AA}"/>
    <cellStyle name="Standard 6 20 2 2" xfId="37782" xr:uid="{2DFFFDB2-7614-4BE5-829C-7AE8F9B28257}"/>
    <cellStyle name="Standard 6 20 3" xfId="37781" xr:uid="{43FCC49C-B4CC-4C46-A3B7-B8FE553F6BED}"/>
    <cellStyle name="Standard 6 21" xfId="18346" xr:uid="{FEFD1859-92D2-4367-AEF1-BB25D7526381}"/>
    <cellStyle name="Standard 6 21 2" xfId="18347" xr:uid="{C90308E2-E212-42EC-87A7-32277A671F72}"/>
    <cellStyle name="Standard 6 21 2 2" xfId="37784" xr:uid="{643C9238-74BE-41C6-859E-20F34E7444E6}"/>
    <cellStyle name="Standard 6 21 3" xfId="37783" xr:uid="{0EA9DE6A-E579-4651-9FA6-30F3CF51A9CC}"/>
    <cellStyle name="Standard 6 22" xfId="18348" xr:uid="{1FDF09C9-DFB7-4E02-ABEB-68DECAA035E2}"/>
    <cellStyle name="Standard 6 22 2" xfId="37785" xr:uid="{31F58CC5-1A2A-4B1D-8233-27AA6F2D3E36}"/>
    <cellStyle name="Standard 6 23" xfId="18349" xr:uid="{E136EFFD-10AD-48C4-B9BF-95030F48F221}"/>
    <cellStyle name="Standard 6 23 2" xfId="37786" xr:uid="{262C0FA3-F07D-4368-889B-2FDB6B1F0F68}"/>
    <cellStyle name="Standard 6 24" xfId="39804" xr:uid="{51188727-37D6-4DF2-826A-3490A065D5C7}"/>
    <cellStyle name="Standard 6 3" xfId="18350" xr:uid="{320E665E-4B6A-4C9B-BCB7-F0B18E4A16CD}"/>
    <cellStyle name="Standard 6 3 2" xfId="18351" xr:uid="{CD893F58-B975-4A65-95A8-9352A806DE8E}"/>
    <cellStyle name="Standard 6 3 2 2" xfId="37788" xr:uid="{C4EE7544-4703-45E1-BE39-B53480E4E3F8}"/>
    <cellStyle name="Standard 6 3 2 3" xfId="41243" xr:uid="{0B6125E1-32CC-4E72-84BA-49955324BE8E}"/>
    <cellStyle name="Standard 6 3 3" xfId="37787" xr:uid="{E9451EB2-F269-4221-9DF7-DC28E0E7F9FB}"/>
    <cellStyle name="Standard 6 3 3 2" xfId="42101" xr:uid="{AA3FE578-32CB-4077-98B1-D9EB45F25090}"/>
    <cellStyle name="Standard 6 3 4" xfId="40339" xr:uid="{8AF35205-8D38-4308-9F6A-97F86BB853D1}"/>
    <cellStyle name="Standard 6 4" xfId="18352" xr:uid="{3B9AE79D-FAEE-4BFB-AFB8-00F50EC19C3A}"/>
    <cellStyle name="Standard 6 4 2" xfId="18353" xr:uid="{B6B98011-5134-4D79-B134-3C01FE419B3A}"/>
    <cellStyle name="Standard 6 4 2 2" xfId="37790" xr:uid="{7F201EB4-1AC5-40B9-9636-55F51CD0B540}"/>
    <cellStyle name="Standard 6 4 3" xfId="37789" xr:uid="{C33098C9-72BF-4E8B-B4BD-F1E54B4AFD02}"/>
    <cellStyle name="Standard 6 4 4" xfId="40800" xr:uid="{56FA338B-1405-44D0-9749-5307755F8674}"/>
    <cellStyle name="Standard 6 5" xfId="18354" xr:uid="{7749D981-9BF1-43CE-BFDB-34B314ABF184}"/>
    <cellStyle name="Standard 6 5 2" xfId="18355" xr:uid="{129EF3D4-A631-4F92-93BF-256A0B5F778F}"/>
    <cellStyle name="Standard 6 5 2 2" xfId="37792" xr:uid="{20B96326-A071-4869-8B8F-ECF9B936330C}"/>
    <cellStyle name="Standard 6 5 3" xfId="37791" xr:uid="{215137D9-05DE-4B40-866D-E3FC7B6BF8C0}"/>
    <cellStyle name="Standard 6 5 4" xfId="41660" xr:uid="{941A1CC7-9941-4D0B-B778-A58B0C03960C}"/>
    <cellStyle name="Standard 6 6" xfId="18356" xr:uid="{E5813059-F802-4E5B-A9F7-162F380D1B5A}"/>
    <cellStyle name="Standard 6 6 2" xfId="18357" xr:uid="{A060EE3B-5D80-4EBE-93C9-1EAF82E4D1C0}"/>
    <cellStyle name="Standard 6 6 2 2" xfId="37794" xr:uid="{E61E29D3-E089-483A-8C80-8FBCD4277932}"/>
    <cellStyle name="Standard 6 6 3" xfId="37793" xr:uid="{889C5068-FE6B-402B-AD35-5CCECAD16D07}"/>
    <cellStyle name="Standard 6 6 4" xfId="42189" xr:uid="{5568AF12-3024-4BC7-B0FF-6AECFE697C4B}"/>
    <cellStyle name="Standard 6 7" xfId="18358" xr:uid="{6D539D24-33E2-48E2-9482-59041830686D}"/>
    <cellStyle name="Standard 6 7 2" xfId="18359" xr:uid="{1EA40AC2-7A19-43E2-B4B6-832E8C15A310}"/>
    <cellStyle name="Standard 6 7 2 2" xfId="37796" xr:uid="{80A950B8-2732-45F0-A984-B97F8044BD15}"/>
    <cellStyle name="Standard 6 7 3" xfId="37795" xr:uid="{E7F037E1-F6C8-4C50-9918-7B069900C674}"/>
    <cellStyle name="Standard 6 8" xfId="18360" xr:uid="{A9534901-AF08-4416-B773-EFA7EA7D3012}"/>
    <cellStyle name="Standard 6 8 2" xfId="18361" xr:uid="{AEE5D598-2B59-4C16-93EE-BCC1D1C5F714}"/>
    <cellStyle name="Standard 6 8 2 2" xfId="37798" xr:uid="{C7E842B4-BAD3-411B-B1D8-BC7D5D39A0F9}"/>
    <cellStyle name="Standard 6 8 3" xfId="37797" xr:uid="{853138E4-FCA6-4C1D-B525-E34EE6C61C04}"/>
    <cellStyle name="Standard 6 9" xfId="18362" xr:uid="{0470BE45-8376-494B-B9B2-76498DE5A865}"/>
    <cellStyle name="Standard 6 9 2" xfId="18363" xr:uid="{B02D6685-F79C-4897-8BD2-6114DA97CCB4}"/>
    <cellStyle name="Standard 6 9 2 2" xfId="37800" xr:uid="{F77DEED7-9377-4303-8FC8-35C57EAB6175}"/>
    <cellStyle name="Standard 6 9 3" xfId="37799" xr:uid="{A305510E-885E-448E-A7FC-6F20A47930E5}"/>
    <cellStyle name="Standard 60" xfId="39806" xr:uid="{399792D8-A456-4D3F-877B-9FF344ED0468}"/>
    <cellStyle name="Standard 60 2" xfId="39807" xr:uid="{EE6A674A-041B-4C9E-AFB6-42B710685EF3}"/>
    <cellStyle name="Standard 60 2 2" xfId="40342" xr:uid="{CEF1CA05-5BE7-45D5-9E45-B5E1356E919C}"/>
    <cellStyle name="Standard 60 2 2 2" xfId="41246" xr:uid="{8A020931-CC6C-4523-BE6A-A0DFD13A330E}"/>
    <cellStyle name="Standard 60 2 2 3" xfId="42104" xr:uid="{2DACD1EB-5840-4008-9DE1-E0C554948777}"/>
    <cellStyle name="Standard 60 2 3" xfId="40803" xr:uid="{D4610295-C169-4671-8143-9C9CF70FA1C2}"/>
    <cellStyle name="Standard 60 2 4" xfId="41663" xr:uid="{AD2ECA94-65C0-45B9-9958-A4F16AB10D95}"/>
    <cellStyle name="Standard 60 3" xfId="40341" xr:uid="{7C29CB62-C118-430E-8A10-AB48A5A5D6AC}"/>
    <cellStyle name="Standard 60 3 2" xfId="41245" xr:uid="{1720264C-817B-4BCF-A72D-345155896CEB}"/>
    <cellStyle name="Standard 60 3 3" xfId="42103" xr:uid="{70D4D123-8752-4EA5-A5C1-6EDC47A7DDDC}"/>
    <cellStyle name="Standard 60 4" xfId="40802" xr:uid="{ECC0D9EA-1FB8-45E8-AE6A-3F9D933F3DDB}"/>
    <cellStyle name="Standard 60 5" xfId="41662" xr:uid="{284D178F-F889-46BF-AF38-D18702CE3A03}"/>
    <cellStyle name="Standard 61" xfId="42198" xr:uid="{376205B8-91A6-4DEE-9DDA-99E40208166D}"/>
    <cellStyle name="Standard 61 2" xfId="40343" xr:uid="{2B2F5BBD-8675-4208-ACD1-92366C857273}"/>
    <cellStyle name="Standard 62" xfId="39808" xr:uid="{19603BC8-AF5E-40DB-8F44-ABBE1C769DE3}"/>
    <cellStyle name="Standard 62 2" xfId="40345" xr:uid="{363D6591-9E8D-4F43-8545-6CB7718CFBB8}"/>
    <cellStyle name="Standard 62 2 2" xfId="41248" xr:uid="{E55A75BC-9B81-4735-8BDE-5C0AC8226561}"/>
    <cellStyle name="Standard 62 2 3" xfId="42106" xr:uid="{D24B6CF1-DA3D-4107-A319-AC6DED2ACC4D}"/>
    <cellStyle name="Standard 62 3" xfId="40344" xr:uid="{50FFE3C3-837B-4C6A-AD42-5D5946EA6C30}"/>
    <cellStyle name="Standard 62 3 2" xfId="41247" xr:uid="{7E7C4DAC-A23D-46C8-95EB-AEB67C1AE205}"/>
    <cellStyle name="Standard 62 3 3" xfId="42105" xr:uid="{4283760B-9D1F-484F-8D3F-CCEDD2288773}"/>
    <cellStyle name="Standard 62 4" xfId="40804" xr:uid="{1B6713D7-9747-49C9-9347-26B875CA50A9}"/>
    <cellStyle name="Standard 62 5" xfId="41664" xr:uid="{E5D8F126-990F-4A93-8F71-E4E1521762D1}"/>
    <cellStyle name="Standard 63" xfId="39809" xr:uid="{9EAE8D7A-CCEC-43FF-8302-87D3F7B2EE06}"/>
    <cellStyle name="Standard 63 2" xfId="40346" xr:uid="{9E53DCA5-1803-4651-9E3B-5EA7E9D3BE8D}"/>
    <cellStyle name="Standard 63 2 2" xfId="41249" xr:uid="{CF527FD5-1F2E-46A7-AA28-64B0162E155A}"/>
    <cellStyle name="Standard 63 2 3" xfId="42107" xr:uid="{33599720-C14A-429A-9500-E9A274BB3B1A}"/>
    <cellStyle name="Standard 63 3" xfId="40805" xr:uid="{03C92902-93DA-494E-8BAE-E41F78C87BD3}"/>
    <cellStyle name="Standard 63 4" xfId="41665" xr:uid="{0FDB7E34-7DCF-4FC7-9B8E-0FE69670CE2C}"/>
    <cellStyle name="Standard 64" xfId="39270" xr:uid="{4250A814-F3AB-451D-A911-14A867E47BAC}"/>
    <cellStyle name="Standard 65" xfId="39810" xr:uid="{982BE5F6-5B57-4667-83F3-29885F6D665C}"/>
    <cellStyle name="Standard 65 2" xfId="40347" xr:uid="{504CC91B-2FCB-441F-8D6D-0B167D4E9CAE}"/>
    <cellStyle name="Standard 65 2 2" xfId="41250" xr:uid="{AF133423-4B32-4FCF-B65F-11A3DBCC2885}"/>
    <cellStyle name="Standard 65 2 3" xfId="42108" xr:uid="{88C4BCDC-8F98-4C4D-B733-5134E5A6A731}"/>
    <cellStyle name="Standard 65 3" xfId="40806" xr:uid="{F89A1B6F-F904-4C2B-A865-EAD7613108D1}"/>
    <cellStyle name="Standard 65 4" xfId="41666" xr:uid="{42652BBB-83EC-4759-BAC5-0017E6894988}"/>
    <cellStyle name="Standard 66" xfId="39811" xr:uid="{D0A2BF5E-DA81-466D-8488-3AE93D59023D}"/>
    <cellStyle name="Standard 66 2" xfId="40348" xr:uid="{70296C49-D755-41F4-AE4E-4F947AF74BE2}"/>
    <cellStyle name="Standard 66 2 2" xfId="41251" xr:uid="{9EAAEB5A-43B0-43D9-9F38-816DBD26725A}"/>
    <cellStyle name="Standard 66 2 3" xfId="42109" xr:uid="{DD0A9603-F1DB-4CD3-9446-1FFC5C7C6AB5}"/>
    <cellStyle name="Standard 66 3" xfId="40807" xr:uid="{908FB5FC-991C-4558-9E00-0C28C006A4F3}"/>
    <cellStyle name="Standard 66 4" xfId="41667" xr:uid="{712D9578-DEC5-48B2-A6AC-8BD723189B6B}"/>
    <cellStyle name="Standard 67" xfId="39812" xr:uid="{3565B414-6F06-411C-AD83-2C02D31676D3}"/>
    <cellStyle name="Standard 67 2" xfId="40349" xr:uid="{4DE3531C-7F51-41D7-A18D-B35ADBB31BAA}"/>
    <cellStyle name="Standard 67 2 2" xfId="41252" xr:uid="{2712FBC0-3D4F-440C-B899-8B75CE89E599}"/>
    <cellStyle name="Standard 67 2 3" xfId="42110" xr:uid="{C1440F0F-8FF8-4AC8-972F-ECD6F6E8BD4A}"/>
    <cellStyle name="Standard 67 3" xfId="40808" xr:uid="{D7CFAA8F-3FE8-4195-B0C0-0068DDDBC93D}"/>
    <cellStyle name="Standard 67 4" xfId="41668" xr:uid="{1C4968A0-F67C-494E-9CB5-E904ECCF17E2}"/>
    <cellStyle name="Standard 68" xfId="39813" xr:uid="{AE55BE98-39BF-48D8-BE22-0BC66118F1D1}"/>
    <cellStyle name="Standard 68 2" xfId="40350" xr:uid="{82483601-2DBB-45E1-B481-2403269DCF5E}"/>
    <cellStyle name="Standard 68 2 2" xfId="41253" xr:uid="{4F39DA20-27E5-4F84-AEC3-157D79BA1C55}"/>
    <cellStyle name="Standard 68 2 3" xfId="42111" xr:uid="{676940C7-D4F0-49BD-BF66-EB8DC02F6F26}"/>
    <cellStyle name="Standard 68 3" xfId="40809" xr:uid="{E03EBFD1-9802-4647-8785-3ADBEBBD2FCC}"/>
    <cellStyle name="Standard 68 4" xfId="41669" xr:uid="{EFE1EBF6-61B2-46EE-804A-89A7504753C2}"/>
    <cellStyle name="Standard 69" xfId="39814" xr:uid="{0C4128B9-1ECC-4B1D-B769-724289226925}"/>
    <cellStyle name="Standard 69 2" xfId="40351" xr:uid="{29F1165A-80C5-4A6D-BEF3-DBEB5BC0D3CA}"/>
    <cellStyle name="Standard 69 2 2" xfId="41254" xr:uid="{83E0EDD7-8557-4048-8D18-D4FA30FC10AA}"/>
    <cellStyle name="Standard 69 2 3" xfId="42112" xr:uid="{411FE940-3F46-465F-AA4A-386205BFBAF7}"/>
    <cellStyle name="Standard 69 3" xfId="40810" xr:uid="{AF06C830-D4E4-40FE-A3DF-54120A5A322F}"/>
    <cellStyle name="Standard 69 4" xfId="41670" xr:uid="{DFDD2A61-FF44-4F49-8E0C-C32885CD1669}"/>
    <cellStyle name="Standard 7" xfId="3" xr:uid="{00000000-0005-0000-0000-00000A000000}"/>
    <cellStyle name="Standard 7 10" xfId="18364" xr:uid="{BC751263-869E-4D0B-8A7B-55F190763BC8}"/>
    <cellStyle name="Standard 7 10 2" xfId="18365" xr:uid="{3A72EDB9-B997-4AD1-8398-E954CF467C04}"/>
    <cellStyle name="Standard 7 10 2 2" xfId="37802" xr:uid="{0629CCD4-3481-4BEE-BDC7-5CCFD4B1C953}"/>
    <cellStyle name="Standard 7 10 3" xfId="37801" xr:uid="{32E06696-0846-4EE9-AE0E-699FCE8126B2}"/>
    <cellStyle name="Standard 7 11" xfId="18366" xr:uid="{357F6174-715C-429F-8236-BEBF28B10B52}"/>
    <cellStyle name="Standard 7 11 2" xfId="18367" xr:uid="{0480B386-BB36-43E5-9C95-2AFCF1DDF58D}"/>
    <cellStyle name="Standard 7 11 2 2" xfId="37804" xr:uid="{C6E345F1-66FA-4F55-926B-CF37A76F42EC}"/>
    <cellStyle name="Standard 7 11 3" xfId="37803" xr:uid="{191E196C-105D-4FFB-AD25-1092350B9E7D}"/>
    <cellStyle name="Standard 7 12" xfId="18368" xr:uid="{5530E2B6-A1D0-4EA3-B525-307393E78E90}"/>
    <cellStyle name="Standard 7 12 2" xfId="18369" xr:uid="{3A81F76F-4702-4762-A641-7070D11CBF2E}"/>
    <cellStyle name="Standard 7 12 2 2" xfId="37806" xr:uid="{75CEF4BE-AD4E-4187-8624-4B027277E1C1}"/>
    <cellStyle name="Standard 7 12 3" xfId="37805" xr:uid="{0ED0D288-C880-4113-B75A-F93A6A12A045}"/>
    <cellStyle name="Standard 7 13" xfId="18370" xr:uid="{CC558379-05A2-412A-BC54-B4B7DC39F6D6}"/>
    <cellStyle name="Standard 7 13 2" xfId="18371" xr:uid="{A11D66F6-49C0-4F85-89C1-61476B9F5F45}"/>
    <cellStyle name="Standard 7 13 2 2" xfId="37808" xr:uid="{622E3DF2-9849-4085-88FF-D321816DE7F3}"/>
    <cellStyle name="Standard 7 13 3" xfId="37807" xr:uid="{4A20B06D-4369-4294-9205-4079678E621B}"/>
    <cellStyle name="Standard 7 14" xfId="18372" xr:uid="{4A209925-E2EF-4C81-B0E6-F9A7212B4A81}"/>
    <cellStyle name="Standard 7 14 2" xfId="18373" xr:uid="{D177C3FA-BFFB-4798-952A-59A17E8E4713}"/>
    <cellStyle name="Standard 7 14 2 2" xfId="37810" xr:uid="{9CB5EFE4-D5BC-446B-B988-CF19170DCCC6}"/>
    <cellStyle name="Standard 7 14 3" xfId="37809" xr:uid="{89C0CB53-3C8A-4181-A264-752E2F1E3C98}"/>
    <cellStyle name="Standard 7 15" xfId="18374" xr:uid="{891F4BC2-D351-4789-A739-1A85675C0587}"/>
    <cellStyle name="Standard 7 15 2" xfId="18375" xr:uid="{7766860B-3EEE-41EC-B920-629D0DB27280}"/>
    <cellStyle name="Standard 7 15 2 2" xfId="37812" xr:uid="{D7BDF1B1-47A6-4BB1-9212-E7828A55C5F8}"/>
    <cellStyle name="Standard 7 15 3" xfId="37811" xr:uid="{8C4D4AB4-2886-4CFE-A4A8-05457D9B205E}"/>
    <cellStyle name="Standard 7 16" xfId="18376" xr:uid="{AB90DE65-F4E2-4FFD-BD13-4DD01005F5AB}"/>
    <cellStyle name="Standard 7 16 2" xfId="18377" xr:uid="{EDA6BB3A-AF76-45AE-94ED-80B674B82C39}"/>
    <cellStyle name="Standard 7 16 2 2" xfId="37814" xr:uid="{F65DFD60-3F8B-489B-BA4A-C02A656E3B5A}"/>
    <cellStyle name="Standard 7 16 3" xfId="37813" xr:uid="{1A2D074C-138A-43F0-B594-BC798C333F8D}"/>
    <cellStyle name="Standard 7 17" xfId="18378" xr:uid="{88F71DBF-995A-42FF-A9D3-14C3C871F851}"/>
    <cellStyle name="Standard 7 17 2" xfId="18379" xr:uid="{DB1409F5-AB2C-449E-8F3F-D19C1F2A15F9}"/>
    <cellStyle name="Standard 7 17 2 2" xfId="37816" xr:uid="{EA992A51-5D6D-49F3-88BF-08BBC4FB2C13}"/>
    <cellStyle name="Standard 7 17 3" xfId="37815" xr:uid="{6610EC2C-12B1-4D3B-9C0C-8DE87EA1EC63}"/>
    <cellStyle name="Standard 7 18" xfId="18380" xr:uid="{FBC15A8A-55CE-4509-85A4-7AB533D878C3}"/>
    <cellStyle name="Standard 7 18 2" xfId="18381" xr:uid="{DD48BD27-887C-4D69-85DB-26FF40A09AA3}"/>
    <cellStyle name="Standard 7 18 2 2" xfId="37818" xr:uid="{B271DB22-0E06-4641-B785-651C05675765}"/>
    <cellStyle name="Standard 7 18 3" xfId="37817" xr:uid="{3D629A9C-D8B8-4521-B0CF-226F1F85BDD8}"/>
    <cellStyle name="Standard 7 19" xfId="18382" xr:uid="{259BDDC7-885C-4130-8802-5B29C43A9246}"/>
    <cellStyle name="Standard 7 19 2" xfId="18383" xr:uid="{C7666B98-D4F9-40F1-AD1C-6964194C23AA}"/>
    <cellStyle name="Standard 7 19 2 2" xfId="37820" xr:uid="{5B1111CD-1012-4326-92FF-4370056888E0}"/>
    <cellStyle name="Standard 7 19 3" xfId="37819" xr:uid="{1EF0189D-8508-4404-BC47-C9442D873E49}"/>
    <cellStyle name="Standard 7 2" xfId="18384" xr:uid="{13A1E94A-06E6-42A6-A924-CF44E3135036}"/>
    <cellStyle name="Standard 7 2 2" xfId="18385" xr:uid="{CCE06A13-1191-4B72-BEC5-BEB062C14DB8}"/>
    <cellStyle name="Standard 7 2 2 2" xfId="37822" xr:uid="{7F238818-2552-40DA-A193-3B530BA579CC}"/>
    <cellStyle name="Standard 7 2 2 2 2" xfId="41256" xr:uid="{CE2A7785-6B41-45AD-B756-548B6DAAF31E}"/>
    <cellStyle name="Standard 7 2 2 3" xfId="42114" xr:uid="{33E52249-6656-498F-AE51-6B62949270F6}"/>
    <cellStyle name="Standard 7 2 2 4" xfId="40353" xr:uid="{3615BD37-E2E4-4138-83CD-F4DE3F80336F}"/>
    <cellStyle name="Standard 7 2 3" xfId="37821" xr:uid="{19A0FFE1-0F23-42A5-A25C-AC593B114AD6}"/>
    <cellStyle name="Standard 7 2 3 2" xfId="40812" xr:uid="{35D5268B-3C05-4AA5-BE41-CC5813BCEB61}"/>
    <cellStyle name="Standard 7 2 4" xfId="41672" xr:uid="{59873CE2-3DAB-4270-B3C1-4A815758005E}"/>
    <cellStyle name="Standard 7 2 5" xfId="39816" xr:uid="{EDCDF347-5D9F-4E78-9546-2E30F78DEFA3}"/>
    <cellStyle name="Standard 7 20" xfId="18386" xr:uid="{8F31BD47-8DE6-4299-A4DF-D5BF124B4E72}"/>
    <cellStyle name="Standard 7 20 2" xfId="18387" xr:uid="{C5719919-032C-4438-B092-3D60D527084C}"/>
    <cellStyle name="Standard 7 20 2 2" xfId="37824" xr:uid="{951AA46A-FAD6-42D6-8E4F-C5CCDB30B44A}"/>
    <cellStyle name="Standard 7 20 3" xfId="37823" xr:uid="{E0934C9B-301D-49E4-BD50-A4314D83EEC6}"/>
    <cellStyle name="Standard 7 21" xfId="18388" xr:uid="{80D1EB96-5DD5-47DB-A526-8EE2A483323E}"/>
    <cellStyle name="Standard 7 21 2" xfId="18389" xr:uid="{78A659A1-6D84-43E9-BAE3-9B080B32EEE1}"/>
    <cellStyle name="Standard 7 21 2 2" xfId="37826" xr:uid="{8A216E9B-0CA0-4CF2-B13A-20DDCF442BCB}"/>
    <cellStyle name="Standard 7 21 3" xfId="37825" xr:uid="{A926F9B7-3A45-448A-9D3E-6513B5C963D7}"/>
    <cellStyle name="Standard 7 22" xfId="18390" xr:uid="{478445F4-BFEC-44BB-AC52-A16D5CCEF01E}"/>
    <cellStyle name="Standard 7 22 2" xfId="37827" xr:uid="{D249757A-F299-422C-9ACF-FA5354118770}"/>
    <cellStyle name="Standard 7 23" xfId="18391" xr:uid="{12EB6903-29CB-4A34-9BE0-2DDBE2A90BA8}"/>
    <cellStyle name="Standard 7 23 2" xfId="37828" xr:uid="{3F327C93-A3CA-4EC1-88D1-4AFEC18A99D9}"/>
    <cellStyle name="Standard 7 24" xfId="39815" xr:uid="{F70B3CFB-7CF1-46BF-9A19-CA0AB4BE9AEA}"/>
    <cellStyle name="Standard 7 3" xfId="18392" xr:uid="{9BA2689A-B098-43D7-A304-2CA05CA437B2}"/>
    <cellStyle name="Standard 7 3 2" xfId="18393" xr:uid="{AB896639-872D-434E-B4F7-CCB1ACB8298F}"/>
    <cellStyle name="Standard 7 3 2 2" xfId="37830" xr:uid="{77EF4219-D2C8-4C12-858A-2F1A00DEB3FC}"/>
    <cellStyle name="Standard 7 3 2 3" xfId="41255" xr:uid="{A8B2BE44-C43F-4153-B4EC-73A88383B887}"/>
    <cellStyle name="Standard 7 3 3" xfId="37829" xr:uid="{79F50BAE-CC58-4264-A100-547415D1918B}"/>
    <cellStyle name="Standard 7 3 3 2" xfId="42113" xr:uid="{73738B7F-3745-44AD-A979-924951AB3512}"/>
    <cellStyle name="Standard 7 3 4" xfId="40352" xr:uid="{06206331-834D-4358-9BC0-4D06EC3369FB}"/>
    <cellStyle name="Standard 7 4" xfId="18394" xr:uid="{74A861A8-4A78-4269-ABB5-A45A7B8D648D}"/>
    <cellStyle name="Standard 7 4 2" xfId="18395" xr:uid="{16BAFEB2-2F07-4C47-BF48-B156C8821FB1}"/>
    <cellStyle name="Standard 7 4 2 2" xfId="37832" xr:uid="{80970798-4D23-471C-9A2E-FA6514E30038}"/>
    <cellStyle name="Standard 7 4 3" xfId="37831" xr:uid="{4B9488A3-578D-45BF-B078-CCEE25499BA7}"/>
    <cellStyle name="Standard 7 4 4" xfId="40811" xr:uid="{6D5E9FEE-45BA-4D70-BE2B-3721CD5595EB}"/>
    <cellStyle name="Standard 7 5" xfId="18396" xr:uid="{F317E7FA-23AB-4085-A576-F926645DF4AC}"/>
    <cellStyle name="Standard 7 5 2" xfId="18397" xr:uid="{23B40476-EF78-48BD-A6AC-E7636770BF77}"/>
    <cellStyle name="Standard 7 5 2 2" xfId="37834" xr:uid="{880524EE-1652-4784-B5A8-98EA2A9F4221}"/>
    <cellStyle name="Standard 7 5 3" xfId="37833" xr:uid="{F912E225-AE2C-432C-9A90-730C2A98B21E}"/>
    <cellStyle name="Standard 7 5 4" xfId="41671" xr:uid="{0C049BD1-058B-4427-BEFB-35B86EDFEBD6}"/>
    <cellStyle name="Standard 7 6" xfId="18398" xr:uid="{CF34A8AC-B8DA-4E46-A1C9-BCF1C950EDC3}"/>
    <cellStyle name="Standard 7 6 2" xfId="18399" xr:uid="{A6BB066C-29D1-49F6-B484-2904C6B2A018}"/>
    <cellStyle name="Standard 7 6 2 2" xfId="37836" xr:uid="{5146CD80-55B2-4432-BD60-17E4BBBFC9F3}"/>
    <cellStyle name="Standard 7 6 3" xfId="37835" xr:uid="{BC49A846-FD4F-4599-A6BB-0434DC305734}"/>
    <cellStyle name="Standard 7 7" xfId="18400" xr:uid="{7032CF86-0579-42E3-850A-6D5FDF86666D}"/>
    <cellStyle name="Standard 7 7 2" xfId="18401" xr:uid="{C2BFC955-2621-4094-A528-EA529AFF908A}"/>
    <cellStyle name="Standard 7 7 2 2" xfId="37838" xr:uid="{7FCB8B5A-0863-4568-B134-E63236FB43C6}"/>
    <cellStyle name="Standard 7 7 3" xfId="37837" xr:uid="{0A1BB41E-8D6A-4C75-BB28-EB30333C48A4}"/>
    <cellStyle name="Standard 7 8" xfId="18402" xr:uid="{946E00F7-9F42-466C-A2D4-5EAA56B21A90}"/>
    <cellStyle name="Standard 7 8 2" xfId="18403" xr:uid="{2B312866-19A9-4AA5-BDD7-E3D2A5B85CA0}"/>
    <cellStyle name="Standard 7 8 2 2" xfId="37840" xr:uid="{F21853F6-167C-4903-A13F-C0A3327FEBB3}"/>
    <cellStyle name="Standard 7 8 3" xfId="37839" xr:uid="{9BA1DD77-4134-427F-9A0B-0173C6087025}"/>
    <cellStyle name="Standard 7 9" xfId="18404" xr:uid="{69768519-9F06-4B5A-9274-8E3D95142CEB}"/>
    <cellStyle name="Standard 7 9 2" xfId="18405" xr:uid="{107C70E1-CDFF-4211-9DE2-A5451B44BBF2}"/>
    <cellStyle name="Standard 7 9 2 2" xfId="37842" xr:uid="{F9B4923B-C7A5-41A3-A54C-BA501B29F15F}"/>
    <cellStyle name="Standard 7 9 3" xfId="37841" xr:uid="{BF5A7FE9-CB68-41E3-A8A4-33860AC10C3D}"/>
    <cellStyle name="Standard 70" xfId="39817" xr:uid="{51C96268-00D2-40D6-83AE-41FB102E8E90}"/>
    <cellStyle name="Standard 70 2" xfId="40354" xr:uid="{BC690717-9093-4FBB-B750-D304AB2A840F}"/>
    <cellStyle name="Standard 70 2 2" xfId="41257" xr:uid="{FF676F6A-0CE7-4E0D-9AD0-588426CF2EEA}"/>
    <cellStyle name="Standard 70 2 3" xfId="42115" xr:uid="{FABA0CAA-CDBC-40EB-98D3-AB8B048EA513}"/>
    <cellStyle name="Standard 70 3" xfId="40813" xr:uid="{ADFDB98D-A096-455D-AC66-AC62A029F598}"/>
    <cellStyle name="Standard 70 4" xfId="41673" xr:uid="{AA4B0744-4202-4663-ADE6-BFB95C4DF95A}"/>
    <cellStyle name="Standard 71" xfId="39818" xr:uid="{1A400ED9-CB97-483C-97A4-417A409FDA65}"/>
    <cellStyle name="Standard 71 2" xfId="40355" xr:uid="{AE7CF802-F0EF-42AC-89C2-B39422A02DA2}"/>
    <cellStyle name="Standard 71 2 2" xfId="41258" xr:uid="{11A8659E-100A-471A-BAE3-84A923BC8492}"/>
    <cellStyle name="Standard 71 2 3" xfId="42116" xr:uid="{357467AE-F42B-4DB6-9097-A97D5D2A7466}"/>
    <cellStyle name="Standard 71 3" xfId="40814" xr:uid="{0281265D-4094-4E8C-9404-A4FA79C9E754}"/>
    <cellStyle name="Standard 71 4" xfId="41674" xr:uid="{06DEF20C-6283-48B4-9AE7-4F891DA1D5F9}"/>
    <cellStyle name="Standard 72" xfId="39819" xr:uid="{A6EBDF47-B500-47CD-9989-FE4D975060F6}"/>
    <cellStyle name="Standard 73" xfId="39820" xr:uid="{3AFA2BFD-D9A0-4987-A718-8E2087B63FE9}"/>
    <cellStyle name="Standard 73 2" xfId="40356" xr:uid="{74F4E24E-2C62-4320-9759-E9CA77A8A730}"/>
    <cellStyle name="Standard 73 2 2" xfId="41259" xr:uid="{59388B71-001E-4B01-8DFA-2E3B8D29DFFE}"/>
    <cellStyle name="Standard 73 2 3" xfId="42117" xr:uid="{56FFD464-BA51-4DD4-8533-1CA6C4D50AC5}"/>
    <cellStyle name="Standard 73 3" xfId="40815" xr:uid="{B0E66915-2220-4758-AE44-E2D5C444FFCB}"/>
    <cellStyle name="Standard 73 4" xfId="41675" xr:uid="{A5205644-3B27-4019-9840-44D1C5635456}"/>
    <cellStyle name="Standard 74" xfId="39821" xr:uid="{19133A07-946A-4F1E-B676-AC39482212EE}"/>
    <cellStyle name="Standard 74 2" xfId="40357" xr:uid="{84C32122-B973-4891-A355-2404A7BA87B6}"/>
    <cellStyle name="Standard 74 2 2" xfId="41260" xr:uid="{931745D0-519C-4054-9E57-B29CF58F52AC}"/>
    <cellStyle name="Standard 74 2 3" xfId="42118" xr:uid="{1BE3A5AA-81AE-429A-B835-36D457729645}"/>
    <cellStyle name="Standard 74 3" xfId="40816" xr:uid="{270121F8-3E4C-4396-981A-37432A7B0BD7}"/>
    <cellStyle name="Standard 74 4" xfId="41676" xr:uid="{143F5C59-DB13-4E06-840B-03ABF98A3FE1}"/>
    <cellStyle name="Standard 75" xfId="39822" xr:uid="{F887BB85-CB5A-465B-BA66-DC5A5FF8AAEF}"/>
    <cellStyle name="Standard 75 2" xfId="40358" xr:uid="{9D87AD11-9632-4523-9470-7AAB4CCFEA23}"/>
    <cellStyle name="Standard 75 2 2" xfId="41261" xr:uid="{AD943EDE-D93C-4708-B968-B31DE70A1EE6}"/>
    <cellStyle name="Standard 75 2 3" xfId="42119" xr:uid="{2F695297-B57A-4CE2-BD72-A29C33F24774}"/>
    <cellStyle name="Standard 75 3" xfId="40817" xr:uid="{36604D33-FA04-4E59-B0CD-A1902946C95E}"/>
    <cellStyle name="Standard 75 4" xfId="41677" xr:uid="{4C607C2A-832A-443E-86CB-C32416E76015}"/>
    <cellStyle name="Standard 76" xfId="39823" xr:uid="{D4B0060B-CD83-4D7B-A0B8-074C79A5F3F9}"/>
    <cellStyle name="Standard 76 2" xfId="40359" xr:uid="{94E11B51-1915-44F7-8A1B-FBDC2A273A4F}"/>
    <cellStyle name="Standard 76 2 2" xfId="41262" xr:uid="{974ADEED-223E-44BC-AF8F-818A251F939D}"/>
    <cellStyle name="Standard 76 2 3" xfId="42120" xr:uid="{F758EE64-53BA-4FE7-94CE-4640635F97D3}"/>
    <cellStyle name="Standard 76 3" xfId="40818" xr:uid="{E11424D9-D9F1-442F-8BE5-E6BCF2CDDF62}"/>
    <cellStyle name="Standard 76 4" xfId="41678" xr:uid="{DAEC64A7-0D3F-4CAF-B16E-1F8CEE09BC15}"/>
    <cellStyle name="Standard 77" xfId="39824" xr:uid="{DD081A91-3AC0-4194-BBA1-8895BAD6DCE3}"/>
    <cellStyle name="Standard 77 2" xfId="40360" xr:uid="{770B3F0A-6CB0-4D68-BEC8-447162D21CB2}"/>
    <cellStyle name="Standard 77 2 2" xfId="41263" xr:uid="{B5CCCE4D-3173-4A0F-9ED2-3369419BE951}"/>
    <cellStyle name="Standard 77 2 3" xfId="42121" xr:uid="{4192AF5D-FE83-4DA1-952A-D0CEABA4DD8B}"/>
    <cellStyle name="Standard 77 3" xfId="40819" xr:uid="{096961D4-E3BA-4DD0-9549-2F0D7F5531F9}"/>
    <cellStyle name="Standard 77 4" xfId="41679" xr:uid="{31044C18-0FBD-4785-9E41-1567BEC52F5C}"/>
    <cellStyle name="Standard 78" xfId="39825" xr:uid="{FA9699DA-2D68-483C-91A3-34EABC5C9886}"/>
    <cellStyle name="Standard 78 2" xfId="40361" xr:uid="{D7E2C087-5E4F-478B-9FB3-856A2707C90A}"/>
    <cellStyle name="Standard 78 2 2" xfId="41264" xr:uid="{56919481-9ED8-49A2-BCE0-B0DB2ADEC97D}"/>
    <cellStyle name="Standard 78 2 3" xfId="42122" xr:uid="{2AE6FA7D-8EEC-4932-BE49-698CC2690736}"/>
    <cellStyle name="Standard 78 3" xfId="40820" xr:uid="{F94898EC-5941-4A65-B091-310108A4BBCA}"/>
    <cellStyle name="Standard 78 4" xfId="41680" xr:uid="{8394EF49-6D9E-4F8B-BA85-9ED8F508BB83}"/>
    <cellStyle name="Standard 79" xfId="39826" xr:uid="{CA22AEB6-DE2A-4E11-A440-C4FF6673950C}"/>
    <cellStyle name="Standard 79 2" xfId="40362" xr:uid="{34B62299-72F8-48CD-85F6-0BB7B01F907C}"/>
    <cellStyle name="Standard 79 2 2" xfId="41265" xr:uid="{92120255-8E7D-46B1-A8D3-67C9967D315B}"/>
    <cellStyle name="Standard 79 2 3" xfId="42123" xr:uid="{D466B851-4F1D-4209-AB6C-55AA6FA08C24}"/>
    <cellStyle name="Standard 79 3" xfId="40821" xr:uid="{E52C852F-CF23-4B28-9D85-1E98B202A8BE}"/>
    <cellStyle name="Standard 79 4" xfId="41681" xr:uid="{FCEB1D6D-F6D2-4980-9D0E-F2FB24360858}"/>
    <cellStyle name="Standard 8" xfId="39827" xr:uid="{BD3A1521-11F3-4D21-BDB6-AEC0800C7316}"/>
    <cellStyle name="Standard 8 10" xfId="18406" xr:uid="{3C03DCBF-9515-49CF-9DE5-41230BF3C81C}"/>
    <cellStyle name="Standard 8 10 2" xfId="18407" xr:uid="{E3CBF212-CDAC-4CDB-9603-0ADB02C3062A}"/>
    <cellStyle name="Standard 8 10 2 2" xfId="37844" xr:uid="{7A1B9811-D8BB-4CEE-9764-780B85BCA65E}"/>
    <cellStyle name="Standard 8 10 3" xfId="37843" xr:uid="{F06765CA-2332-454B-B88D-459CA8921F5F}"/>
    <cellStyle name="Standard 8 11" xfId="18408" xr:uid="{49B970FE-2F3B-40C4-B524-F1912A746104}"/>
    <cellStyle name="Standard 8 11 2" xfId="18409" xr:uid="{DF1AAEE5-7827-47DA-BE8C-7F0AFB68CE35}"/>
    <cellStyle name="Standard 8 11 2 2" xfId="37846" xr:uid="{37DCD03E-DF3C-4F55-8A9F-C6B8809A9415}"/>
    <cellStyle name="Standard 8 11 3" xfId="37845" xr:uid="{707D2B95-00D3-45A0-B7C9-773AD1B89F1A}"/>
    <cellStyle name="Standard 8 12" xfId="18410" xr:uid="{8B283F57-C5B3-48F2-9962-BAF58C3A9240}"/>
    <cellStyle name="Standard 8 12 2" xfId="18411" xr:uid="{6C92E215-FACC-426E-BFBC-402C96C561D2}"/>
    <cellStyle name="Standard 8 12 2 2" xfId="37848" xr:uid="{B290D8A3-728E-4955-A6DD-65A932EF78A8}"/>
    <cellStyle name="Standard 8 12 3" xfId="37847" xr:uid="{2AFC41BC-FC7B-4878-A893-2494F0A86E5C}"/>
    <cellStyle name="Standard 8 13" xfId="18412" xr:uid="{1DEE6ED6-2AFF-47CF-8B61-353A2CF246B1}"/>
    <cellStyle name="Standard 8 13 2" xfId="18413" xr:uid="{0449E395-7208-4184-8BA2-9496979775B6}"/>
    <cellStyle name="Standard 8 13 2 2" xfId="37850" xr:uid="{CCBB5ACD-351E-48D1-924D-358CBEF8FC4F}"/>
    <cellStyle name="Standard 8 13 3" xfId="37849" xr:uid="{179835E1-453B-4EF8-A8E9-84F3C35F28BB}"/>
    <cellStyle name="Standard 8 14" xfId="18414" xr:uid="{B48464FE-8E43-4DE3-9022-4D25B6AF7F96}"/>
    <cellStyle name="Standard 8 14 2" xfId="18415" xr:uid="{661800D9-08C5-4C95-A767-D5650D031A12}"/>
    <cellStyle name="Standard 8 14 2 2" xfId="37852" xr:uid="{FA0A2564-B9BC-42CF-A16B-7FFAEE625C44}"/>
    <cellStyle name="Standard 8 14 3" xfId="37851" xr:uid="{68ECD236-7958-48AC-A664-D018FD0AA416}"/>
    <cellStyle name="Standard 8 15" xfId="18416" xr:uid="{C7FFBEA4-8E49-4B1D-9AEC-F8BD2CE8EE75}"/>
    <cellStyle name="Standard 8 15 2" xfId="18417" xr:uid="{F7DC4483-4FFC-4B8C-8B33-705AFD938E77}"/>
    <cellStyle name="Standard 8 15 2 2" xfId="37854" xr:uid="{782BC55F-033B-4D9E-9DF1-8160F11A3F5D}"/>
    <cellStyle name="Standard 8 15 3" xfId="37853" xr:uid="{C1AD7012-17B0-4B5D-BCA3-F5A812586433}"/>
    <cellStyle name="Standard 8 16" xfId="18418" xr:uid="{F274EF17-37D2-4DF0-B6B1-BD75FB07895F}"/>
    <cellStyle name="Standard 8 16 2" xfId="18419" xr:uid="{C2271A87-6B78-4D44-B9EB-0B15DEE924C4}"/>
    <cellStyle name="Standard 8 16 2 2" xfId="37856" xr:uid="{5A9CE42C-05E9-470E-B1D9-DE6A5B228326}"/>
    <cellStyle name="Standard 8 16 3" xfId="37855" xr:uid="{5DE5F69A-14BB-4E43-9D04-A20301C39A58}"/>
    <cellStyle name="Standard 8 17" xfId="18420" xr:uid="{1AEC6A19-F2B6-476E-B38E-8798ADD212F9}"/>
    <cellStyle name="Standard 8 17 2" xfId="18421" xr:uid="{53CB1FFE-675D-4D74-9A10-AB02665C0BDE}"/>
    <cellStyle name="Standard 8 17 2 2" xfId="37858" xr:uid="{F1077F30-E288-42CF-A997-7A770BB68B41}"/>
    <cellStyle name="Standard 8 17 3" xfId="37857" xr:uid="{8A24E48D-71B5-4FC9-B30B-9CA67137DE31}"/>
    <cellStyle name="Standard 8 18" xfId="18422" xr:uid="{72570D63-B91E-4CE0-8635-651FCC01E2F2}"/>
    <cellStyle name="Standard 8 18 2" xfId="18423" xr:uid="{A182EE29-177A-4407-9B06-BD401BAA67FA}"/>
    <cellStyle name="Standard 8 18 2 2" xfId="37860" xr:uid="{7793B414-48F6-46CF-8E99-3687B513C6B6}"/>
    <cellStyle name="Standard 8 18 3" xfId="37859" xr:uid="{C24812D6-12B7-485C-B653-BEBF49AEAD03}"/>
    <cellStyle name="Standard 8 19" xfId="18424" xr:uid="{31D51D71-CABC-42F3-B172-B70CFB233149}"/>
    <cellStyle name="Standard 8 19 2" xfId="18425" xr:uid="{0060C4BF-D4CC-4D4F-BCBB-F53F29699F34}"/>
    <cellStyle name="Standard 8 19 2 2" xfId="37862" xr:uid="{FD20E1DD-B4E4-4EEB-A11B-03BE51FC5F3E}"/>
    <cellStyle name="Standard 8 19 3" xfId="37861" xr:uid="{6919BA94-347B-4E68-92A0-5F656940B9A4}"/>
    <cellStyle name="Standard 8 2" xfId="18426" xr:uid="{C415D40B-A424-4979-A2D4-3AF3E6480230}"/>
    <cellStyle name="Standard 8 2 2" xfId="18427" xr:uid="{ECA14F85-EF02-4B99-A18C-B4034D671E73}"/>
    <cellStyle name="Standard 8 2 2 2" xfId="37864" xr:uid="{3B1B3CC1-FFAE-4EAE-B648-3D29E18E7365}"/>
    <cellStyle name="Standard 8 2 2 2 2" xfId="41267" xr:uid="{D2B6F95F-B149-46B1-B696-B0FAB61DB3F9}"/>
    <cellStyle name="Standard 8 2 2 3" xfId="42125" xr:uid="{74FB12D0-D4C2-4DEF-81B2-24EE4E079AD2}"/>
    <cellStyle name="Standard 8 2 2 4" xfId="40364" xr:uid="{C2148466-7E7C-4EC0-ABAE-72545C0EF6E9}"/>
    <cellStyle name="Standard 8 2 3" xfId="37863" xr:uid="{2EE27D1D-CBD0-40D7-A3B2-4DF04FD03A95}"/>
    <cellStyle name="Standard 8 2 3 2" xfId="40823" xr:uid="{E140F549-0DDA-4657-AF4C-16FF058BB658}"/>
    <cellStyle name="Standard 8 2 4" xfId="41683" xr:uid="{4A4985C7-4A22-4D98-AB0E-60980E532B81}"/>
    <cellStyle name="Standard 8 2 5" xfId="39828" xr:uid="{A5BBA322-4FB0-4C46-B2B8-12F74259F87A}"/>
    <cellStyle name="Standard 8 20" xfId="18428" xr:uid="{5BA89CC1-F67D-47FC-95CB-4C4B617D224E}"/>
    <cellStyle name="Standard 8 20 2" xfId="18429" xr:uid="{39AD781A-7E70-48E8-AE0F-B9CE613F1E8C}"/>
    <cellStyle name="Standard 8 20 2 2" xfId="37866" xr:uid="{DAA10978-EB35-4F31-BDC8-F09D2D88D5E2}"/>
    <cellStyle name="Standard 8 20 3" xfId="37865" xr:uid="{2CD759E3-EC9C-49DC-ACF2-AFC090FD54D5}"/>
    <cellStyle name="Standard 8 21" xfId="18430" xr:uid="{AC2CE4D9-EC8A-490D-B2B8-ACDF08C3F2D7}"/>
    <cellStyle name="Standard 8 21 2" xfId="18431" xr:uid="{CBE890BF-44D3-496B-99C8-DAEFF85084D9}"/>
    <cellStyle name="Standard 8 21 2 2" xfId="37868" xr:uid="{A297D7CA-DD85-4D98-B02C-C4A6D1AB9D81}"/>
    <cellStyle name="Standard 8 21 3" xfId="37867" xr:uid="{092DB7CA-AFFB-4CF4-A989-B9E0F1A94DC4}"/>
    <cellStyle name="Standard 8 22" xfId="18432" xr:uid="{570DEED9-6EF6-49B1-9443-33DD3C9D8049}"/>
    <cellStyle name="Standard 8 22 2" xfId="37869" xr:uid="{0DA7E97A-ED57-4660-A624-52140C0D9852}"/>
    <cellStyle name="Standard 8 23" xfId="18433" xr:uid="{EFD12B67-9C54-4461-A890-FE8C486AAE19}"/>
    <cellStyle name="Standard 8 23 2" xfId="37870" xr:uid="{43965CAB-5F11-41AE-BAF7-13BA5DA5787C}"/>
    <cellStyle name="Standard 8 3" xfId="18434" xr:uid="{C16C706C-254D-40A1-8F05-0E2D28B72BF5}"/>
    <cellStyle name="Standard 8 3 2" xfId="18435" xr:uid="{3F18B714-1714-48CC-A637-9A6257B5FFF5}"/>
    <cellStyle name="Standard 8 3 2 2" xfId="37872" xr:uid="{FF4D4ADB-620F-406A-BB70-20EF059969FB}"/>
    <cellStyle name="Standard 8 3 2 3" xfId="41266" xr:uid="{ECACCC0B-2452-4915-AAA2-5C16CC15D650}"/>
    <cellStyle name="Standard 8 3 3" xfId="37871" xr:uid="{8967E1E6-6112-445A-B6AB-97D3179B81F7}"/>
    <cellStyle name="Standard 8 3 3 2" xfId="42124" xr:uid="{3357520E-BD6C-479F-90F0-D4CADC585A06}"/>
    <cellStyle name="Standard 8 3 4" xfId="40363" xr:uid="{25373D58-7B48-4AC3-8260-C3A7D824155A}"/>
    <cellStyle name="Standard 8 4" xfId="18436" xr:uid="{B9770E44-949A-4BEF-8B1E-84C8DDFEC948}"/>
    <cellStyle name="Standard 8 4 2" xfId="18437" xr:uid="{F1B3A840-4DAE-4A0C-AA7A-BEA81E18D725}"/>
    <cellStyle name="Standard 8 4 2 2" xfId="37874" xr:uid="{75E9D705-E3F0-47EB-9FFC-682724409B46}"/>
    <cellStyle name="Standard 8 4 3" xfId="37873" xr:uid="{AC257AB8-A950-4419-BE5F-530F7E6D9B87}"/>
    <cellStyle name="Standard 8 4 4" xfId="40822" xr:uid="{90AC25D4-9734-4D73-BD92-B53703CF0022}"/>
    <cellStyle name="Standard 8 5" xfId="18438" xr:uid="{82CABD56-6846-400C-AAA3-12662ECEE817}"/>
    <cellStyle name="Standard 8 5 2" xfId="18439" xr:uid="{FD04D5C0-6D36-43D1-9B16-73F47AA3EF48}"/>
    <cellStyle name="Standard 8 5 2 2" xfId="37876" xr:uid="{1F50D5C6-C613-48E5-8010-3325B20EE311}"/>
    <cellStyle name="Standard 8 5 3" xfId="37875" xr:uid="{14656A76-458B-4AA0-946E-5D0CA264C268}"/>
    <cellStyle name="Standard 8 5 4" xfId="41682" xr:uid="{AC3E7FB7-7280-4188-AE6F-EB5EDAC73DE2}"/>
    <cellStyle name="Standard 8 6" xfId="18440" xr:uid="{10CE0C91-24A3-4F6D-BDDC-17977736B157}"/>
    <cellStyle name="Standard 8 6 2" xfId="18441" xr:uid="{DCCCE9B8-2714-45D5-A017-4DACB50795CA}"/>
    <cellStyle name="Standard 8 6 2 2" xfId="37878" xr:uid="{5C1CDA96-067A-4C56-B40C-E0EBA5FEE6BC}"/>
    <cellStyle name="Standard 8 6 3" xfId="37877" xr:uid="{5F505198-9B17-4C76-B8BB-F11E2ED605FF}"/>
    <cellStyle name="Standard 8 7" xfId="18442" xr:uid="{525D34F2-AA7F-4963-88A3-309AF00B84DC}"/>
    <cellStyle name="Standard 8 7 2" xfId="18443" xr:uid="{1D0AE3FC-6636-44F0-82B3-9A3A7906B6C7}"/>
    <cellStyle name="Standard 8 7 2 2" xfId="37880" xr:uid="{40C4743E-8585-4170-A9CE-B3B156329643}"/>
    <cellStyle name="Standard 8 7 3" xfId="37879" xr:uid="{B9EBFA04-44B2-4AE3-8AD6-3C3E0F85F23D}"/>
    <cellStyle name="Standard 8 8" xfId="18444" xr:uid="{CDFA735A-D952-4E77-893C-0CC79BE12989}"/>
    <cellStyle name="Standard 8 8 2" xfId="18445" xr:uid="{E26BD2CF-2416-4ED8-99CD-B855FDA08D66}"/>
    <cellStyle name="Standard 8 8 2 2" xfId="37882" xr:uid="{EE0956B1-AD64-4A16-A920-B5DDA51BCA14}"/>
    <cellStyle name="Standard 8 8 3" xfId="37881" xr:uid="{43D49543-33BD-4DD9-BECF-F06880D1FA29}"/>
    <cellStyle name="Standard 8 9" xfId="18446" xr:uid="{85BA807D-7DDA-4950-92C5-0BDAF6709358}"/>
    <cellStyle name="Standard 8 9 2" xfId="18447" xr:uid="{FFB033A2-1224-4964-A8AF-799EB18DB33F}"/>
    <cellStyle name="Standard 8 9 2 2" xfId="37884" xr:uid="{1641E758-83F3-417A-8814-8DA541F2A6F1}"/>
    <cellStyle name="Standard 8 9 3" xfId="37883" xr:uid="{23150DFB-529F-44E0-99B4-C021114D3990}"/>
    <cellStyle name="Standard 80" xfId="39829" xr:uid="{212C56B9-6E5D-41B7-A05A-089F55936F43}"/>
    <cellStyle name="Standard 80 2" xfId="40365" xr:uid="{FCC234FD-E960-4A18-8AE1-4B85F9927860}"/>
    <cellStyle name="Standard 80 2 2" xfId="41268" xr:uid="{542B5A7E-49B9-4BDB-9B67-1A372C387B42}"/>
    <cellStyle name="Standard 80 2 3" xfId="42126" xr:uid="{D39368FA-C488-4180-BFDE-2CB6EAECEDF1}"/>
    <cellStyle name="Standard 80 3" xfId="40824" xr:uid="{289831C0-3BD1-40DC-AE07-9C9A4E0E5B8D}"/>
    <cellStyle name="Standard 80 4" xfId="41684" xr:uid="{A07AD901-4EAC-49C5-8790-C611E552831D}"/>
    <cellStyle name="Standard 81" xfId="39830" xr:uid="{1AE2B9C2-4595-4358-A11D-58B08FA62636}"/>
    <cellStyle name="Standard 81 2" xfId="40366" xr:uid="{B497D268-5033-4156-9D9C-1E5596BFB811}"/>
    <cellStyle name="Standard 81 2 2" xfId="41269" xr:uid="{30C0409B-8BE1-4231-8A6A-BEA34DD49392}"/>
    <cellStyle name="Standard 81 2 3" xfId="42127" xr:uid="{97210F05-E935-4E03-9445-50FD51CDEDFD}"/>
    <cellStyle name="Standard 81 3" xfId="40825" xr:uid="{33A4C517-54F5-4CF1-9C33-30F51AB88968}"/>
    <cellStyle name="Standard 81 4" xfId="41685" xr:uid="{FD03BF80-BD81-4561-938E-26D8DA11A7EB}"/>
    <cellStyle name="Standard 82" xfId="39831" xr:uid="{1BF2CF60-EDD7-4D68-BA81-CD3ED782D8C1}"/>
    <cellStyle name="Standard 82 2" xfId="40367" xr:uid="{08A44799-FA81-4802-A89F-D8E8DB203DFC}"/>
    <cellStyle name="Standard 82 2 2" xfId="41270" xr:uid="{539D64E4-FEE2-4580-BFDB-7BEBA389397D}"/>
    <cellStyle name="Standard 82 2 3" xfId="42128" xr:uid="{4370E2DE-6105-4EEA-866F-EADE0929E73F}"/>
    <cellStyle name="Standard 82 3" xfId="40826" xr:uid="{F0F5C72E-C4D4-4E58-9655-86CA5BE3FCF8}"/>
    <cellStyle name="Standard 82 4" xfId="41686" xr:uid="{C35504EF-DC8A-441F-B578-BEA81748A3C1}"/>
    <cellStyle name="Standard 83" xfId="39832" xr:uid="{C2F83774-663D-4390-94F5-B265307F753E}"/>
    <cellStyle name="Standard 83 2" xfId="40368" xr:uid="{C6AE1CFA-4139-4E0C-896B-A3E73070780C}"/>
    <cellStyle name="Standard 83 2 2" xfId="41271" xr:uid="{24FCB1E8-C346-4D02-8ABD-10772FAB4654}"/>
    <cellStyle name="Standard 83 2 3" xfId="42129" xr:uid="{82DAC2A0-0987-470C-B3E8-C9F4BE3C1647}"/>
    <cellStyle name="Standard 83 3" xfId="40827" xr:uid="{A2CE43B8-8071-46C9-AFC3-3A5CF00BF464}"/>
    <cellStyle name="Standard 83 4" xfId="41687" xr:uid="{9E85C4F0-205B-4F1F-A748-F6289257714B}"/>
    <cellStyle name="Standard 84" xfId="39833" xr:uid="{CA7EA19B-9CF4-4683-857A-5058B477322E}"/>
    <cellStyle name="Standard 84 2" xfId="40369" xr:uid="{A0F02944-C4ED-4485-BC39-C9480A3B112B}"/>
    <cellStyle name="Standard 84 2 2" xfId="41272" xr:uid="{F0BDD7B9-83C9-4C1C-8536-2E4F17DEE72C}"/>
    <cellStyle name="Standard 84 2 3" xfId="42130" xr:uid="{B34C9E8E-E589-42CF-8A6D-57FD2E887A90}"/>
    <cellStyle name="Standard 84 3" xfId="40828" xr:uid="{6DD7D5FF-C239-43D3-AF47-608A1FA343AF}"/>
    <cellStyle name="Standard 84 4" xfId="41688" xr:uid="{87B9A86E-23D2-4A95-9FF9-15F93A362A9B}"/>
    <cellStyle name="Standard 85" xfId="39834" xr:uid="{C046D86A-B934-4339-8EED-90E2B9D9C3DA}"/>
    <cellStyle name="Standard 85 2" xfId="40370" xr:uid="{AA137337-034F-47BC-A699-515519A09ADD}"/>
    <cellStyle name="Standard 85 2 2" xfId="41273" xr:uid="{221F388A-2458-46BF-9D01-2E457EE952F9}"/>
    <cellStyle name="Standard 85 2 3" xfId="42131" xr:uid="{ED275C9B-8155-4183-9862-4DB29DF5554D}"/>
    <cellStyle name="Standard 85 3" xfId="40829" xr:uid="{06F9B689-FE3C-4370-AB74-9208062482AE}"/>
    <cellStyle name="Standard 85 4" xfId="41689" xr:uid="{B55DC0E0-0AA1-4B6A-A728-96CCA616D064}"/>
    <cellStyle name="Standard 86" xfId="39835" xr:uid="{1EBAEE16-8AC4-404C-8539-CD9D59E02046}"/>
    <cellStyle name="Standard 86 2" xfId="40371" xr:uid="{5BBA17D2-1BE7-495B-9324-3F0CE52D9B46}"/>
    <cellStyle name="Standard 86 2 2" xfId="41274" xr:uid="{A261ADA1-BCB8-4903-852E-E94F95F81830}"/>
    <cellStyle name="Standard 86 2 3" xfId="42132" xr:uid="{186713C8-906D-41D2-AD30-2EC3A04D15E7}"/>
    <cellStyle name="Standard 86 3" xfId="40830" xr:uid="{ACD7ED2A-FDCD-4583-91F3-403A035D305F}"/>
    <cellStyle name="Standard 86 4" xfId="41690" xr:uid="{DF1CF2A8-D4D6-4F94-AD82-F37686179F13}"/>
    <cellStyle name="Standard 87" xfId="39836" xr:uid="{6F702E36-8885-4BAE-BA2F-B2124C960E67}"/>
    <cellStyle name="Standard 87 2" xfId="40372" xr:uid="{0D537929-BC5E-440C-AD3E-327BEAF9DC40}"/>
    <cellStyle name="Standard 87 2 2" xfId="41275" xr:uid="{F4686DDD-EAB5-4DF8-A81D-60DF0BA1F2DC}"/>
    <cellStyle name="Standard 87 2 3" xfId="42133" xr:uid="{5BDBB041-F26A-41A3-8342-D46648D5E934}"/>
    <cellStyle name="Standard 87 3" xfId="40831" xr:uid="{A8274CCB-C943-4754-A687-7B55589322B1}"/>
    <cellStyle name="Standard 87 4" xfId="41691" xr:uid="{188F77B0-05B7-4E76-8DC7-6828D58F957F}"/>
    <cellStyle name="Standard 88" xfId="39837" xr:uid="{E9AE93CA-44D4-4142-BC99-DE06E7C3D99B}"/>
    <cellStyle name="Standard 88 2" xfId="40373" xr:uid="{F2F667F3-E74F-48EF-A57A-8EC6F1BB6996}"/>
    <cellStyle name="Standard 88 2 2" xfId="41276" xr:uid="{847CC1C9-F994-4653-8F79-6F86DA6918DA}"/>
    <cellStyle name="Standard 88 2 3" xfId="42134" xr:uid="{9D54A623-7388-4A98-9C27-E7BB5C3D0BB0}"/>
    <cellStyle name="Standard 88 3" xfId="40832" xr:uid="{883A74D7-88AA-4625-A765-C083423B084A}"/>
    <cellStyle name="Standard 88 4" xfId="41692" xr:uid="{285F92E5-636A-463E-AE1D-ACD86E136671}"/>
    <cellStyle name="Standard 89" xfId="39838" xr:uid="{063AED8C-FC27-468C-BBB1-E4F0CF311608}"/>
    <cellStyle name="Standard 89 2" xfId="40374" xr:uid="{77044422-9EAB-43FC-9BC3-9150A601613E}"/>
    <cellStyle name="Standard 89 2 2" xfId="41277" xr:uid="{D2A1684E-EC55-4FCD-86BE-430D7E154E8B}"/>
    <cellStyle name="Standard 89 2 3" xfId="42135" xr:uid="{3BDDA4CA-72F1-4EB5-8DFD-841B98FFCF6E}"/>
    <cellStyle name="Standard 89 3" xfId="40833" xr:uid="{5130C43F-7ECB-450C-897E-C94DC326BAA5}"/>
    <cellStyle name="Standard 89 4" xfId="41693" xr:uid="{D3DE2282-F390-44BC-9857-DB20A8541008}"/>
    <cellStyle name="Standard 9" xfId="39839" xr:uid="{6CA53329-9128-496B-918F-655FD85E56E1}"/>
    <cellStyle name="Standard 9 10" xfId="18448" xr:uid="{4224B13C-B2BF-4843-88BB-83BC2B416F67}"/>
    <cellStyle name="Standard 9 10 2" xfId="18449" xr:uid="{9A38DA5A-5BAA-436D-BD1E-C724A188E95C}"/>
    <cellStyle name="Standard 9 10 2 2" xfId="37886" xr:uid="{9834B268-A787-4393-ADC3-9DA6AD871FE5}"/>
    <cellStyle name="Standard 9 10 3" xfId="37885" xr:uid="{B7D06FA6-79F4-423B-B612-5A6ABEC355BF}"/>
    <cellStyle name="Standard 9 11" xfId="18450" xr:uid="{883F9394-F962-4091-9B0B-2AB23CB26347}"/>
    <cellStyle name="Standard 9 11 2" xfId="18451" xr:uid="{8F7BFC65-BD6E-4DBD-8B6D-B698C52467AA}"/>
    <cellStyle name="Standard 9 11 2 2" xfId="37888" xr:uid="{A7513400-9F12-4E2F-96C9-9999C17DF0C8}"/>
    <cellStyle name="Standard 9 11 3" xfId="37887" xr:uid="{66AE6DC6-C8E9-4B65-891F-01AB5C79FC24}"/>
    <cellStyle name="Standard 9 12" xfId="18452" xr:uid="{C5E3EF52-3502-4BC6-9E5C-145A31C68046}"/>
    <cellStyle name="Standard 9 12 2" xfId="18453" xr:uid="{F620F076-37EB-441E-95A8-F37D539A67D1}"/>
    <cellStyle name="Standard 9 12 2 2" xfId="37890" xr:uid="{4193D6F7-69EA-470E-9488-DF594A215EE6}"/>
    <cellStyle name="Standard 9 12 3" xfId="37889" xr:uid="{EF8A50B4-CC3B-4341-9390-AA4F3794ABF3}"/>
    <cellStyle name="Standard 9 13" xfId="18454" xr:uid="{B8DD5C40-8EEA-4378-9D71-58A803031708}"/>
    <cellStyle name="Standard 9 13 2" xfId="18455" xr:uid="{1B0F4A5F-8475-4592-8F68-BDAA7A4C880F}"/>
    <cellStyle name="Standard 9 13 2 2" xfId="37892" xr:uid="{8A6507E5-817C-4342-AF41-0B3302B46835}"/>
    <cellStyle name="Standard 9 13 3" xfId="37891" xr:uid="{E1A7B677-F1D4-4173-A50F-EFCB6A18D9BF}"/>
    <cellStyle name="Standard 9 14" xfId="18456" xr:uid="{34CF359C-0BAA-41AD-BD54-3B3078DADF4D}"/>
    <cellStyle name="Standard 9 14 2" xfId="18457" xr:uid="{DEDC4583-F1D0-427D-B53A-22A2B75C5D8B}"/>
    <cellStyle name="Standard 9 14 2 2" xfId="37894" xr:uid="{7FFDDDFD-D0E5-48DF-A1FD-2A5CBB1CC3FF}"/>
    <cellStyle name="Standard 9 14 3" xfId="37893" xr:uid="{5F264306-7B38-46AA-8AA2-FDEAB5A088AE}"/>
    <cellStyle name="Standard 9 15" xfId="18458" xr:uid="{CEAFB3BE-5DDF-440D-9FA9-5BE54737134F}"/>
    <cellStyle name="Standard 9 15 2" xfId="18459" xr:uid="{A97D94DB-423F-423B-BC27-82976D892E95}"/>
    <cellStyle name="Standard 9 15 2 2" xfId="37896" xr:uid="{B25CCDFC-8C91-4711-83A7-ED9A05CD7564}"/>
    <cellStyle name="Standard 9 15 3" xfId="37895" xr:uid="{53C5E80C-50EB-49C2-A676-60A88E406DAC}"/>
    <cellStyle name="Standard 9 16" xfId="18460" xr:uid="{14FF2457-2B08-4458-A131-43B8D29CE835}"/>
    <cellStyle name="Standard 9 16 2" xfId="18461" xr:uid="{605D6A23-F64F-40D6-BC71-18B37D46BF56}"/>
    <cellStyle name="Standard 9 16 2 2" xfId="37898" xr:uid="{BAF148A7-574E-4A0C-A093-6814B9D64316}"/>
    <cellStyle name="Standard 9 16 3" xfId="37897" xr:uid="{340C1BE6-2BCB-4279-A4E7-CEF15055F71D}"/>
    <cellStyle name="Standard 9 17" xfId="18462" xr:uid="{A3F0CF04-259A-43D3-BA6B-E02FD7FF2885}"/>
    <cellStyle name="Standard 9 17 2" xfId="18463" xr:uid="{6CD930B8-7017-4E4C-8516-A11787E66DB3}"/>
    <cellStyle name="Standard 9 17 2 2" xfId="37900" xr:uid="{FE5C0640-71CE-437D-8B54-7515EC8BBB0D}"/>
    <cellStyle name="Standard 9 17 3" xfId="37899" xr:uid="{15512CD7-BCFB-45EC-B6EA-8341E79ED619}"/>
    <cellStyle name="Standard 9 18" xfId="18464" xr:uid="{5CDACD79-109E-4E69-82B5-01E33F854638}"/>
    <cellStyle name="Standard 9 18 2" xfId="18465" xr:uid="{17343CFD-2C6D-47E3-8280-01626A7C373F}"/>
    <cellStyle name="Standard 9 18 2 2" xfId="37902" xr:uid="{37588708-F9E5-47A8-903C-7AEC2FBB479A}"/>
    <cellStyle name="Standard 9 18 3" xfId="37901" xr:uid="{6824BA94-8782-4FAF-BEEF-2E7F18B70DEB}"/>
    <cellStyle name="Standard 9 19" xfId="18466" xr:uid="{A8F450ED-4035-4282-8BB7-9EEED918C31E}"/>
    <cellStyle name="Standard 9 19 2" xfId="18467" xr:uid="{2567221F-29F1-4A15-A8F1-A55812114FE5}"/>
    <cellStyle name="Standard 9 19 2 2" xfId="37904" xr:uid="{571A15D6-3747-4934-A185-A3B553D7A00D}"/>
    <cellStyle name="Standard 9 19 3" xfId="37903" xr:uid="{63E0F457-9C23-4FA3-B30A-D1AD873A97C2}"/>
    <cellStyle name="Standard 9 2" xfId="18468" xr:uid="{5A216FDA-F323-4EC1-9E06-FC2AC76EB4CB}"/>
    <cellStyle name="Standard 9 2 2" xfId="18469" xr:uid="{CAC54351-BF75-4117-AB2A-C2934CF5B2D4}"/>
    <cellStyle name="Standard 9 2 2 2" xfId="37906" xr:uid="{FAFF835E-8473-4BE7-B8B7-5DB910ABD507}"/>
    <cellStyle name="Standard 9 2 2 2 2" xfId="41279" xr:uid="{9F40831F-A6F1-4229-B7B3-B17D9C3665DF}"/>
    <cellStyle name="Standard 9 2 2 3" xfId="42137" xr:uid="{0C078651-55BA-466F-BF4B-6A0DD2CAE123}"/>
    <cellStyle name="Standard 9 2 2 4" xfId="40376" xr:uid="{9165B089-CEE4-4F15-B88C-0BB9F824C51E}"/>
    <cellStyle name="Standard 9 2 3" xfId="37905" xr:uid="{56FF940E-7CDC-4CEE-A5DA-791C26E8D41A}"/>
    <cellStyle name="Standard 9 2 3 2" xfId="40835" xr:uid="{7877C922-EB88-432B-9E1D-5C407A2D9736}"/>
    <cellStyle name="Standard 9 2 4" xfId="41695" xr:uid="{5D945B1E-A2BB-4A53-9604-F832BC9C7E27}"/>
    <cellStyle name="Standard 9 2 5" xfId="39840" xr:uid="{8B0D90CD-AB08-4EFF-ADFB-BE3F2BF15CEA}"/>
    <cellStyle name="Standard 9 20" xfId="18470" xr:uid="{A24C14BB-1A8A-418D-9996-0D732AA560EB}"/>
    <cellStyle name="Standard 9 20 2" xfId="18471" xr:uid="{39391843-AB31-4771-A42D-0B2D36BEB6BA}"/>
    <cellStyle name="Standard 9 20 2 2" xfId="37908" xr:uid="{D1E8A3F9-12D9-4D73-B71D-EDAB2393B49B}"/>
    <cellStyle name="Standard 9 20 3" xfId="37907" xr:uid="{84A23EE9-12CC-4D76-A529-1A1D584DEC33}"/>
    <cellStyle name="Standard 9 21" xfId="18472" xr:uid="{36F67474-796C-43CA-8F9C-3C3BCDA6AE86}"/>
    <cellStyle name="Standard 9 21 2" xfId="18473" xr:uid="{E8A690D3-D470-4EEE-9E3F-57E0A941F422}"/>
    <cellStyle name="Standard 9 21 2 2" xfId="37910" xr:uid="{AD9BA558-E7C3-498A-B3BF-F6AE59671AD4}"/>
    <cellStyle name="Standard 9 21 3" xfId="37909" xr:uid="{12485EB4-F28C-44E2-A1E3-90EB43952199}"/>
    <cellStyle name="Standard 9 22" xfId="18474" xr:uid="{2138243A-A336-4B78-9C7D-34A32BCDB981}"/>
    <cellStyle name="Standard 9 22 2" xfId="37911" xr:uid="{CCFFA9D9-CD59-4658-B798-A71EF2ED95B2}"/>
    <cellStyle name="Standard 9 23" xfId="18475" xr:uid="{7D4FCEAB-3020-4406-8D2C-A03550707E55}"/>
    <cellStyle name="Standard 9 23 2" xfId="37912" xr:uid="{7E54AF0A-D436-4A1E-A74B-815DBE678A8A}"/>
    <cellStyle name="Standard 9 3" xfId="18476" xr:uid="{FAA1970D-FE5B-4144-A2AB-0CE8D1960FE2}"/>
    <cellStyle name="Standard 9 3 2" xfId="18477" xr:uid="{D9123B31-B8EF-49DC-B35D-B10FD53DA986}"/>
    <cellStyle name="Standard 9 3 2 2" xfId="37914" xr:uid="{0D7CD15D-AECD-44A7-BE77-1E40214CEEC1}"/>
    <cellStyle name="Standard 9 3 2 3" xfId="41278" xr:uid="{DE2BDA64-D44E-4AE3-911C-27D1C509E9B1}"/>
    <cellStyle name="Standard 9 3 3" xfId="37913" xr:uid="{26BFB7D3-7299-4480-BA00-7F45414BD94D}"/>
    <cellStyle name="Standard 9 3 3 2" xfId="42136" xr:uid="{1DFDD9D3-A314-433C-80ED-54D02E4AAF1B}"/>
    <cellStyle name="Standard 9 3 4" xfId="40375" xr:uid="{B95C56E4-7059-4892-9E43-3151BDAABF35}"/>
    <cellStyle name="Standard 9 4" xfId="18478" xr:uid="{BAEC892C-9606-4F6E-B939-945D970553E8}"/>
    <cellStyle name="Standard 9 4 2" xfId="18479" xr:uid="{0AA277EF-60AB-45FF-A983-EAFE8C75CE2F}"/>
    <cellStyle name="Standard 9 4 2 2" xfId="37916" xr:uid="{FF99C38B-50F1-41A0-9525-57670F6136E2}"/>
    <cellStyle name="Standard 9 4 3" xfId="37915" xr:uid="{720EC1E2-02EC-42AF-A696-F84B8498DB6C}"/>
    <cellStyle name="Standard 9 4 4" xfId="40834" xr:uid="{7C60D05A-6C56-4F49-8336-FBCE1BBF62D8}"/>
    <cellStyle name="Standard 9 5" xfId="18480" xr:uid="{7A398079-D90B-4811-85BC-587846FE48B6}"/>
    <cellStyle name="Standard 9 5 2" xfId="18481" xr:uid="{D6550F5D-8E08-4475-84A6-EBCA26438639}"/>
    <cellStyle name="Standard 9 5 2 2" xfId="37918" xr:uid="{A11E7537-E35A-4A67-9726-8D121587AEC2}"/>
    <cellStyle name="Standard 9 5 3" xfId="37917" xr:uid="{97A104F5-B400-407A-978A-474973659999}"/>
    <cellStyle name="Standard 9 5 4" xfId="41694" xr:uid="{F708217D-F35C-4207-B0ED-7A4F40647A92}"/>
    <cellStyle name="Standard 9 6" xfId="18482" xr:uid="{5858F784-A1F6-4E5F-8AD7-A17531F8805E}"/>
    <cellStyle name="Standard 9 6 2" xfId="18483" xr:uid="{2256D935-CC2E-46E7-A26C-B430B8B97A6E}"/>
    <cellStyle name="Standard 9 6 2 2" xfId="37920" xr:uid="{FCF5D917-967E-4507-8CDB-CC9A4B97CD7D}"/>
    <cellStyle name="Standard 9 6 3" xfId="37919" xr:uid="{36FD97AD-BDDE-4B2B-B1FC-15EB8C0B4A4B}"/>
    <cellStyle name="Standard 9 7" xfId="18484" xr:uid="{49BC52FE-F999-46B8-85D7-6D9D678B7F0A}"/>
    <cellStyle name="Standard 9 7 2" xfId="18485" xr:uid="{F3A90424-BED0-4934-9318-FECECB9CE326}"/>
    <cellStyle name="Standard 9 7 2 2" xfId="37922" xr:uid="{59725DE7-A364-4599-A797-0C43408BE74C}"/>
    <cellStyle name="Standard 9 7 3" xfId="37921" xr:uid="{CB266112-F33F-4F84-85AA-CB49D0159266}"/>
    <cellStyle name="Standard 9 8" xfId="18486" xr:uid="{04D1BEED-AD07-4279-9857-4A19FC63627D}"/>
    <cellStyle name="Standard 9 8 2" xfId="18487" xr:uid="{126FFE8F-8388-4D71-84B9-5075F9BC159A}"/>
    <cellStyle name="Standard 9 8 2 2" xfId="37924" xr:uid="{55047FBD-FCE2-4194-AC53-B3AE126650D7}"/>
    <cellStyle name="Standard 9 8 3" xfId="37923" xr:uid="{6CC3E8A9-922B-44C6-91DB-D1005107FBE7}"/>
    <cellStyle name="Standard 9 9" xfId="18488" xr:uid="{FA2B21BF-1DF7-46E9-B01E-0FABB407F3E7}"/>
    <cellStyle name="Standard 9 9 2" xfId="18489" xr:uid="{38514F5E-CF4A-42B2-A999-7023C10CA7EE}"/>
    <cellStyle name="Standard 9 9 2 2" xfId="37926" xr:uid="{F302D6E5-73A7-41D3-BCCE-97111ABEF0BE}"/>
    <cellStyle name="Standard 9 9 3" xfId="37925" xr:uid="{EB02217B-F030-4A4B-84DB-794B5E48F05A}"/>
    <cellStyle name="Standard 90" xfId="39841" xr:uid="{FCEE81EC-A6E0-479D-996F-EF990375C4BB}"/>
    <cellStyle name="Standard 90 2" xfId="40377" xr:uid="{09194587-08DC-430F-8DCE-53F3345E0F7B}"/>
    <cellStyle name="Standard 90 2 2" xfId="41280" xr:uid="{E72E482E-2C61-44FD-9AEE-3CB3BA93E574}"/>
    <cellStyle name="Standard 90 2 3" xfId="42138" xr:uid="{989C6112-C378-43FC-9DD2-0EBAC9B0347D}"/>
    <cellStyle name="Standard 90 3" xfId="40836" xr:uid="{924E3413-0B79-408D-BAEA-3C1F2846E9D5}"/>
    <cellStyle name="Standard 90 4" xfId="41696" xr:uid="{58A21893-25D3-4ED1-8197-CD6D6E0B50B5}"/>
    <cellStyle name="Standard 91" xfId="39842" xr:uid="{093952A2-3741-4DEA-B863-DB255DAE8080}"/>
    <cellStyle name="Standard 91 2" xfId="40378" xr:uid="{31C8BA97-19A4-40F1-8BBA-11AD3D19F55B}"/>
    <cellStyle name="Standard 91 2 2" xfId="41281" xr:uid="{5804C827-90EC-4084-BB53-81E52EB266D8}"/>
    <cellStyle name="Standard 91 2 3" xfId="42139" xr:uid="{616AEAC9-2E5A-47EE-857A-1226CEAB0501}"/>
    <cellStyle name="Standard 91 3" xfId="40837" xr:uid="{15795B4E-3287-4841-B96B-30F416EEAB66}"/>
    <cellStyle name="Standard 91 4" xfId="41697" xr:uid="{BCB4FAEF-6F96-4F92-9396-6469E2748374}"/>
    <cellStyle name="Standard 92" xfId="39843" xr:uid="{7F06FF9B-C1A1-4BD2-A51F-F78FFA8C2F52}"/>
    <cellStyle name="Standard 92 2" xfId="40379" xr:uid="{381FB7D3-C7CE-4C4D-BAB0-738969B310B8}"/>
    <cellStyle name="Standard 92 2 2" xfId="41282" xr:uid="{7B13EE61-65C4-4C40-A7E6-7173D244EF4C}"/>
    <cellStyle name="Standard 92 2 3" xfId="42140" xr:uid="{D162728C-5B2C-4E2F-8B4A-B540609CF98A}"/>
    <cellStyle name="Standard 92 3" xfId="40838" xr:uid="{8E5FF6B8-BDBC-42F3-805E-F8FA4F34242C}"/>
    <cellStyle name="Standard 92 4" xfId="41698" xr:uid="{CC916995-8F2B-4166-8AB5-D24F9B941941}"/>
    <cellStyle name="Standard 93" xfId="39844" xr:uid="{9799AE0C-621B-40D8-A770-95FCF36B2309}"/>
    <cellStyle name="Standard 93 2" xfId="40380" xr:uid="{C1E5F713-B3C2-4593-A012-6F7AFBC6319A}"/>
    <cellStyle name="Standard 93 2 2" xfId="41283" xr:uid="{559EF322-0144-440F-A750-3EFD11259B22}"/>
    <cellStyle name="Standard 93 2 3" xfId="42141" xr:uid="{F47DF12D-3935-46A4-9169-7DDEC1A6F643}"/>
    <cellStyle name="Standard 93 3" xfId="40839" xr:uid="{52EA5FCC-344F-41F1-984A-5AD0A09914AB}"/>
    <cellStyle name="Standard 93 4" xfId="41699" xr:uid="{F7DC9E90-00E9-4CD4-AA43-1DD85228CC60}"/>
    <cellStyle name="Standard 94" xfId="39845" xr:uid="{BFAFC852-A724-4164-BF8B-487A8AB4CF8B}"/>
    <cellStyle name="Standard 94 2" xfId="40381" xr:uid="{8962F840-8E69-4769-A241-8C925FCFE424}"/>
    <cellStyle name="Standard 94 2 2" xfId="41284" xr:uid="{AB1FAA94-A0E7-4E0B-BE0D-61E7D5968545}"/>
    <cellStyle name="Standard 94 2 3" xfId="42142" xr:uid="{6AB6780F-54B3-488F-ACFF-A9FDA4E0F30D}"/>
    <cellStyle name="Standard 94 3" xfId="40840" xr:uid="{1AC68143-871E-4CC6-B693-50169CA57B0B}"/>
    <cellStyle name="Standard 94 4" xfId="41700" xr:uid="{EC969723-0B85-478A-9AF7-00A9459F0ACF}"/>
    <cellStyle name="Standard 95" xfId="39846" xr:uid="{68D4F49D-3B1B-407B-ADDD-3A3C1CC08D27}"/>
    <cellStyle name="Standard 95 2" xfId="40382" xr:uid="{A1663541-0B4F-4ECB-9151-0F38E6758951}"/>
    <cellStyle name="Standard 95 2 2" xfId="41285" xr:uid="{162680BF-196A-4CE3-9ABA-5A57BD3FD4D4}"/>
    <cellStyle name="Standard 95 2 3" xfId="42143" xr:uid="{30A3829D-C79E-4B53-AD25-2354C4DE048E}"/>
    <cellStyle name="Standard 95 3" xfId="40841" xr:uid="{3410A05C-4AF4-42E0-A44C-31A1BB0C8719}"/>
    <cellStyle name="Standard 95 4" xfId="41701" xr:uid="{E3A2A139-CC5D-4CA0-AF7B-7481796B60FF}"/>
    <cellStyle name="Standard 96" xfId="39847" xr:uid="{247BC7C4-1915-41F2-9CEF-F65635FE96E8}"/>
    <cellStyle name="Standard 96 2" xfId="40383" xr:uid="{A4AF1C8F-A73B-477B-9D24-C1E977400236}"/>
    <cellStyle name="Standard 96 2 2" xfId="41286" xr:uid="{ECA50DC2-2322-42E2-AED9-8337DC66F4C2}"/>
    <cellStyle name="Standard 96 2 3" xfId="42144" xr:uid="{527FC05C-7540-4F74-8356-BBFD6A7C47A2}"/>
    <cellStyle name="Standard 96 3" xfId="40842" xr:uid="{27240454-9D21-4381-97ED-14F309E0CDA8}"/>
    <cellStyle name="Standard 96 4" xfId="41702" xr:uid="{2FB700BC-0BC0-4E5A-90F0-3114AD461D92}"/>
    <cellStyle name="Standard 97" xfId="39848" xr:uid="{8998A9E0-EE8D-42C4-9FD3-548A23CD7D76}"/>
    <cellStyle name="Standard 97 2" xfId="40384" xr:uid="{57B58A22-6CEF-435C-AE8F-9AF50C6E3584}"/>
    <cellStyle name="Standard 97 2 2" xfId="41287" xr:uid="{CBCBD5A9-CD41-4B9A-91B0-F446249DC4FB}"/>
    <cellStyle name="Standard 97 2 3" xfId="42145" xr:uid="{058DF801-0935-40C2-81A9-484A7ED32D5D}"/>
    <cellStyle name="Standard 97 3" xfId="40843" xr:uid="{678BB43E-E42F-4F01-8C9A-5966EF1F5EA5}"/>
    <cellStyle name="Standard 97 4" xfId="41703" xr:uid="{9B0ECFE2-DC39-4810-AA1F-304E7F8C5D4E}"/>
    <cellStyle name="Standard 98" xfId="39849" xr:uid="{122CCC54-2BE4-44D0-80E9-EC4F03C9D7C7}"/>
    <cellStyle name="Standard 98 2" xfId="40385" xr:uid="{FF54B08F-5C6A-47AE-8304-AB300B3D0C0C}"/>
    <cellStyle name="Standard 98 2 2" xfId="41288" xr:uid="{1EC268F1-A0E7-4EF5-AC42-02B981BF52F6}"/>
    <cellStyle name="Standard 98 2 3" xfId="42146" xr:uid="{09DB654E-DDAF-46B7-90A8-D71739091F92}"/>
    <cellStyle name="Standard 98 3" xfId="40844" xr:uid="{A9E66904-EEBB-4088-A4A9-AFD76682D036}"/>
    <cellStyle name="Standard 98 4" xfId="41704" xr:uid="{FBA95327-9176-49F2-B77D-211DC8D840C4}"/>
    <cellStyle name="Standard 99" xfId="39850" xr:uid="{D1724F9F-9FF3-4765-B934-0EC31707251B}"/>
    <cellStyle name="Standard 99 2" xfId="40386" xr:uid="{569943AA-6635-4395-BC05-7F65C7262F40}"/>
    <cellStyle name="Standard 99 2 2" xfId="41289" xr:uid="{30360D84-5622-4147-A831-36A6CE8904D8}"/>
    <cellStyle name="Standard 99 2 3" xfId="42147" xr:uid="{65FC5466-F35E-49C2-B545-2B8742160FDE}"/>
    <cellStyle name="Standard 99 3" xfId="40845" xr:uid="{77F83C13-9D58-4FD1-865B-98533AE0064E}"/>
    <cellStyle name="Standard 99 4" xfId="41705" xr:uid="{44380F65-052F-4283-9D5A-0995106A6E8C}"/>
    <cellStyle name="Titel 1" xfId="18490" xr:uid="{FDDBA7D5-78A9-4C6D-AA78-FBD4CE7B8A0C}"/>
    <cellStyle name="Titel 1 2" xfId="37927" xr:uid="{B8FC4086-7D0F-4C10-A0E9-1523785AFCDF}"/>
    <cellStyle name="Titel 1 3" xfId="39851" xr:uid="{C0F8AA39-70A9-4349-84A6-3DA402CB7D10}"/>
    <cellStyle name="Tusental (0)_B-DAB906" xfId="18491" xr:uid="{4051919A-B66A-4DE5-AA75-BB5BD7310057}"/>
    <cellStyle name="Tusental_B-DAB906" xfId="18492" xr:uid="{BD692A60-312F-4CA5-A5D8-0545B6623833}"/>
    <cellStyle name="Überschrift 1 10" xfId="18495" xr:uid="{4DA53FAA-B1AA-430B-86AD-C379618853D1}"/>
    <cellStyle name="Überschrift 1 10 2" xfId="18496" xr:uid="{79CF44ED-694C-414C-B501-9F83F7BCDBEC}"/>
    <cellStyle name="Überschrift 1 10 2 2" xfId="37931" xr:uid="{726908C6-C64B-4B95-A756-C94CAC745992}"/>
    <cellStyle name="Überschrift 1 10 3" xfId="37930" xr:uid="{84EDB27B-1BDE-4F78-979A-606732C1F03C}"/>
    <cellStyle name="Überschrift 1 11" xfId="18497" xr:uid="{EB9A119F-0D87-486F-B297-F6EF5CFCB9C8}"/>
    <cellStyle name="Überschrift 1 11 2" xfId="18498" xr:uid="{91EB9796-BCC7-410B-97C7-8E8038FA40DD}"/>
    <cellStyle name="Überschrift 1 11 2 2" xfId="37933" xr:uid="{878EF01B-6903-4CEA-B417-F7B3513593C8}"/>
    <cellStyle name="Überschrift 1 11 3" xfId="37932" xr:uid="{93CF6B18-361E-414D-B33D-0A8C1FA49F27}"/>
    <cellStyle name="Überschrift 1 12" xfId="18499" xr:uid="{597414F5-8593-4750-AB16-25C4B1834E2B}"/>
    <cellStyle name="Überschrift 1 12 2" xfId="18500" xr:uid="{C4E0CC75-C5C8-4B81-8FA7-46D46109D846}"/>
    <cellStyle name="Überschrift 1 12 2 2" xfId="37935" xr:uid="{6192FE18-F8E4-42DA-BAF7-EF8DF3FD2DDA}"/>
    <cellStyle name="Überschrift 1 12 3" xfId="37934" xr:uid="{92AE901A-68B7-4285-BEE2-805ADB2790FD}"/>
    <cellStyle name="Überschrift 1 13" xfId="18501" xr:uid="{4669518D-B10B-4BC3-A71D-E88279A5C267}"/>
    <cellStyle name="Überschrift 1 13 2" xfId="18502" xr:uid="{54003517-03FB-4ED2-AA8F-4B59AFB743BE}"/>
    <cellStyle name="Überschrift 1 13 2 2" xfId="37937" xr:uid="{4CE28FF4-B11D-4997-805B-D562378BA22C}"/>
    <cellStyle name="Überschrift 1 13 3" xfId="37936" xr:uid="{7F068B15-CD41-413F-86AE-230E1090E4DB}"/>
    <cellStyle name="Überschrift 1 14" xfId="18503" xr:uid="{CCF0A6A7-D885-4B7E-B67E-5AAB3035F29E}"/>
    <cellStyle name="Überschrift 1 14 2" xfId="18504" xr:uid="{8413BA51-DF8E-4F15-A3F4-C2E2F471B9E5}"/>
    <cellStyle name="Überschrift 1 14 2 2" xfId="37939" xr:uid="{7330ACFE-76E2-4DF1-B569-95E53B11CEA0}"/>
    <cellStyle name="Überschrift 1 14 3" xfId="37938" xr:uid="{98388CBB-F7EB-4237-B7AD-75006E1E0356}"/>
    <cellStyle name="Überschrift 1 15" xfId="18505" xr:uid="{F98A4839-347D-4238-B21C-490223F71A3E}"/>
    <cellStyle name="Überschrift 1 15 2" xfId="18506" xr:uid="{E1D2C8ED-C6B7-4CFF-BEA7-A6D76B1FF9AD}"/>
    <cellStyle name="Überschrift 1 15 2 2" xfId="37941" xr:uid="{8039D061-A1FF-43EA-960D-5724C9A47278}"/>
    <cellStyle name="Überschrift 1 15 3" xfId="37940" xr:uid="{41A4A696-0217-4E30-AAEC-0FEDA038023A}"/>
    <cellStyle name="Überschrift 1 16" xfId="18507" xr:uid="{44A27D5D-EBFE-4573-BC54-68C6D4A120E1}"/>
    <cellStyle name="Überschrift 1 16 2" xfId="18508" xr:uid="{CC5368DA-7435-4AD3-A5FB-6C1AD1C9A52C}"/>
    <cellStyle name="Überschrift 1 16 2 2" xfId="37943" xr:uid="{28A0D665-5E09-4047-ABAF-0657724AF4D9}"/>
    <cellStyle name="Überschrift 1 16 3" xfId="37942" xr:uid="{DE43DC3F-32F1-4BB3-A6D3-DF40AAC84139}"/>
    <cellStyle name="Überschrift 1 17" xfId="18509" xr:uid="{A17A438A-63D2-417B-B875-AF025A45C9E0}"/>
    <cellStyle name="Überschrift 1 17 2" xfId="18510" xr:uid="{7CC28C7E-13F0-42B9-A615-9155F9A8BFCE}"/>
    <cellStyle name="Überschrift 1 17 2 2" xfId="37945" xr:uid="{7FD94486-9509-41E0-9DDB-A192823A0638}"/>
    <cellStyle name="Überschrift 1 17 3" xfId="37944" xr:uid="{6670B706-CB61-4DF8-8DB2-CD7CA133CA8E}"/>
    <cellStyle name="Überschrift 1 18" xfId="18511" xr:uid="{32361833-E9F4-4D46-8361-37C1D8D97985}"/>
    <cellStyle name="Überschrift 1 18 2" xfId="18512" xr:uid="{83A6CA6C-0BB7-44EB-893D-590921DD998E}"/>
    <cellStyle name="Überschrift 1 18 2 2" xfId="37947" xr:uid="{FD6F56E4-0CB9-4BE5-B36E-D7340C468241}"/>
    <cellStyle name="Überschrift 1 18 3" xfId="37946" xr:uid="{103EAC42-0210-44A0-AC03-69A28122215F}"/>
    <cellStyle name="Überschrift 1 19" xfId="18513" xr:uid="{CE22D54F-FA02-49C7-A47B-F0F988003993}"/>
    <cellStyle name="Überschrift 1 19 2" xfId="18514" xr:uid="{AC8BB9E9-3978-4305-B1DC-EBB0DEB64989}"/>
    <cellStyle name="Überschrift 1 19 2 2" xfId="37949" xr:uid="{09778E88-29DF-48AE-9E7E-F996D1F7EE44}"/>
    <cellStyle name="Überschrift 1 19 3" xfId="37948" xr:uid="{8B1FD0A2-30A4-4DBE-AEFF-7E6D71DD0AF5}"/>
    <cellStyle name="Überschrift 1 2" xfId="18515" xr:uid="{C11CD6C8-182B-4B3A-A058-566E2AB50EB2}"/>
    <cellStyle name="Überschrift 1 2 10" xfId="18516" xr:uid="{4631425A-9502-47AD-9676-A62B53D68F97}"/>
    <cellStyle name="Überschrift 1 2 10 2" xfId="37951" xr:uid="{16D1B04E-447E-42EB-B453-5F76301FD476}"/>
    <cellStyle name="Überschrift 1 2 11" xfId="18517" xr:uid="{41898264-497E-4B07-8A78-6145542A6334}"/>
    <cellStyle name="Überschrift 1 2 11 2" xfId="37952" xr:uid="{68CC1F15-4626-4F29-BA39-51D9E0BDD28C}"/>
    <cellStyle name="Überschrift 1 2 12" xfId="18518" xr:uid="{BF7BA612-1C63-478D-BA4B-29E3F6B24CD2}"/>
    <cellStyle name="Überschrift 1 2 12 2" xfId="37953" xr:uid="{EE4258AB-DC5A-4D5B-B9C0-483F0B87A98A}"/>
    <cellStyle name="Überschrift 1 2 13" xfId="18519" xr:uid="{2661CB53-9195-44F6-B259-FB0B0A1A76D1}"/>
    <cellStyle name="Überschrift 1 2 13 2" xfId="37954" xr:uid="{2E85CBF0-BA79-4401-9A0D-7346FE62196C}"/>
    <cellStyle name="Überschrift 1 2 14" xfId="18520" xr:uid="{6FFBC63A-09BA-44D4-AC70-80821B2BBFAD}"/>
    <cellStyle name="Überschrift 1 2 14 2" xfId="37955" xr:uid="{897372B4-D454-441D-BE8E-BCD6BA681622}"/>
    <cellStyle name="Überschrift 1 2 15" xfId="37950" xr:uid="{FC44AE3A-FB13-4114-B750-85C1FB43DE30}"/>
    <cellStyle name="Überschrift 1 2 16" xfId="39854" xr:uid="{7C6111EC-FBCE-478F-B8A6-30CD327F93D8}"/>
    <cellStyle name="Überschrift 1 2 2" xfId="18521" xr:uid="{FFA55E68-012A-4505-BA6D-A75D418AC7B8}"/>
    <cellStyle name="Überschrift 1 2 2 10" xfId="18522" xr:uid="{757E97C3-A8E8-40AB-8EF9-2755616F3E53}"/>
    <cellStyle name="Überschrift 1 2 2 10 2" xfId="37957" xr:uid="{153FD5F5-3E1A-4653-9D97-15590AE36D7E}"/>
    <cellStyle name="Überschrift 1 2 2 11" xfId="18523" xr:uid="{4EDD733C-42E0-4720-98B7-D89A68F9251E}"/>
    <cellStyle name="Überschrift 1 2 2 11 2" xfId="37958" xr:uid="{B147889E-AB4A-4708-B494-B92C34EAB0C4}"/>
    <cellStyle name="Überschrift 1 2 2 12" xfId="18524" xr:uid="{971E6235-EFBF-4458-8C16-AE135280A696}"/>
    <cellStyle name="Überschrift 1 2 2 12 2" xfId="37959" xr:uid="{0262D94A-85C9-4653-8C8F-9975FA456982}"/>
    <cellStyle name="Überschrift 1 2 2 13" xfId="37956" xr:uid="{EAC86033-43A2-4F3B-82C5-413A6869425F}"/>
    <cellStyle name="Überschrift 1 2 2 14" xfId="39855" xr:uid="{BE2BBB54-C369-49B7-BEF4-16D0DC7EAD06}"/>
    <cellStyle name="Überschrift 1 2 2 2" xfId="18525" xr:uid="{10F53981-B9B4-4121-B9AD-563E0B0E20A9}"/>
    <cellStyle name="Überschrift 1 2 2 2 10" xfId="18526" xr:uid="{0BC508A9-18BD-43AB-92A3-275A95C2E4FE}"/>
    <cellStyle name="Überschrift 1 2 2 2 10 2" xfId="37961" xr:uid="{A3E052E7-A9F1-49F7-A064-5BB2B493DAAA}"/>
    <cellStyle name="Überschrift 1 2 2 2 11" xfId="37960" xr:uid="{1F367E0D-9416-4220-AD84-B0D3F23DD251}"/>
    <cellStyle name="Überschrift 1 2 2 2 2" xfId="18527" xr:uid="{442757F2-C6F6-490D-B3F8-D4378A21F52F}"/>
    <cellStyle name="Überschrift 1 2 2 2 2 2" xfId="18528" xr:uid="{906D669D-DCF7-4031-B8F1-6B43888789EB}"/>
    <cellStyle name="Überschrift 1 2 2 2 2 2 2" xfId="18529" xr:uid="{AB14D77D-42C2-4ED0-B69B-96EF23A51F53}"/>
    <cellStyle name="Überschrift 1 2 2 2 2 2 2 2" xfId="18530" xr:uid="{1026C4C2-0D69-48FB-B2CA-55C989EE33F1}"/>
    <cellStyle name="Überschrift 1 2 2 2 2 2 2 2 2" xfId="37965" xr:uid="{A95AAEB8-7221-4889-A200-6E7ED4B0AC56}"/>
    <cellStyle name="Überschrift 1 2 2 2 2 2 2 3" xfId="37964" xr:uid="{68B98AC5-773F-44DE-9D8B-EF60ACE030CF}"/>
    <cellStyle name="Überschrift 1 2 2 2 2 2 3" xfId="18531" xr:uid="{EB0580E8-C6E8-4F0D-A6A1-5A683067E2DF}"/>
    <cellStyle name="Überschrift 1 2 2 2 2 2 3 2" xfId="37966" xr:uid="{A09CABC1-0B2D-4436-A08B-335FAB0C0BA5}"/>
    <cellStyle name="Überschrift 1 2 2 2 2 2 4" xfId="18532" xr:uid="{EF2B3DAB-8844-4F86-9FC9-DB79717DC92A}"/>
    <cellStyle name="Überschrift 1 2 2 2 2 2 4 2" xfId="37967" xr:uid="{1A0C4404-8431-4255-918C-63F6A7FE5071}"/>
    <cellStyle name="Überschrift 1 2 2 2 2 2 5" xfId="18533" xr:uid="{60E5FC4C-8D84-4CCC-A639-7847C887F660}"/>
    <cellStyle name="Überschrift 1 2 2 2 2 2 5 2" xfId="37968" xr:uid="{E5A88746-FC27-48B8-85AA-1C583F7AFCD3}"/>
    <cellStyle name="Überschrift 1 2 2 2 2 2 6" xfId="18534" xr:uid="{4139D613-EF08-40B0-9312-D525180AF950}"/>
    <cellStyle name="Überschrift 1 2 2 2 2 2 6 2" xfId="37969" xr:uid="{61671634-7DF9-498B-A5C1-1D5D6FEBDDD0}"/>
    <cellStyle name="Überschrift 1 2 2 2 2 2 7" xfId="18535" xr:uid="{3A4B6B53-3EEC-4D0D-8819-2203EEB82A39}"/>
    <cellStyle name="Überschrift 1 2 2 2 2 2 7 2" xfId="37970" xr:uid="{9A389EB0-AD14-44C1-8596-C83D5F28C0E1}"/>
    <cellStyle name="Überschrift 1 2 2 2 2 2 8" xfId="18536" xr:uid="{DEFAA0FC-3BC0-40FC-8D24-5CE566D470AE}"/>
    <cellStyle name="Überschrift 1 2 2 2 2 2 8 2" xfId="37971" xr:uid="{AEBD717E-DEDE-43EC-B929-43922297960F}"/>
    <cellStyle name="Überschrift 1 2 2 2 2 2 9" xfId="37963" xr:uid="{85191FAE-2071-4A87-A9BA-954E37130A68}"/>
    <cellStyle name="Überschrift 1 2 2 2 2 3" xfId="18537" xr:uid="{B5383442-B7D7-44DA-A70F-BAFE863561FF}"/>
    <cellStyle name="Überschrift 1 2 2 2 2 3 2" xfId="18538" xr:uid="{C47A9812-1A06-4F2F-8642-059160C32FCF}"/>
    <cellStyle name="Überschrift 1 2 2 2 2 3 2 2" xfId="37973" xr:uid="{C7C47B4B-C71D-4CF7-ACFC-306E607434D8}"/>
    <cellStyle name="Überschrift 1 2 2 2 2 3 3" xfId="37972" xr:uid="{94AE43C8-C3CE-4890-82AD-7242DF55E572}"/>
    <cellStyle name="Überschrift 1 2 2 2 2 4" xfId="18539" xr:uid="{A2B7F3EF-C2FD-4EAF-98D0-4DB9158B9456}"/>
    <cellStyle name="Überschrift 1 2 2 2 2 4 2" xfId="37974" xr:uid="{82C4889F-75A4-45EC-A303-B5EC1D4F3DCE}"/>
    <cellStyle name="Überschrift 1 2 2 2 2 5" xfId="18540" xr:uid="{41A6D0D0-193B-4351-B021-C385B3982E28}"/>
    <cellStyle name="Überschrift 1 2 2 2 2 5 2" xfId="37975" xr:uid="{D561F77F-E557-4004-819A-8AFDD5B9A51F}"/>
    <cellStyle name="Überschrift 1 2 2 2 2 6" xfId="18541" xr:uid="{88DEE9E3-DAAC-48FB-BC19-C87F25038BF3}"/>
    <cellStyle name="Überschrift 1 2 2 2 2 6 2" xfId="37976" xr:uid="{15C4194B-BCB5-466A-A338-65BD82AA5A4C}"/>
    <cellStyle name="Überschrift 1 2 2 2 2 7" xfId="18542" xr:uid="{DBC58DBC-F529-4FE7-B7A0-6104982A9E5E}"/>
    <cellStyle name="Überschrift 1 2 2 2 2 7 2" xfId="37977" xr:uid="{F3E27A38-CFAB-42C4-A542-1D56B34D82A0}"/>
    <cellStyle name="Überschrift 1 2 2 2 2 8" xfId="18543" xr:uid="{721204A4-F3D5-4C3D-9F86-38CD4551ECFC}"/>
    <cellStyle name="Überschrift 1 2 2 2 2 8 2" xfId="37978" xr:uid="{F73F02A3-9C10-46B6-A7CE-DE5DADA45D90}"/>
    <cellStyle name="Überschrift 1 2 2 2 2 9" xfId="37962" xr:uid="{D1FC1DC2-B36C-4D7E-BC02-8917995DAF1F}"/>
    <cellStyle name="Überschrift 1 2 2 2 3" xfId="18544" xr:uid="{9C7920B0-2304-4800-8BDB-9724D5A686D4}"/>
    <cellStyle name="Überschrift 1 2 2 2 3 2" xfId="37979" xr:uid="{7B13E52A-9E87-4C2F-85D5-59DF70B95575}"/>
    <cellStyle name="Überschrift 1 2 2 2 4" xfId="18545" xr:uid="{D07BB092-E3A5-4F5B-AE35-8574F274CE13}"/>
    <cellStyle name="Überschrift 1 2 2 2 4 2" xfId="37980" xr:uid="{A592B1CD-DE91-4525-B5F1-6088A2713C31}"/>
    <cellStyle name="Überschrift 1 2 2 2 5" xfId="18546" xr:uid="{3784117F-DD3B-4FAD-BF05-A7D7B8FB95B0}"/>
    <cellStyle name="Überschrift 1 2 2 2 5 2" xfId="18547" xr:uid="{3D89C94D-2931-48FD-82CF-5DA7E84F3B46}"/>
    <cellStyle name="Überschrift 1 2 2 2 5 2 2" xfId="37982" xr:uid="{7C0E6137-118E-40EF-93C8-8F92ED8C9EA2}"/>
    <cellStyle name="Überschrift 1 2 2 2 5 3" xfId="37981" xr:uid="{1B08C698-B070-4698-8B9A-C944B2E398F6}"/>
    <cellStyle name="Überschrift 1 2 2 2 6" xfId="18548" xr:uid="{F65DCA59-9FD3-4745-AB47-FC963605BF50}"/>
    <cellStyle name="Überschrift 1 2 2 2 6 2" xfId="37983" xr:uid="{885E781E-47A1-49F1-BECC-317BA20C1134}"/>
    <cellStyle name="Überschrift 1 2 2 2 7" xfId="18549" xr:uid="{E64ABF90-BEF5-4662-B0AE-5BEF95371901}"/>
    <cellStyle name="Überschrift 1 2 2 2 7 2" xfId="37984" xr:uid="{B210FB25-9EBF-46A7-B907-09B05F8253D3}"/>
    <cellStyle name="Überschrift 1 2 2 2 8" xfId="18550" xr:uid="{ED0DF5F4-0F12-4077-A832-1BA3E8A82F3B}"/>
    <cellStyle name="Überschrift 1 2 2 2 8 2" xfId="37985" xr:uid="{A3EEB054-331B-4B6E-8C4B-2C7AA6F5802D}"/>
    <cellStyle name="Überschrift 1 2 2 2 9" xfId="18551" xr:uid="{C3DE4EAE-CA4A-413B-B230-E67207AA95FC}"/>
    <cellStyle name="Überschrift 1 2 2 2 9 2" xfId="37986" xr:uid="{D3DE3007-1FBF-4A7D-BFAE-883704C155D3}"/>
    <cellStyle name="Überschrift 1 2 2 3" xfId="18552" xr:uid="{F82B2EE2-62FE-4BB9-85D1-56A1DD3CE94C}"/>
    <cellStyle name="Überschrift 1 2 2 3 2" xfId="37987" xr:uid="{76A01FE7-E624-4030-A904-54473BFB0C43}"/>
    <cellStyle name="Überschrift 1 2 2 4" xfId="18553" xr:uid="{A929931D-6338-4783-8052-C112F7E9B0F8}"/>
    <cellStyle name="Überschrift 1 2 2 4 2" xfId="37988" xr:uid="{CCA96A24-29ED-4FF2-93DA-36FBDA332749}"/>
    <cellStyle name="Überschrift 1 2 2 5" xfId="18554" xr:uid="{A64A7561-E1DE-4B6D-A698-215CD8B32EAF}"/>
    <cellStyle name="Überschrift 1 2 2 5 2" xfId="18555" xr:uid="{B84821B3-E09E-48FD-B341-FCEC7E0B75E1}"/>
    <cellStyle name="Überschrift 1 2 2 5 2 2" xfId="37990" xr:uid="{B5B1D3FF-9029-43A5-886C-A211F0ECF6C9}"/>
    <cellStyle name="Überschrift 1 2 2 5 3" xfId="37989" xr:uid="{4F063BAF-DF12-46DB-BF2E-48B2024F99AB}"/>
    <cellStyle name="Überschrift 1 2 2 6" xfId="18556" xr:uid="{17DD6D01-156A-48A5-9057-8D1737F407F7}"/>
    <cellStyle name="Überschrift 1 2 2 6 2" xfId="37991" xr:uid="{212B7ACD-4765-435D-A3E0-EFF4C6A08C4E}"/>
    <cellStyle name="Überschrift 1 2 2 7" xfId="18557" xr:uid="{7CB6CDAC-B401-4A91-B2D2-004F64F1F973}"/>
    <cellStyle name="Überschrift 1 2 2 7 2" xfId="18558" xr:uid="{B3897680-F8CE-4F8C-8979-7C7B56FCBEEA}"/>
    <cellStyle name="Überschrift 1 2 2 7 2 2" xfId="37993" xr:uid="{39D543D9-C8A4-464F-922C-8DEA82D3B151}"/>
    <cellStyle name="Überschrift 1 2 2 7 3" xfId="37992" xr:uid="{DFE31BF2-ADB3-49C0-A113-D577E8C91651}"/>
    <cellStyle name="Überschrift 1 2 2 8" xfId="18559" xr:uid="{DBEA2813-476B-4B17-BEB0-062ADE7E195F}"/>
    <cellStyle name="Überschrift 1 2 2 8 2" xfId="37994" xr:uid="{B057E2D7-3999-4FE4-BA8B-6B88B0149744}"/>
    <cellStyle name="Überschrift 1 2 2 9" xfId="18560" xr:uid="{ACAA734B-CCE0-4D2B-94F3-D771F56E3FEC}"/>
    <cellStyle name="Überschrift 1 2 2 9 2" xfId="37995" xr:uid="{C9EABF8D-C3A0-4C72-AB37-E6E8DC8F3977}"/>
    <cellStyle name="Überschrift 1 2 3" xfId="18561" xr:uid="{8EAB0208-ACA8-4323-AE87-75D720A9033A}"/>
    <cellStyle name="Überschrift 1 2 3 2" xfId="37996" xr:uid="{7FDF0D4F-F07A-4345-93DD-5001E49DAF82}"/>
    <cellStyle name="Überschrift 1 2 4" xfId="18562" xr:uid="{D2FEA27A-954D-4E8E-939B-6CD65388853C}"/>
    <cellStyle name="Überschrift 1 2 4 2" xfId="18563" xr:uid="{8D5EB352-44B7-4BD7-9A85-ADB5B502D21B}"/>
    <cellStyle name="Überschrift 1 2 4 2 2" xfId="18564" xr:uid="{F63F77AA-392E-4772-93FF-DBAC553F628D}"/>
    <cellStyle name="Überschrift 1 2 4 2 2 2" xfId="37999" xr:uid="{B1E61FA7-8C3C-4FDA-8D31-E9CD72D37B7F}"/>
    <cellStyle name="Überschrift 1 2 4 2 3" xfId="37998" xr:uid="{88601EA2-1225-4EB6-943F-C1C92F644A6E}"/>
    <cellStyle name="Überschrift 1 2 4 3" xfId="18565" xr:uid="{1DE0764D-D7CC-4979-93A4-1BD408B61BDE}"/>
    <cellStyle name="Überschrift 1 2 4 3 2" xfId="38000" xr:uid="{23B290AA-4D6B-4E30-BEE5-DEFA623FA3DD}"/>
    <cellStyle name="Überschrift 1 2 4 4" xfId="18566" xr:uid="{666E2BEF-FA0C-49A1-87F8-D2ADA9643126}"/>
    <cellStyle name="Überschrift 1 2 4 4 2" xfId="38001" xr:uid="{7A296708-C1F7-479A-9EE5-F5BF98E8C1CB}"/>
    <cellStyle name="Überschrift 1 2 4 5" xfId="37997" xr:uid="{00F8B91D-E0B2-4A10-8A30-8371F5946F07}"/>
    <cellStyle name="Überschrift 1 2 5" xfId="18567" xr:uid="{A3E3ECA3-98CA-4FB6-8972-EA2A8B21A576}"/>
    <cellStyle name="Überschrift 1 2 5 2" xfId="38002" xr:uid="{02825D61-DBA1-4896-ADF0-8BA6B8DB397D}"/>
    <cellStyle name="Überschrift 1 2 6" xfId="18568" xr:uid="{70FC6D99-D38B-4097-8A63-CE84C0DFD3AE}"/>
    <cellStyle name="Überschrift 1 2 6 2" xfId="18569" xr:uid="{CE87963B-8048-412A-A6A2-8491CC63886B}"/>
    <cellStyle name="Überschrift 1 2 6 2 2" xfId="38004" xr:uid="{089B4F94-6762-4727-A0AD-B43BA5CA913C}"/>
    <cellStyle name="Überschrift 1 2 6 3" xfId="38003" xr:uid="{257171D0-8BDF-42EB-A7F0-9B91DC8800A1}"/>
    <cellStyle name="Überschrift 1 2 7" xfId="18570" xr:uid="{2ECD9471-AE17-46F3-959E-26A5498158B6}"/>
    <cellStyle name="Überschrift 1 2 7 2" xfId="38005" xr:uid="{8ADC8266-405D-453D-9307-1BABFE0B0D1B}"/>
    <cellStyle name="Überschrift 1 2 8" xfId="18571" xr:uid="{E568FC86-757C-4CD2-98A6-ECF45ABD3A83}"/>
    <cellStyle name="Überschrift 1 2 8 2" xfId="18572" xr:uid="{1C5FFE37-4EE9-4DB0-8BE4-FBC7819A9FF7}"/>
    <cellStyle name="Überschrift 1 2 8 2 2" xfId="38007" xr:uid="{761A9D0D-910F-4865-B342-7D8B361EC541}"/>
    <cellStyle name="Überschrift 1 2 8 3" xfId="38006" xr:uid="{71353343-7CF0-4AB5-941A-8E4AC14639A0}"/>
    <cellStyle name="Überschrift 1 2 9" xfId="18573" xr:uid="{3A4AD56D-26B2-480A-B03A-70FD23A59A69}"/>
    <cellStyle name="Überschrift 1 2 9 2" xfId="38008" xr:uid="{DE4E4E3A-B073-4F65-B348-671C159D2E1D}"/>
    <cellStyle name="Überschrift 1 20" xfId="18574" xr:uid="{2F0F058B-31CF-48C6-9DAB-FAB2655993C4}"/>
    <cellStyle name="Überschrift 1 20 2" xfId="18575" xr:uid="{ECA13EA8-BC61-429A-AE19-3C2235647A07}"/>
    <cellStyle name="Überschrift 1 20 2 2" xfId="38010" xr:uid="{E70625A5-C234-4B88-9A0C-491E39A18E9F}"/>
    <cellStyle name="Überschrift 1 20 3" xfId="38009" xr:uid="{1D632683-DA9C-438F-9289-34E13357DB26}"/>
    <cellStyle name="Überschrift 1 21" xfId="18576" xr:uid="{84A5BE45-2739-4A3D-A5C9-8A3CF93660BC}"/>
    <cellStyle name="Überschrift 1 21 2" xfId="18577" xr:uid="{AB599E03-4C42-4CEA-9C07-BE5941F12AF4}"/>
    <cellStyle name="Überschrift 1 21 2 2" xfId="38012" xr:uid="{4FF2A5A5-713C-4FF6-AD84-468DAEAE9174}"/>
    <cellStyle name="Überschrift 1 21 3" xfId="38011" xr:uid="{5903B489-C057-4BA3-8589-79E9D61C0C6A}"/>
    <cellStyle name="Überschrift 1 22" xfId="18578" xr:uid="{C4F92308-4F0E-46DD-9D9E-33904AC8E5CF}"/>
    <cellStyle name="Überschrift 1 22 2" xfId="18579" xr:uid="{2EBF0208-B69B-426D-BA7E-A9DD9A27DB75}"/>
    <cellStyle name="Überschrift 1 22 2 2" xfId="38014" xr:uid="{4B785D02-75F0-42C5-9EAD-0EA1CF827652}"/>
    <cellStyle name="Überschrift 1 22 3" xfId="38013" xr:uid="{861156AE-2077-4841-AD42-0BB9B6773E0B}"/>
    <cellStyle name="Überschrift 1 23" xfId="18580" xr:uid="{731188F9-A257-4021-A5DD-BD386FFEE18B}"/>
    <cellStyle name="Überschrift 1 23 2" xfId="18581" xr:uid="{1D0891F6-520A-4C4A-8D90-FABA204FDF40}"/>
    <cellStyle name="Überschrift 1 23 2 2" xfId="38016" xr:uid="{DEA60A73-B3B7-430D-9A2A-B03E64A7AA2F}"/>
    <cellStyle name="Überschrift 1 23 3" xfId="38015" xr:uid="{9EDE7982-E880-40CE-8DC4-B543071644AD}"/>
    <cellStyle name="Überschrift 1 24" xfId="18582" xr:uid="{DF3EF7FD-A3B3-4DED-BB23-84C65B971962}"/>
    <cellStyle name="Überschrift 1 24 2" xfId="18583" xr:uid="{3F5F345F-C8BE-4009-9775-A6ABA8015FFF}"/>
    <cellStyle name="Überschrift 1 24 2 2" xfId="38018" xr:uid="{9D2F3E8C-E01C-436E-8596-EEFF51D89350}"/>
    <cellStyle name="Überschrift 1 24 3" xfId="38017" xr:uid="{846AEC4D-56AC-457C-98EF-E4462CD01A62}"/>
    <cellStyle name="Überschrift 1 25" xfId="18584" xr:uid="{49375772-320D-4694-9571-50053471A23C}"/>
    <cellStyle name="Überschrift 1 25 2" xfId="18585" xr:uid="{BB27FC84-D4CA-4F05-961B-C83688FA4831}"/>
    <cellStyle name="Überschrift 1 25 2 2" xfId="38020" xr:uid="{E3B3FAA7-3792-47EE-9899-E459440E3211}"/>
    <cellStyle name="Überschrift 1 25 3" xfId="38019" xr:uid="{7AAB9F87-E3C1-49BC-A667-7EC2882C23CF}"/>
    <cellStyle name="Überschrift 1 26" xfId="18586" xr:uid="{21AAEAAD-6E65-4C83-BCBA-2833CF8A04A4}"/>
    <cellStyle name="Überschrift 1 26 2" xfId="18587" xr:uid="{B89D1DB6-841E-4F8E-8FFC-E1642471D98C}"/>
    <cellStyle name="Überschrift 1 26 2 2" xfId="38022" xr:uid="{D16751C8-3177-4947-B3EE-3450B591F288}"/>
    <cellStyle name="Überschrift 1 26 3" xfId="38021" xr:uid="{19A7F8C0-6D80-4D75-A791-A1AD1DAA3396}"/>
    <cellStyle name="Überschrift 1 27" xfId="18588" xr:uid="{4BA29FA9-5F18-4BBB-9A4D-2F2F9263CFF3}"/>
    <cellStyle name="Überschrift 1 27 2" xfId="18589" xr:uid="{3ED31615-8591-4000-9B2F-F88CFB5B2FE1}"/>
    <cellStyle name="Überschrift 1 27 2 2" xfId="38024" xr:uid="{87717071-0FAF-4066-9CC3-F73EDB0C8444}"/>
    <cellStyle name="Überschrift 1 27 3" xfId="38023" xr:uid="{65581156-8136-4367-A675-F73249E4E64C}"/>
    <cellStyle name="Überschrift 1 28" xfId="18590" xr:uid="{E4C825BA-2D1F-4F68-9C75-52B09D433DE2}"/>
    <cellStyle name="Überschrift 1 28 2" xfId="18591" xr:uid="{806B8974-FE13-4403-8762-D89138BC7504}"/>
    <cellStyle name="Überschrift 1 28 2 2" xfId="38026" xr:uid="{4C6CE869-1464-48CD-8F7C-D333D7DF5BF6}"/>
    <cellStyle name="Überschrift 1 28 3" xfId="38025" xr:uid="{25C4D63F-ECE5-4A61-AA13-432FF88914F0}"/>
    <cellStyle name="Überschrift 1 29" xfId="18592" xr:uid="{D75D0654-2917-41D6-86C3-F5DBCCA9E3F0}"/>
    <cellStyle name="Überschrift 1 29 2" xfId="18593" xr:uid="{8CE3AA62-9F94-4AD4-B92A-FD69F7CAC04D}"/>
    <cellStyle name="Überschrift 1 29 2 2" xfId="38028" xr:uid="{3E26BD52-35AA-4476-BB17-958E9F102538}"/>
    <cellStyle name="Überschrift 1 29 3" xfId="38027" xr:uid="{F0A78558-8C5E-4C30-870A-BF1B3C85E145}"/>
    <cellStyle name="Überschrift 1 3" xfId="18594" xr:uid="{7145219A-6E83-4544-97BA-F861D5C2656B}"/>
    <cellStyle name="Überschrift 1 3 10" xfId="39856" xr:uid="{CDCB6F09-A4C6-48E9-A445-E8952D15026E}"/>
    <cellStyle name="Überschrift 1 3 2" xfId="18595" xr:uid="{94561FEF-FB97-4871-B826-EEBADC143F65}"/>
    <cellStyle name="Überschrift 1 3 2 2" xfId="18596" xr:uid="{E0E7EBF6-E1D7-4785-A2CE-C5218C50D0EF}"/>
    <cellStyle name="Überschrift 1 3 2 2 2" xfId="18597" xr:uid="{7B9566AD-E60C-4432-BE7D-78FC518EC1C0}"/>
    <cellStyle name="Überschrift 1 3 2 2 2 2" xfId="38032" xr:uid="{70839C46-7E53-4AC6-8206-5F530EE84642}"/>
    <cellStyle name="Überschrift 1 3 2 2 3" xfId="38031" xr:uid="{B5454831-8F8D-43F1-A7B8-12B270E79587}"/>
    <cellStyle name="Überschrift 1 3 2 3" xfId="18598" xr:uid="{61F00094-94FF-4319-B8D4-A90F045BF733}"/>
    <cellStyle name="Überschrift 1 3 2 3 2" xfId="38033" xr:uid="{94DFE4CD-A8D5-4F29-8928-2F904923E55B}"/>
    <cellStyle name="Überschrift 1 3 2 4" xfId="18599" xr:uid="{1DDB2CF5-3767-4C87-A6DF-C3372E944CDD}"/>
    <cellStyle name="Überschrift 1 3 2 4 2" xfId="38034" xr:uid="{26D67681-60FC-4CE5-A857-6B7450EC07AC}"/>
    <cellStyle name="Überschrift 1 3 2 5" xfId="38030" xr:uid="{08516926-A9A0-4ED6-B421-ACB59002AE45}"/>
    <cellStyle name="Überschrift 1 3 2 6" xfId="40387" xr:uid="{5FA77355-7839-4502-A9A5-54736F8676AE}"/>
    <cellStyle name="Überschrift 1 3 3" xfId="18600" xr:uid="{8EE7217C-BFAF-4070-9105-95D8943AE404}"/>
    <cellStyle name="Überschrift 1 3 3 2" xfId="38035" xr:uid="{4B6548CC-CA08-4D1E-8699-29CC3A796625}"/>
    <cellStyle name="Überschrift 1 3 4" xfId="18601" xr:uid="{2FC0C247-C61A-476A-A1B9-53B37E649119}"/>
    <cellStyle name="Überschrift 1 3 4 2" xfId="38036" xr:uid="{270274E1-D182-4FE8-A415-6ED7224F4DB6}"/>
    <cellStyle name="Überschrift 1 3 5" xfId="18602" xr:uid="{156EC852-2BF2-42E9-9D10-4C9E69B4CEE6}"/>
    <cellStyle name="Überschrift 1 3 5 2" xfId="18603" xr:uid="{C07ECB3B-6260-4622-B390-06F2251AA8F2}"/>
    <cellStyle name="Überschrift 1 3 5 2 2" xfId="38038" xr:uid="{6479DAD6-E65D-48FB-8B74-E3E003DD392C}"/>
    <cellStyle name="Überschrift 1 3 5 3" xfId="38037" xr:uid="{8ABF4D7A-C03E-4A6B-AB49-99D9DADF8C2B}"/>
    <cellStyle name="Überschrift 1 3 6" xfId="18604" xr:uid="{8BD27ADB-5DFC-4516-B91A-D2B9379D82EC}"/>
    <cellStyle name="Überschrift 1 3 6 2" xfId="38039" xr:uid="{4F07BD13-489E-44DC-B4EA-E8D060BB7BE6}"/>
    <cellStyle name="Überschrift 1 3 7" xfId="18605" xr:uid="{54BDE056-4983-4965-A362-380981C4ABE8}"/>
    <cellStyle name="Überschrift 1 3 7 2" xfId="38040" xr:uid="{37DE3A67-3D67-4A9B-B42D-32FC6586468C}"/>
    <cellStyle name="Überschrift 1 3 8" xfId="18606" xr:uid="{7348B6F5-F57E-4793-AD43-833F7F73EB4F}"/>
    <cellStyle name="Überschrift 1 3 8 2" xfId="38041" xr:uid="{99F6CC90-6426-4096-833C-9123A34FBF83}"/>
    <cellStyle name="Überschrift 1 3 9" xfId="38029" xr:uid="{5F2AB19D-4127-4495-B065-68D4BAABAEC1}"/>
    <cellStyle name="Überschrift 1 30" xfId="18607" xr:uid="{AB58778A-6E8E-4719-B82E-A19613E66356}"/>
    <cellStyle name="Überschrift 1 30 2" xfId="18608" xr:uid="{0726C5EF-6B90-4D9C-A83B-00A2FBE2E5C4}"/>
    <cellStyle name="Überschrift 1 30 2 2" xfId="38043" xr:uid="{0EEB0DCA-1225-4F3D-8B77-984D86CF9F4F}"/>
    <cellStyle name="Überschrift 1 30 3" xfId="38042" xr:uid="{C955C39A-82AA-4168-A6E7-D53B843734EC}"/>
    <cellStyle name="Überschrift 1 31" xfId="18609" xr:uid="{8E76ADAA-87A9-41B7-A6D0-E4E2B9629756}"/>
    <cellStyle name="Überschrift 1 31 2" xfId="18610" xr:uid="{E8893DB7-CAC1-41BC-B7B3-7607EED9B0A4}"/>
    <cellStyle name="Überschrift 1 31 2 2" xfId="38045" xr:uid="{0845F3BB-0FDD-4020-BB90-B2FBA401124F}"/>
    <cellStyle name="Überschrift 1 31 3" xfId="38044" xr:uid="{623CAD55-B8DB-4033-96E5-404FFEB0ED87}"/>
    <cellStyle name="Überschrift 1 32" xfId="18611" xr:uid="{25F31C4F-D093-44B9-AFF9-3AE99EF3C358}"/>
    <cellStyle name="Überschrift 1 32 2" xfId="18612" xr:uid="{6343C135-6E25-4E8A-869B-7CD3E4A6F8EE}"/>
    <cellStyle name="Überschrift 1 32 2 2" xfId="38047" xr:uid="{2F333825-A666-469D-9474-E26EB43F826E}"/>
    <cellStyle name="Überschrift 1 32 3" xfId="38046" xr:uid="{FAE3BFDC-F886-4F4F-B840-C2FD0338C12A}"/>
    <cellStyle name="Überschrift 1 33" xfId="18613" xr:uid="{693D8F2C-ECD4-4468-AFEB-AADFA28601E0}"/>
    <cellStyle name="Überschrift 1 33 2" xfId="18614" xr:uid="{D030D761-019B-4F89-B86F-AB72BDE65C32}"/>
    <cellStyle name="Überschrift 1 33 2 2" xfId="38049" xr:uid="{A2766937-2B97-4831-A27A-C285604A13AE}"/>
    <cellStyle name="Überschrift 1 33 3" xfId="38048" xr:uid="{753B8685-0528-4225-89C1-8E9865C16BD7}"/>
    <cellStyle name="Überschrift 1 34" xfId="18615" xr:uid="{6EFF28D0-C52E-4E64-8851-0F7B5A738139}"/>
    <cellStyle name="Überschrift 1 34 2" xfId="18616" xr:uid="{A14950DC-B48E-4A80-8F77-A03A2D50906D}"/>
    <cellStyle name="Überschrift 1 34 2 2" xfId="38051" xr:uid="{77DBBAEC-9866-4FE6-9B7B-FC1AC85871F8}"/>
    <cellStyle name="Überschrift 1 34 3" xfId="38050" xr:uid="{854D31C7-060F-4E1C-8802-53747253B045}"/>
    <cellStyle name="Überschrift 1 35" xfId="18617" xr:uid="{416599CD-11C7-4A37-9384-3069607E96A6}"/>
    <cellStyle name="Überschrift 1 35 2" xfId="18618" xr:uid="{8C7AB272-E432-4C7C-8998-D564405C0F6E}"/>
    <cellStyle name="Überschrift 1 35 2 2" xfId="38053" xr:uid="{C7A0C18C-02DC-4C1E-B223-C23CCE859C9B}"/>
    <cellStyle name="Überschrift 1 35 3" xfId="38052" xr:uid="{FFDC31AE-86F2-4B90-BD6D-2B94448423AF}"/>
    <cellStyle name="Überschrift 1 36" xfId="18619" xr:uid="{9F3E7589-9112-4B80-8B48-9512EF5A28D6}"/>
    <cellStyle name="Überschrift 1 36 2" xfId="18620" xr:uid="{91AAFAB2-3314-45CD-8469-BDD96347ADA8}"/>
    <cellStyle name="Überschrift 1 36 2 2" xfId="38055" xr:uid="{485F1DE7-D74E-468F-9345-D0478B8C72B4}"/>
    <cellStyle name="Überschrift 1 36 3" xfId="38054" xr:uid="{E18019F5-D790-4EDD-A291-946E8725F941}"/>
    <cellStyle name="Überschrift 1 37" xfId="37929" xr:uid="{BF0F33F2-5607-4B45-BD82-ACA19E48E978}"/>
    <cellStyle name="Überschrift 1 38" xfId="40403" xr:uid="{8BA02A44-513C-4A48-87AC-0678314C02AE}"/>
    <cellStyle name="Überschrift 1 39" xfId="18494" xr:uid="{97AC5143-252E-4C6A-A3C7-9ED93E578D17}"/>
    <cellStyle name="Überschrift 1 4" xfId="18621" xr:uid="{4DFDCD7E-AB54-4160-AE46-A36C661550EF}"/>
    <cellStyle name="Überschrift 1 4 2" xfId="18622" xr:uid="{C547E871-C239-4950-9BE4-F1720DF9FB57}"/>
    <cellStyle name="Überschrift 1 4 2 2" xfId="18623" xr:uid="{AB9234AC-F808-43D1-89A4-B0D463C90C98}"/>
    <cellStyle name="Überschrift 1 4 2 2 2" xfId="38058" xr:uid="{6BD0D921-0DBA-463F-8DF5-507FAF9106CB}"/>
    <cellStyle name="Überschrift 1 4 2 3" xfId="38057" xr:uid="{B105B81D-A6B1-40EA-ADB7-BD8B2545BA85}"/>
    <cellStyle name="Überschrift 1 4 2 4" xfId="40388" xr:uid="{12AFFF66-8060-4DD9-B2EF-E0EB59937BA1}"/>
    <cellStyle name="Überschrift 1 4 3" xfId="18624" xr:uid="{E6E17693-610E-4B91-BB09-CDABAF86AAE3}"/>
    <cellStyle name="Überschrift 1 4 3 2" xfId="38059" xr:uid="{74524B9C-8741-4872-950B-72F1961776DE}"/>
    <cellStyle name="Überschrift 1 4 4" xfId="18625" xr:uid="{221E7614-30DE-4EF5-B522-9AB17ABF2CF5}"/>
    <cellStyle name="Überschrift 1 4 4 2" xfId="38060" xr:uid="{DE64E752-2813-4C53-8758-0545FC931314}"/>
    <cellStyle name="Überschrift 1 4 5" xfId="18626" xr:uid="{BAECBB94-915C-43D6-A058-9DFEAC9CCD2B}"/>
    <cellStyle name="Überschrift 1 4 5 2" xfId="38061" xr:uid="{A033CF8B-D8EB-410F-831E-EBA8FC4D7469}"/>
    <cellStyle name="Überschrift 1 4 6" xfId="18627" xr:uid="{90B48AB2-682A-4744-974E-95964AD722A4}"/>
    <cellStyle name="Überschrift 1 4 6 2" xfId="38062" xr:uid="{D2FDF371-4187-4861-9642-D66EF99EC96D}"/>
    <cellStyle name="Überschrift 1 4 7" xfId="38056" xr:uid="{76E7C608-D197-4F64-89F5-84BF6938DE09}"/>
    <cellStyle name="Überschrift 1 4 8" xfId="39857" xr:uid="{D2EC14C8-AF0B-4D65-8AED-17822489B97F}"/>
    <cellStyle name="Überschrift 1 40" xfId="41" xr:uid="{7F56BD47-894F-4C9D-BCFB-601A261D7ED6}"/>
    <cellStyle name="Überschrift 1 5" xfId="18628" xr:uid="{7EEDB4DE-AECA-4ABE-BDEB-09833C66D02B}"/>
    <cellStyle name="Überschrift 1 5 2" xfId="18629" xr:uid="{5DC24527-D555-4312-8679-A8D7DC9C8463}"/>
    <cellStyle name="Überschrift 1 5 2 2" xfId="38064" xr:uid="{6149F035-7A8C-445E-8D22-21F666BEB43E}"/>
    <cellStyle name="Überschrift 1 5 3" xfId="18630" xr:uid="{A05053E6-A6D2-426C-8D22-7F0F3358B354}"/>
    <cellStyle name="Überschrift 1 5 3 2" xfId="38065" xr:uid="{08EA93FC-9AB1-461E-B959-94777F5A5B29}"/>
    <cellStyle name="Überschrift 1 5 4" xfId="18631" xr:uid="{7C93981C-6767-456B-ACF9-42DCEC6E4149}"/>
    <cellStyle name="Überschrift 1 5 4 2" xfId="38066" xr:uid="{BDB30BB2-F436-480C-9DC5-FAFD82D451D1}"/>
    <cellStyle name="Überschrift 1 5 5" xfId="38063" xr:uid="{342BD5C4-7042-4EC7-A3D2-6CCDE559CF48}"/>
    <cellStyle name="Überschrift 1 5 6" xfId="39858" xr:uid="{B6909A7E-B89F-44E3-B598-2BAE434F80FF}"/>
    <cellStyle name="Überschrift 1 6" xfId="18632" xr:uid="{F6EE31C8-5FF0-4AB3-9212-8050B62B7B0F}"/>
    <cellStyle name="Überschrift 1 6 2" xfId="18633" xr:uid="{41D6D65E-4C26-4FF6-99CA-5781C47420B6}"/>
    <cellStyle name="Überschrift 1 6 2 2" xfId="38068" xr:uid="{672D1400-8940-4BFD-9C95-FAFA482F6743}"/>
    <cellStyle name="Überschrift 1 6 3" xfId="18634" xr:uid="{E1A7F9C7-2250-42C6-8CA0-D5DE5FA74B2B}"/>
    <cellStyle name="Überschrift 1 6 3 2" xfId="38069" xr:uid="{556599C9-E1A0-4F93-9BCF-58480866352C}"/>
    <cellStyle name="Überschrift 1 6 4" xfId="18635" xr:uid="{7D5A9D44-9144-49AE-9AC6-ADC0F3BDAA30}"/>
    <cellStyle name="Überschrift 1 6 4 2" xfId="38070" xr:uid="{A372229D-131F-4501-B9BD-A35A060E2E16}"/>
    <cellStyle name="Überschrift 1 6 5" xfId="38067" xr:uid="{B2BFDC11-A58F-402D-996D-9FFB14C474F3}"/>
    <cellStyle name="Überschrift 1 6 6" xfId="39853" xr:uid="{42CF0C40-9A23-4831-B175-4E2DEAA51E73}"/>
    <cellStyle name="Überschrift 1 7" xfId="18636" xr:uid="{976C6995-A2F6-4052-8DB4-868FA4431BAB}"/>
    <cellStyle name="Überschrift 1 7 2" xfId="18637" xr:uid="{F0160FB8-66B1-4C08-A989-0655CAD8891B}"/>
    <cellStyle name="Überschrift 1 7 2 2" xfId="38072" xr:uid="{068F4C51-D3AE-4622-8CC7-5E19379910B2}"/>
    <cellStyle name="Überschrift 1 7 3" xfId="38071" xr:uid="{9E85AE88-14F1-4745-9FD3-11813C4EA65E}"/>
    <cellStyle name="Überschrift 1 8" xfId="18638" xr:uid="{AE267B02-B9CD-46F8-8940-E291E0810463}"/>
    <cellStyle name="Überschrift 1 8 2" xfId="18639" xr:uid="{0BD7EE64-CF7F-467E-BF32-2E067938DF16}"/>
    <cellStyle name="Überschrift 1 8 2 2" xfId="38074" xr:uid="{7EA34DD9-9EC7-462C-A87C-10AA28AB15DB}"/>
    <cellStyle name="Überschrift 1 8 3" xfId="38073" xr:uid="{30682513-1DB8-4814-BC99-19594488E9B6}"/>
    <cellStyle name="Überschrift 1 9" xfId="18640" xr:uid="{DDCD66D2-2301-4238-A709-223B8F3C3164}"/>
    <cellStyle name="Überschrift 1 9 2" xfId="18641" xr:uid="{E966BD2A-F904-4E88-8F97-5B594BD1D664}"/>
    <cellStyle name="Überschrift 1 9 2 2" xfId="38076" xr:uid="{AAA15B5E-8CA7-4372-8CA8-FC2874D40B60}"/>
    <cellStyle name="Überschrift 1 9 3" xfId="38075" xr:uid="{098935D2-805A-4338-9AC2-2E49F2CC4D6C}"/>
    <cellStyle name="Überschrift 10" xfId="18642" xr:uid="{F178E326-511D-4E4A-9A41-F39D2D745410}"/>
    <cellStyle name="Überschrift 10 2" xfId="18643" xr:uid="{39636373-53F1-491F-898D-EC07E7A48BA6}"/>
    <cellStyle name="Überschrift 10 2 2" xfId="38078" xr:uid="{8F132018-D851-43A8-87B6-3FC0B851AE38}"/>
    <cellStyle name="Überschrift 10 3" xfId="38077" xr:uid="{3281D441-6F5B-4C81-87C2-CAB88E968133}"/>
    <cellStyle name="Überschrift 11" xfId="18644" xr:uid="{C9DB852A-13D2-42D6-AE63-01704FBF9480}"/>
    <cellStyle name="Überschrift 11 2" xfId="18645" xr:uid="{559C78DF-6729-465C-AB50-F75B1D852E91}"/>
    <cellStyle name="Überschrift 11 2 2" xfId="38080" xr:uid="{D10B1C2B-5AF3-434B-A48C-2D9740BF9616}"/>
    <cellStyle name="Überschrift 11 3" xfId="38079" xr:uid="{18828A39-CA55-41D0-A9EB-AA3F2151AC87}"/>
    <cellStyle name="Überschrift 12" xfId="18646" xr:uid="{9BAE62AB-473A-4C64-9B13-B3ED95ABF375}"/>
    <cellStyle name="Überschrift 12 2" xfId="18647" xr:uid="{DFE254E4-CFFA-4BAF-9B60-4A3EBF6E5EE5}"/>
    <cellStyle name="Überschrift 12 2 2" xfId="38082" xr:uid="{6F0DCF5E-9FE2-4C58-8721-1A7F5633972E}"/>
    <cellStyle name="Überschrift 12 3" xfId="38081" xr:uid="{6D5663D3-F722-4AAC-B494-753F890D9646}"/>
    <cellStyle name="Überschrift 13" xfId="18648" xr:uid="{78250CA0-9C5C-47CE-8170-4AF5516F633B}"/>
    <cellStyle name="Überschrift 13 2" xfId="18649" xr:uid="{119E2F7F-2038-4C47-8C68-5FAE7ACAA3F1}"/>
    <cellStyle name="Überschrift 13 2 2" xfId="38084" xr:uid="{66046EE8-E41B-4053-B6E4-2D054AFBD88C}"/>
    <cellStyle name="Überschrift 13 3" xfId="38083" xr:uid="{01DCAE8D-FE1A-4266-87CC-BE9F3D6CC2AA}"/>
    <cellStyle name="Überschrift 14" xfId="18650" xr:uid="{37A14A5E-A8A1-4399-8F6D-624C495D2575}"/>
    <cellStyle name="Überschrift 14 2" xfId="18651" xr:uid="{3BE052AC-08C4-485D-867F-19D30102381D}"/>
    <cellStyle name="Überschrift 14 2 2" xfId="38086" xr:uid="{92D85E15-A84E-43BA-886D-797E3F06FEE9}"/>
    <cellStyle name="Überschrift 14 3" xfId="38085" xr:uid="{1D8372D9-E38B-4995-946B-C67386197433}"/>
    <cellStyle name="Überschrift 15" xfId="18652" xr:uid="{833B15D3-10AC-4D93-BFD1-8F4B9029CFD7}"/>
    <cellStyle name="Überschrift 15 2" xfId="18653" xr:uid="{4B8F5531-AA5F-49D0-BEB3-AD77BF7216D2}"/>
    <cellStyle name="Überschrift 15 2 2" xfId="38088" xr:uid="{E8710CFE-FD70-4730-90C2-086585AB4BF8}"/>
    <cellStyle name="Überschrift 15 3" xfId="38087" xr:uid="{5327201E-8623-47DE-BA62-2EFF1FC90184}"/>
    <cellStyle name="Überschrift 16" xfId="18654" xr:uid="{8E54FD86-0334-4B11-8A63-0F3611372D1E}"/>
    <cellStyle name="Überschrift 16 2" xfId="18655" xr:uid="{3E0C6E2C-DCF9-4A71-8889-E90CD212B236}"/>
    <cellStyle name="Überschrift 16 2 2" xfId="38090" xr:uid="{316463B7-1DA9-4263-9FBE-AAEFDAC07F14}"/>
    <cellStyle name="Überschrift 16 3" xfId="38089" xr:uid="{EAB7FC67-AF1B-456C-A0EC-2929C09B3514}"/>
    <cellStyle name="Überschrift 17" xfId="18656" xr:uid="{0D2DE36C-AF2E-4757-9506-95D02966E344}"/>
    <cellStyle name="Überschrift 17 2" xfId="18657" xr:uid="{388A166A-AF4C-40A7-B974-172ADECDB08C}"/>
    <cellStyle name="Überschrift 17 2 2" xfId="38092" xr:uid="{8CD19156-5527-436C-A065-1727125A431B}"/>
    <cellStyle name="Überschrift 17 3" xfId="38091" xr:uid="{85DED36D-F9B9-4A3F-B304-BEC580AF25BD}"/>
    <cellStyle name="Überschrift 18" xfId="18658" xr:uid="{B834328E-E8CF-4968-9122-53B8A22F8727}"/>
    <cellStyle name="Überschrift 18 2" xfId="18659" xr:uid="{E764A0CE-42A1-4F4A-BBA9-89940B85D00A}"/>
    <cellStyle name="Überschrift 18 2 2" xfId="38094" xr:uid="{6C50361B-D3B1-4BA3-BFD3-3C69FD74D337}"/>
    <cellStyle name="Überschrift 18 3" xfId="38093" xr:uid="{0C3AE274-86C0-4B51-A7EF-44A53CBC73F7}"/>
    <cellStyle name="Überschrift 19" xfId="18660" xr:uid="{73C38652-085D-43FE-BEB0-73246FA8C9A9}"/>
    <cellStyle name="Überschrift 19 2" xfId="18661" xr:uid="{060668E2-74AA-4F00-99C0-996625EF4BF7}"/>
    <cellStyle name="Überschrift 19 2 2" xfId="38096" xr:uid="{C4B4E482-FA7D-49AE-8D67-2EDA35BF8C5F}"/>
    <cellStyle name="Überschrift 19 3" xfId="38095" xr:uid="{87C432F0-94BC-4E13-8001-5B2A86D3B663}"/>
    <cellStyle name="Überschrift 2 10" xfId="18663" xr:uid="{368BEC48-8AD2-4D9A-9192-D3B1DFD9AF9C}"/>
    <cellStyle name="Überschrift 2 10 2" xfId="18664" xr:uid="{E9C8B4B9-798B-4841-B7DA-458ABF1AF415}"/>
    <cellStyle name="Überschrift 2 10 2 2" xfId="38099" xr:uid="{B3E8C1F1-9FA4-42E0-A2D8-6199DD4A3FF9}"/>
    <cellStyle name="Überschrift 2 10 3" xfId="38098" xr:uid="{691640DF-FED1-4A5C-B81A-E62C2F21FFFF}"/>
    <cellStyle name="Überschrift 2 11" xfId="18665" xr:uid="{64C0A221-56D6-4F25-8B18-1F6AA436E3FB}"/>
    <cellStyle name="Überschrift 2 11 2" xfId="18666" xr:uid="{C853E484-EFF4-43AA-8537-C057980BADD0}"/>
    <cellStyle name="Überschrift 2 11 2 2" xfId="38101" xr:uid="{56780629-8855-420A-B342-4D190407827A}"/>
    <cellStyle name="Überschrift 2 11 3" xfId="38100" xr:uid="{221FAF20-24F7-4EB1-8069-17763E743301}"/>
    <cellStyle name="Überschrift 2 12" xfId="18667" xr:uid="{8C5CDCBE-53AA-4213-950F-59328006210C}"/>
    <cellStyle name="Überschrift 2 12 2" xfId="18668" xr:uid="{D7060D4A-AAD0-4523-A812-616386831F0C}"/>
    <cellStyle name="Überschrift 2 12 2 2" xfId="38103" xr:uid="{87E88684-A522-4F54-B843-B0C9632251B7}"/>
    <cellStyle name="Überschrift 2 12 3" xfId="38102" xr:uid="{25355679-3946-401D-BAB7-2060F138A41C}"/>
    <cellStyle name="Überschrift 2 13" xfId="18669" xr:uid="{C8B427CE-5D94-4715-853D-95E6712D6070}"/>
    <cellStyle name="Überschrift 2 13 2" xfId="18670" xr:uid="{81375FA3-CA39-42E0-AF69-4D4B6E5ED630}"/>
    <cellStyle name="Überschrift 2 13 2 2" xfId="38105" xr:uid="{AD1D735A-F871-4902-9E94-2A600F07ACBD}"/>
    <cellStyle name="Überschrift 2 13 3" xfId="38104" xr:uid="{02BB2898-4ABA-4B28-A923-E88380B699F4}"/>
    <cellStyle name="Überschrift 2 14" xfId="18671" xr:uid="{E018EA99-99D3-4994-902A-A008AF0EC7AC}"/>
    <cellStyle name="Überschrift 2 14 2" xfId="18672" xr:uid="{2E1A6793-2F55-47C3-8282-C99749AF1EC7}"/>
    <cellStyle name="Überschrift 2 14 2 2" xfId="38107" xr:uid="{5371D8CE-E910-47CF-A0F5-53B33CE9B329}"/>
    <cellStyle name="Überschrift 2 14 3" xfId="38106" xr:uid="{F1E5FFF1-8143-4C8E-8296-5C10EAB8DC6F}"/>
    <cellStyle name="Überschrift 2 15" xfId="18673" xr:uid="{6072B0BA-54DD-405F-91C5-78DA11CED7F6}"/>
    <cellStyle name="Überschrift 2 15 2" xfId="18674" xr:uid="{662EADC6-9039-487E-9317-A7522C302D98}"/>
    <cellStyle name="Überschrift 2 15 2 2" xfId="38109" xr:uid="{BD57EF7C-AA57-48CA-8DAE-898C5A64924C}"/>
    <cellStyle name="Überschrift 2 15 3" xfId="38108" xr:uid="{2B08F1C7-C006-4170-A413-05FD3E77DCC6}"/>
    <cellStyle name="Überschrift 2 16" xfId="18675" xr:uid="{1EDBD618-B121-4CCB-B6D9-6CE5174B25DA}"/>
    <cellStyle name="Überschrift 2 16 2" xfId="18676" xr:uid="{644F4EF5-23C2-4F16-BC94-270BAEE6B29C}"/>
    <cellStyle name="Überschrift 2 16 2 2" xfId="38111" xr:uid="{9BBC51FB-EE49-40D2-964B-D5BADA8F6819}"/>
    <cellStyle name="Überschrift 2 16 3" xfId="38110" xr:uid="{400969F0-B9ED-4940-84D8-11926555806D}"/>
    <cellStyle name="Überschrift 2 17" xfId="18677" xr:uid="{A5887C55-1A27-49F6-BFA5-CF825C3D89C3}"/>
    <cellStyle name="Überschrift 2 17 2" xfId="18678" xr:uid="{85E88565-6310-443E-9027-64B8EA92C3F3}"/>
    <cellStyle name="Überschrift 2 17 2 2" xfId="38113" xr:uid="{7E9D04CF-7728-4B20-8E29-6844242179AB}"/>
    <cellStyle name="Überschrift 2 17 3" xfId="38112" xr:uid="{51F2961E-B510-477B-8926-15AC58B53229}"/>
    <cellStyle name="Überschrift 2 18" xfId="18679" xr:uid="{B28B9EC6-249E-435A-B268-3461EA49E244}"/>
    <cellStyle name="Überschrift 2 18 2" xfId="18680" xr:uid="{ECA1D9C4-1A76-4F17-86EE-8F34067236A4}"/>
    <cellStyle name="Überschrift 2 18 2 2" xfId="38115" xr:uid="{5B1C2A31-78D0-464F-95F3-C67CECBCD5D0}"/>
    <cellStyle name="Überschrift 2 18 3" xfId="38114" xr:uid="{F2EFAF69-6E1B-4245-95F4-8D30A0C1683A}"/>
    <cellStyle name="Überschrift 2 19" xfId="18681" xr:uid="{D267B5EC-5EF1-44F5-8FA0-98D66B42B2C8}"/>
    <cellStyle name="Überschrift 2 19 2" xfId="18682" xr:uid="{97772088-93D4-4742-B7A0-3C454F7CAC3F}"/>
    <cellStyle name="Überschrift 2 19 2 2" xfId="38117" xr:uid="{ECE10DE4-ED14-4BE0-9883-3A75671CF7A8}"/>
    <cellStyle name="Überschrift 2 19 3" xfId="38116" xr:uid="{01E5E6BE-7768-4FC1-ADD5-6FCF12592728}"/>
    <cellStyle name="Überschrift 2 2" xfId="18683" xr:uid="{4BF3714E-898F-4B75-8514-7299D0D2F8D8}"/>
    <cellStyle name="Überschrift 2 2 10" xfId="18684" xr:uid="{37BE993A-9164-49AD-848B-A12B6AE0CE31}"/>
    <cellStyle name="Überschrift 2 2 10 2" xfId="38119" xr:uid="{3CCD76F0-CF3D-4BC0-8462-BEDAA752AC96}"/>
    <cellStyle name="Überschrift 2 2 11" xfId="18685" xr:uid="{435E8183-117D-44E2-AEEE-ECBFE6DE9E86}"/>
    <cellStyle name="Überschrift 2 2 11 2" xfId="38120" xr:uid="{499A3329-BE56-4A28-AEED-2F733BA2EAE0}"/>
    <cellStyle name="Überschrift 2 2 12" xfId="18686" xr:uid="{998E8BB0-5054-4438-8A79-3E2ABD1091DF}"/>
    <cellStyle name="Überschrift 2 2 12 2" xfId="38121" xr:uid="{E53BE71F-425E-4267-8ABC-5507928BADEE}"/>
    <cellStyle name="Überschrift 2 2 13" xfId="18687" xr:uid="{54AC69A7-8C3E-41EB-919C-1DB7968F5851}"/>
    <cellStyle name="Überschrift 2 2 13 2" xfId="38122" xr:uid="{A8F184C1-F62F-4309-936E-BF1C90F1B788}"/>
    <cellStyle name="Überschrift 2 2 14" xfId="18688" xr:uid="{DE22AF72-2ECA-4C93-A6BE-15CD7DD8A93A}"/>
    <cellStyle name="Überschrift 2 2 14 2" xfId="38123" xr:uid="{08EA5053-20B0-4199-B332-0C7E2640EF46}"/>
    <cellStyle name="Überschrift 2 2 15" xfId="38118" xr:uid="{0E8FAF00-07A9-431D-ADB6-6ACDE794C24E}"/>
    <cellStyle name="Überschrift 2 2 16" xfId="39860" xr:uid="{1895A6AC-4E91-4F13-9D6E-84BA1B5FA6F0}"/>
    <cellStyle name="Überschrift 2 2 2" xfId="18689" xr:uid="{3E06E0D6-B79D-4CB7-BC6B-F9A6A2610C8C}"/>
    <cellStyle name="Überschrift 2 2 2 10" xfId="18690" xr:uid="{F7A03743-1774-404F-B92F-22CD6FA64C80}"/>
    <cellStyle name="Überschrift 2 2 2 10 2" xfId="38125" xr:uid="{857D75CD-6699-49DD-8E01-811D8A507E74}"/>
    <cellStyle name="Überschrift 2 2 2 11" xfId="18691" xr:uid="{69193F95-BCA8-4A01-8A0C-E55C0A9F6DD9}"/>
    <cellStyle name="Überschrift 2 2 2 11 2" xfId="38126" xr:uid="{C7685C94-7FC5-430F-BB22-CA361070A844}"/>
    <cellStyle name="Überschrift 2 2 2 12" xfId="18692" xr:uid="{61C8BA39-D3B8-49C9-A1D5-FC484C1D2448}"/>
    <cellStyle name="Überschrift 2 2 2 12 2" xfId="38127" xr:uid="{DABEDF48-EB64-4FB2-9144-8EA20A52B9F4}"/>
    <cellStyle name="Überschrift 2 2 2 13" xfId="38124" xr:uid="{154C04A0-0A1A-4630-8BC7-6A4D8C4FA909}"/>
    <cellStyle name="Überschrift 2 2 2 14" xfId="39861" xr:uid="{D2DC76D9-F879-4ECC-8FB7-962C77F750BA}"/>
    <cellStyle name="Überschrift 2 2 2 2" xfId="18693" xr:uid="{8D32EEF3-88CC-43F7-86A8-19DCC4DC2031}"/>
    <cellStyle name="Überschrift 2 2 2 2 10" xfId="18694" xr:uid="{D2507017-00FD-4304-A1A9-BE99DB46849B}"/>
    <cellStyle name="Überschrift 2 2 2 2 10 2" xfId="38129" xr:uid="{E58389C9-FC2A-4200-A7CD-47F95BE39738}"/>
    <cellStyle name="Überschrift 2 2 2 2 11" xfId="38128" xr:uid="{F2BD3A92-B0E4-414B-ADAE-7B83E64FE36D}"/>
    <cellStyle name="Überschrift 2 2 2 2 2" xfId="18695" xr:uid="{999C40B8-A9D1-4EEF-AC8C-6F85B9D0FE8B}"/>
    <cellStyle name="Überschrift 2 2 2 2 2 2" xfId="18696" xr:uid="{E75B1222-271C-4B72-897E-B841DB4CDF51}"/>
    <cellStyle name="Überschrift 2 2 2 2 2 2 2" xfId="18697" xr:uid="{E47A96EB-536C-43A3-929E-F33EC2C1EB43}"/>
    <cellStyle name="Überschrift 2 2 2 2 2 2 2 2" xfId="18698" xr:uid="{6E07B2C4-0635-4D07-84ED-A842E4F2C93C}"/>
    <cellStyle name="Überschrift 2 2 2 2 2 2 2 2 2" xfId="38133" xr:uid="{BDD700C5-5A15-4495-AB18-CD51AA509805}"/>
    <cellStyle name="Überschrift 2 2 2 2 2 2 2 3" xfId="38132" xr:uid="{F7247268-4FCB-4149-8CFE-B8EF24CD3A86}"/>
    <cellStyle name="Überschrift 2 2 2 2 2 2 3" xfId="18699" xr:uid="{D7E52A50-CEA2-4C9B-B4F5-67B4C90555F0}"/>
    <cellStyle name="Überschrift 2 2 2 2 2 2 3 2" xfId="38134" xr:uid="{D5598BC2-459B-4268-BFF3-470556BDC8BD}"/>
    <cellStyle name="Überschrift 2 2 2 2 2 2 4" xfId="18700" xr:uid="{3D91980B-0AE7-4D99-895E-1260A2BE346C}"/>
    <cellStyle name="Überschrift 2 2 2 2 2 2 4 2" xfId="38135" xr:uid="{3009F5A8-822E-42E3-96D1-1D03C5C548A2}"/>
    <cellStyle name="Überschrift 2 2 2 2 2 2 5" xfId="18701" xr:uid="{3A03FAFB-95D3-4393-B6A9-295CF2FC6876}"/>
    <cellStyle name="Überschrift 2 2 2 2 2 2 5 2" xfId="38136" xr:uid="{7BAA0226-DF4B-4BC7-8CE5-C3A88D12DCB3}"/>
    <cellStyle name="Überschrift 2 2 2 2 2 2 6" xfId="18702" xr:uid="{EBE9B599-6E21-4B38-AD72-B7C7E82676ED}"/>
    <cellStyle name="Überschrift 2 2 2 2 2 2 6 2" xfId="38137" xr:uid="{06FA3CC9-52EB-48A0-ADAB-1599884FDD8B}"/>
    <cellStyle name="Überschrift 2 2 2 2 2 2 7" xfId="18703" xr:uid="{87C0DD36-008D-4F4D-8AA1-8EC00F8D082C}"/>
    <cellStyle name="Überschrift 2 2 2 2 2 2 7 2" xfId="38138" xr:uid="{6C1A8F1D-F260-4FBC-AC11-1ACC0403BAB6}"/>
    <cellStyle name="Überschrift 2 2 2 2 2 2 8" xfId="18704" xr:uid="{618D91A5-A97E-4BCF-8FE8-936E525D0AEF}"/>
    <cellStyle name="Überschrift 2 2 2 2 2 2 8 2" xfId="38139" xr:uid="{E46A4606-58C9-4A92-B46F-6EA64A6CC754}"/>
    <cellStyle name="Überschrift 2 2 2 2 2 2 9" xfId="38131" xr:uid="{4EAD9D0B-3B47-4123-BEBC-8C5B0E948A32}"/>
    <cellStyle name="Überschrift 2 2 2 2 2 3" xfId="18705" xr:uid="{631CF565-A613-4C43-AF62-7BCEF509E915}"/>
    <cellStyle name="Überschrift 2 2 2 2 2 3 2" xfId="18706" xr:uid="{228CBD9A-896C-43F3-B403-B7D8F7DB8168}"/>
    <cellStyle name="Überschrift 2 2 2 2 2 3 2 2" xfId="38141" xr:uid="{1FB091B4-9F18-486A-854A-0E89F1B9C43F}"/>
    <cellStyle name="Überschrift 2 2 2 2 2 3 3" xfId="38140" xr:uid="{26B2E668-65AE-4E9F-9EA0-E2878139D7BB}"/>
    <cellStyle name="Überschrift 2 2 2 2 2 4" xfId="18707" xr:uid="{3C95718E-B0BC-40CE-8F31-B1D118BED2B1}"/>
    <cellStyle name="Überschrift 2 2 2 2 2 4 2" xfId="38142" xr:uid="{DD57E716-9AA1-42A5-9427-924EE7631C1E}"/>
    <cellStyle name="Überschrift 2 2 2 2 2 5" xfId="18708" xr:uid="{627D9192-625A-4544-9505-5242418F64EB}"/>
    <cellStyle name="Überschrift 2 2 2 2 2 5 2" xfId="38143" xr:uid="{C5571E12-800A-4F0A-BC3E-8A68CB14C8C7}"/>
    <cellStyle name="Überschrift 2 2 2 2 2 6" xfId="18709" xr:uid="{1DECE635-D330-4ED2-ADEC-1713967B088E}"/>
    <cellStyle name="Überschrift 2 2 2 2 2 6 2" xfId="38144" xr:uid="{7E391D5B-F0D0-4612-BF68-2B2DBDF4177C}"/>
    <cellStyle name="Überschrift 2 2 2 2 2 7" xfId="18710" xr:uid="{52B2B24F-5040-4E86-9FFE-176B633C9822}"/>
    <cellStyle name="Überschrift 2 2 2 2 2 7 2" xfId="38145" xr:uid="{8B66F03F-D7D3-4CAC-958C-5029405F54E2}"/>
    <cellStyle name="Überschrift 2 2 2 2 2 8" xfId="18711" xr:uid="{9D50A722-EB8F-4C5F-8DDA-F0E7F112AC0C}"/>
    <cellStyle name="Überschrift 2 2 2 2 2 8 2" xfId="38146" xr:uid="{968F310B-4B26-4BDC-A510-0943E2011006}"/>
    <cellStyle name="Überschrift 2 2 2 2 2 9" xfId="38130" xr:uid="{4642E3C5-29A9-496F-B708-BA428182DF2E}"/>
    <cellStyle name="Überschrift 2 2 2 2 3" xfId="18712" xr:uid="{E7B121DB-02C3-4725-8368-F87D5D1A6EF5}"/>
    <cellStyle name="Überschrift 2 2 2 2 3 2" xfId="38147" xr:uid="{D7554851-E53A-465F-9E46-ABDFB0BBD920}"/>
    <cellStyle name="Überschrift 2 2 2 2 4" xfId="18713" xr:uid="{1328A67C-4A33-49B4-98C9-1A14C03961E2}"/>
    <cellStyle name="Überschrift 2 2 2 2 4 2" xfId="38148" xr:uid="{11B9E5FB-15CA-4979-99E7-1221FB7C3613}"/>
    <cellStyle name="Überschrift 2 2 2 2 5" xfId="18714" xr:uid="{42D8F144-B3FA-4E00-9B13-C5FE2532F843}"/>
    <cellStyle name="Überschrift 2 2 2 2 5 2" xfId="18715" xr:uid="{A2377D74-BFDF-4EC0-9223-74155B9B0B1E}"/>
    <cellStyle name="Überschrift 2 2 2 2 5 2 2" xfId="38150" xr:uid="{8ECA8329-B0C0-4CDE-ACEA-8BD037A650A5}"/>
    <cellStyle name="Überschrift 2 2 2 2 5 3" xfId="38149" xr:uid="{6C39649E-97D0-4377-A96E-B87453A798E0}"/>
    <cellStyle name="Überschrift 2 2 2 2 6" xfId="18716" xr:uid="{8B2FEAB2-EEA0-4E26-B182-B55005452ED6}"/>
    <cellStyle name="Überschrift 2 2 2 2 6 2" xfId="38151" xr:uid="{984A9E10-1704-43DF-BC3C-AEF25AE4B213}"/>
    <cellStyle name="Überschrift 2 2 2 2 7" xfId="18717" xr:uid="{C5E3ADC8-CD7E-4385-A321-AB2049479E57}"/>
    <cellStyle name="Überschrift 2 2 2 2 7 2" xfId="38152" xr:uid="{3D34485D-C6E6-48B3-BC6F-E01654D7E62B}"/>
    <cellStyle name="Überschrift 2 2 2 2 8" xfId="18718" xr:uid="{76170797-2D89-416D-BA0D-BC84CC132E0E}"/>
    <cellStyle name="Überschrift 2 2 2 2 8 2" xfId="38153" xr:uid="{DFDDB4CE-36A7-4E0D-A1E5-B0C1F9ED896F}"/>
    <cellStyle name="Überschrift 2 2 2 2 9" xfId="18719" xr:uid="{DAE82AA1-F218-4143-AF5E-5D5913AF7D87}"/>
    <cellStyle name="Überschrift 2 2 2 2 9 2" xfId="38154" xr:uid="{A92C0CB3-F6C4-40B9-93FB-0E86B89AE3FD}"/>
    <cellStyle name="Überschrift 2 2 2 3" xfId="18720" xr:uid="{5023B6CA-3299-4D08-B331-201806E60153}"/>
    <cellStyle name="Überschrift 2 2 2 3 2" xfId="38155" xr:uid="{33900291-4972-49A5-B3C3-1BE20ED110F6}"/>
    <cellStyle name="Überschrift 2 2 2 4" xfId="18721" xr:uid="{C5D2AC3D-CDD8-413A-8793-1E1303FD3E06}"/>
    <cellStyle name="Überschrift 2 2 2 4 2" xfId="38156" xr:uid="{BEE82EB2-3F79-462D-B696-ADFD69E156A6}"/>
    <cellStyle name="Überschrift 2 2 2 5" xfId="18722" xr:uid="{58669AD1-1377-468E-AB1C-8EF2C2DB9984}"/>
    <cellStyle name="Überschrift 2 2 2 5 2" xfId="18723" xr:uid="{C2862893-BDA2-4258-A7AC-36D9D866244D}"/>
    <cellStyle name="Überschrift 2 2 2 5 2 2" xfId="38158" xr:uid="{D8F8D33A-626B-4624-BFD3-AFDEB19A25AC}"/>
    <cellStyle name="Überschrift 2 2 2 5 3" xfId="38157" xr:uid="{39D0DD39-B2C6-49E1-A584-2AFE165FD6C7}"/>
    <cellStyle name="Überschrift 2 2 2 6" xfId="18724" xr:uid="{E3E3B96F-1282-4AC2-9FCD-0C7617B2E8E1}"/>
    <cellStyle name="Überschrift 2 2 2 6 2" xfId="38159" xr:uid="{A3630338-3288-47DA-9C53-768B562F1166}"/>
    <cellStyle name="Überschrift 2 2 2 7" xfId="18725" xr:uid="{55D14123-8D99-4489-ABCC-EDB889FE2A7E}"/>
    <cellStyle name="Überschrift 2 2 2 7 2" xfId="18726" xr:uid="{34E1E57E-9A94-40E0-9C9D-5FD7E163C277}"/>
    <cellStyle name="Überschrift 2 2 2 7 2 2" xfId="38161" xr:uid="{9A41FAA8-7051-4337-A3D6-CF4BB0F77829}"/>
    <cellStyle name="Überschrift 2 2 2 7 3" xfId="38160" xr:uid="{3922DC4C-EB76-4FA3-868C-78006EEE2A0E}"/>
    <cellStyle name="Überschrift 2 2 2 8" xfId="18727" xr:uid="{0F50E6BF-926F-4EC9-8C13-05C5A8EBE3FB}"/>
    <cellStyle name="Überschrift 2 2 2 8 2" xfId="38162" xr:uid="{E890A19C-966B-4A16-99E7-039FAB49323B}"/>
    <cellStyle name="Überschrift 2 2 2 9" xfId="18728" xr:uid="{E7298323-3586-4964-B8D0-4554F0E8308B}"/>
    <cellStyle name="Überschrift 2 2 2 9 2" xfId="38163" xr:uid="{6EC83514-6FD2-4D7F-B706-A8EECD461CF9}"/>
    <cellStyle name="Überschrift 2 2 3" xfId="18729" xr:uid="{20040048-D815-4723-8AD0-27563468EB8D}"/>
    <cellStyle name="Überschrift 2 2 3 2" xfId="38164" xr:uid="{440C1732-7C88-4C86-9FC5-E0442CA19250}"/>
    <cellStyle name="Überschrift 2 2 4" xfId="18730" xr:uid="{1BC6251A-A4D3-4C3B-B10F-EBD950785A25}"/>
    <cellStyle name="Überschrift 2 2 4 2" xfId="18731" xr:uid="{8EC3DA14-172F-4523-B340-A86486A8BB7B}"/>
    <cellStyle name="Überschrift 2 2 4 2 2" xfId="18732" xr:uid="{DBB49D5E-0A1E-4AF9-A9CF-A7B93CF8516F}"/>
    <cellStyle name="Überschrift 2 2 4 2 2 2" xfId="38167" xr:uid="{1A809BED-E3EF-43B4-AC9A-ECBF4CA0A7AE}"/>
    <cellStyle name="Überschrift 2 2 4 2 3" xfId="38166" xr:uid="{AED0CDBD-43F3-4266-9E7F-35608666CD2B}"/>
    <cellStyle name="Überschrift 2 2 4 3" xfId="18733" xr:uid="{2B6DD438-7664-424B-9C9C-4C257FD76A79}"/>
    <cellStyle name="Überschrift 2 2 4 3 2" xfId="38168" xr:uid="{721C78C2-E930-485B-A9A2-13B8AF38C463}"/>
    <cellStyle name="Überschrift 2 2 4 4" xfId="18734" xr:uid="{AB66C66B-4074-4BF9-A299-55B2357B7978}"/>
    <cellStyle name="Überschrift 2 2 4 4 2" xfId="38169" xr:uid="{7D0FB492-723F-4E39-ADF3-B333C7CC520A}"/>
    <cellStyle name="Überschrift 2 2 4 5" xfId="38165" xr:uid="{F0E18F78-FE80-46FF-9A71-6972272B8C97}"/>
    <cellStyle name="Überschrift 2 2 5" xfId="18735" xr:uid="{18341318-28F9-49BE-8F90-AAC3E76DCC48}"/>
    <cellStyle name="Überschrift 2 2 5 2" xfId="38170" xr:uid="{22B7B2DE-CE00-45C2-A7C2-71099B82FAB8}"/>
    <cellStyle name="Überschrift 2 2 6" xfId="18736" xr:uid="{BF28E840-E351-43F7-847F-BB5A14848E27}"/>
    <cellStyle name="Überschrift 2 2 6 2" xfId="18737" xr:uid="{01B8BCF2-436D-423F-BD9A-3411FAD7149A}"/>
    <cellStyle name="Überschrift 2 2 6 2 2" xfId="38172" xr:uid="{A750F532-1C69-436A-A9C5-F09CDB3839D2}"/>
    <cellStyle name="Überschrift 2 2 6 3" xfId="38171" xr:uid="{4A9AA7F1-7294-4462-827A-CFCCC1AAB9CC}"/>
    <cellStyle name="Überschrift 2 2 7" xfId="18738" xr:uid="{2E99C877-31AC-4019-A43F-92ABB9E3BE68}"/>
    <cellStyle name="Überschrift 2 2 7 2" xfId="38173" xr:uid="{CC8654DD-2137-4D79-AF7B-AECC0F7544F3}"/>
    <cellStyle name="Überschrift 2 2 8" xfId="18739" xr:uid="{B36FB7FF-5CBC-4428-AD85-92E9B8704264}"/>
    <cellStyle name="Überschrift 2 2 8 2" xfId="18740" xr:uid="{609D5113-88E1-47B2-9673-19448376A702}"/>
    <cellStyle name="Überschrift 2 2 8 2 2" xfId="38175" xr:uid="{52A0EF65-9A97-48D2-8742-EFBDF41909E6}"/>
    <cellStyle name="Überschrift 2 2 8 3" xfId="38174" xr:uid="{32C3B693-4B33-4093-BCC1-4D113606FF36}"/>
    <cellStyle name="Überschrift 2 2 9" xfId="18741" xr:uid="{87DC9FAF-F291-44F4-8EFA-90C85B9361D0}"/>
    <cellStyle name="Überschrift 2 2 9 2" xfId="38176" xr:uid="{F4E1A51B-2827-4078-9FEE-E4D421218D6A}"/>
    <cellStyle name="Überschrift 2 20" xfId="18742" xr:uid="{6DD461F0-06BA-4B99-B0AE-DD69DB438B36}"/>
    <cellStyle name="Überschrift 2 20 2" xfId="18743" xr:uid="{2BE4E50F-8FBB-4041-80C4-AF42B5DF7206}"/>
    <cellStyle name="Überschrift 2 20 2 2" xfId="38178" xr:uid="{D71A8920-1AD2-4536-9E6B-3E7DF9933A17}"/>
    <cellStyle name="Überschrift 2 20 3" xfId="38177" xr:uid="{D22FF8B4-89DC-4C5F-AB12-A43CD992BACA}"/>
    <cellStyle name="Überschrift 2 21" xfId="18744" xr:uid="{9C0B914B-15EE-4DF0-8737-CBF4E222312B}"/>
    <cellStyle name="Überschrift 2 21 2" xfId="18745" xr:uid="{5CEDD2CF-726B-4829-BF53-0D5134D7F74F}"/>
    <cellStyle name="Überschrift 2 21 2 2" xfId="38180" xr:uid="{5E840E2E-E556-4BBA-8104-EA17D83DD8EA}"/>
    <cellStyle name="Überschrift 2 21 3" xfId="38179" xr:uid="{982B8885-BD9E-4463-A0FB-D7196BD575A2}"/>
    <cellStyle name="Überschrift 2 22" xfId="18746" xr:uid="{9BC33A31-FCC3-4AAA-9DCF-177854716568}"/>
    <cellStyle name="Überschrift 2 22 2" xfId="18747" xr:uid="{B28D973B-7247-4B0D-9FCE-1FD44464FE48}"/>
    <cellStyle name="Überschrift 2 22 2 2" xfId="38182" xr:uid="{0070028C-4EA5-4390-AB94-170EBBBD52AD}"/>
    <cellStyle name="Überschrift 2 22 3" xfId="38181" xr:uid="{1013D2CF-1FC4-4AAA-9363-D3A58C3E3B81}"/>
    <cellStyle name="Überschrift 2 23" xfId="18748" xr:uid="{3BD2F11A-6A84-4548-B0F3-F3BBDA4D86D4}"/>
    <cellStyle name="Überschrift 2 23 2" xfId="18749" xr:uid="{B70F0983-D0FE-408D-809C-FCE86AE791BE}"/>
    <cellStyle name="Überschrift 2 23 2 2" xfId="38184" xr:uid="{5712639E-4215-4BD1-BC1D-80458D1A77CB}"/>
    <cellStyle name="Überschrift 2 23 3" xfId="38183" xr:uid="{778B39FE-0B55-40CF-9FD5-36041D0A86B1}"/>
    <cellStyle name="Überschrift 2 24" xfId="18750" xr:uid="{8ED13E16-8BE2-4475-8AE7-6253B3CD16C4}"/>
    <cellStyle name="Überschrift 2 24 2" xfId="18751" xr:uid="{01346619-2867-44E0-8B5E-339493E3596E}"/>
    <cellStyle name="Überschrift 2 24 2 2" xfId="38186" xr:uid="{A61ECAF4-F52B-42A5-810F-A77D7157832F}"/>
    <cellStyle name="Überschrift 2 24 3" xfId="38185" xr:uid="{EA264063-083D-4928-8DF4-E8C3F89F849C}"/>
    <cellStyle name="Überschrift 2 25" xfId="18752" xr:uid="{BC03AB96-27AD-4DEA-A6D5-571817852169}"/>
    <cellStyle name="Überschrift 2 25 2" xfId="18753" xr:uid="{8F9CC190-2C61-45E3-BD14-B96D7726853B}"/>
    <cellStyle name="Überschrift 2 25 2 2" xfId="38188" xr:uid="{9BDE0B2B-0E1F-4EE2-86C4-0B2BC5346C54}"/>
    <cellStyle name="Überschrift 2 25 3" xfId="38187" xr:uid="{D9E7C61B-AC88-4BE0-9DBA-E8891E0B7576}"/>
    <cellStyle name="Überschrift 2 26" xfId="18754" xr:uid="{6844A5A3-85B8-4CB4-B502-7F748265255E}"/>
    <cellStyle name="Überschrift 2 26 2" xfId="18755" xr:uid="{9627E9A4-6892-4D98-BC93-F3C1F57DA68E}"/>
    <cellStyle name="Überschrift 2 26 2 2" xfId="38190" xr:uid="{82A510AD-6529-4E49-8274-B01487EB7FAD}"/>
    <cellStyle name="Überschrift 2 26 3" xfId="38189" xr:uid="{DEC5A495-CBE6-4C88-8492-1BC0B06DA8B7}"/>
    <cellStyle name="Überschrift 2 27" xfId="18756" xr:uid="{87D3015F-F24B-4114-B733-1A31385DB6A2}"/>
    <cellStyle name="Überschrift 2 27 2" xfId="18757" xr:uid="{452FC892-8252-48AC-A082-0270DD7E1875}"/>
    <cellStyle name="Überschrift 2 27 2 2" xfId="38192" xr:uid="{0B0B7A36-2E25-4ECF-B29F-0295927E6722}"/>
    <cellStyle name="Überschrift 2 27 3" xfId="38191" xr:uid="{E55C8511-204D-41C8-89FD-1404B1631111}"/>
    <cellStyle name="Überschrift 2 28" xfId="18758" xr:uid="{4FDA8F32-B143-4B94-BC57-3A78C74215A1}"/>
    <cellStyle name="Überschrift 2 28 2" xfId="18759" xr:uid="{1BC4F279-F07F-4657-9243-4F1967869A4C}"/>
    <cellStyle name="Überschrift 2 28 2 2" xfId="38194" xr:uid="{A7121656-72D6-4FD4-8198-DE8182A3AA11}"/>
    <cellStyle name="Überschrift 2 28 3" xfId="38193" xr:uid="{2A416080-EB8A-4E2C-BFF1-19E8801AEA98}"/>
    <cellStyle name="Überschrift 2 29" xfId="18760" xr:uid="{14354874-847C-4339-9F16-E8E65A847F8E}"/>
    <cellStyle name="Überschrift 2 29 2" xfId="18761" xr:uid="{960AB2E6-8FEA-4D94-88E4-6E70D9357B76}"/>
    <cellStyle name="Überschrift 2 29 2 2" xfId="38196" xr:uid="{F2574BCC-0C43-485A-B6C6-B034815DE913}"/>
    <cellStyle name="Überschrift 2 29 3" xfId="38195" xr:uid="{050C3AE5-A27E-4045-B719-77492C1D028C}"/>
    <cellStyle name="Überschrift 2 3" xfId="18762" xr:uid="{795B1831-0D77-4850-B5DB-5A09E7C07C7A}"/>
    <cellStyle name="Überschrift 2 3 10" xfId="39862" xr:uid="{6C824F90-10F6-4665-A687-C8329AAB6481}"/>
    <cellStyle name="Überschrift 2 3 2" xfId="18763" xr:uid="{68C6D6F7-9901-4412-B696-A3195B8B959D}"/>
    <cellStyle name="Überschrift 2 3 2 2" xfId="18764" xr:uid="{EEDB3889-9413-46C3-B01C-31F1CAF85727}"/>
    <cellStyle name="Überschrift 2 3 2 2 2" xfId="18765" xr:uid="{098BF492-AB43-4431-B5F3-70CB95D8D264}"/>
    <cellStyle name="Überschrift 2 3 2 2 2 2" xfId="38200" xr:uid="{39F7580A-3C8F-42A4-AA65-83A347F97CD5}"/>
    <cellStyle name="Überschrift 2 3 2 2 3" xfId="38199" xr:uid="{79DEBF34-1605-4A35-A075-767C935B5726}"/>
    <cellStyle name="Überschrift 2 3 2 3" xfId="18766" xr:uid="{1812B26E-5AE0-49AC-998A-2A18926FD5E1}"/>
    <cellStyle name="Überschrift 2 3 2 3 2" xfId="38201" xr:uid="{0B2C081D-174F-43C3-80A3-7BA14A62DE03}"/>
    <cellStyle name="Überschrift 2 3 2 4" xfId="18767" xr:uid="{69747642-3024-4B57-AD8E-B81EDCCC6293}"/>
    <cellStyle name="Überschrift 2 3 2 4 2" xfId="38202" xr:uid="{9AE1B94A-88A8-4BED-A3EC-C6A8F22C8F9D}"/>
    <cellStyle name="Überschrift 2 3 2 5" xfId="38198" xr:uid="{3CA4D362-BE60-4FFB-B34A-877C851AF38A}"/>
    <cellStyle name="Überschrift 2 3 2 6" xfId="40389" xr:uid="{37B657E0-A30B-4F21-A781-057EA6DC44EA}"/>
    <cellStyle name="Überschrift 2 3 3" xfId="18768" xr:uid="{6583775C-C75A-4465-BA45-1CA36C5341BD}"/>
    <cellStyle name="Überschrift 2 3 3 2" xfId="38203" xr:uid="{A44A3A2F-38A3-48D0-ACAD-2AFCCCAB2CB7}"/>
    <cellStyle name="Überschrift 2 3 4" xfId="18769" xr:uid="{B9FF823F-AD81-4385-AF5B-59015E19703C}"/>
    <cellStyle name="Überschrift 2 3 4 2" xfId="38204" xr:uid="{37FD2849-7D93-430B-859B-82DC0CB1E5A1}"/>
    <cellStyle name="Überschrift 2 3 5" xfId="18770" xr:uid="{3F6E431B-B666-41CF-8B9D-56E339B301D2}"/>
    <cellStyle name="Überschrift 2 3 5 2" xfId="18771" xr:uid="{65D4CBFE-46DB-42D0-BFF3-1A65B7B76918}"/>
    <cellStyle name="Überschrift 2 3 5 2 2" xfId="38206" xr:uid="{5D71A8D0-12EE-4E21-9FCA-48C760B94D6F}"/>
    <cellStyle name="Überschrift 2 3 5 3" xfId="38205" xr:uid="{0C921476-A717-4CF2-B3D0-E333CFB66915}"/>
    <cellStyle name="Überschrift 2 3 6" xfId="18772" xr:uid="{98E7BB62-A654-40DA-B072-ADF70EEFF5FE}"/>
    <cellStyle name="Überschrift 2 3 6 2" xfId="38207" xr:uid="{A4FBF941-84E7-4191-AC1A-946596F33B62}"/>
    <cellStyle name="Überschrift 2 3 7" xfId="18773" xr:uid="{ADA84480-0D35-416E-A196-A1B6F92A5E9F}"/>
    <cellStyle name="Überschrift 2 3 7 2" xfId="38208" xr:uid="{A5783499-B7C1-41FE-BBBE-B7A5D6EF915F}"/>
    <cellStyle name="Überschrift 2 3 8" xfId="18774" xr:uid="{3C116D4D-4FBD-4ADE-BB86-4DD4B94EDA8F}"/>
    <cellStyle name="Überschrift 2 3 8 2" xfId="38209" xr:uid="{D0A20C92-B1FD-4CD5-9B81-6D5AF474B7F8}"/>
    <cellStyle name="Überschrift 2 3 9" xfId="38197" xr:uid="{BA64E5DB-FDB5-41A7-88F9-962CFD5FFF47}"/>
    <cellStyle name="Überschrift 2 30" xfId="18775" xr:uid="{35C9DEE2-AE9A-46BA-9E2D-5CE51AFF38C6}"/>
    <cellStyle name="Überschrift 2 30 2" xfId="18776" xr:uid="{2FA4161E-482E-4648-B163-19F0E81DC285}"/>
    <cellStyle name="Überschrift 2 30 2 2" xfId="38211" xr:uid="{070E5AAE-8C42-45D5-B0C4-09F47A1E888E}"/>
    <cellStyle name="Überschrift 2 30 3" xfId="18777" xr:uid="{04F94DFA-AA2C-4A0E-98CF-CDF3EF2AB6ED}"/>
    <cellStyle name="Überschrift 2 30 3 2" xfId="38212" xr:uid="{9DD59F69-9DE2-43DA-A024-C7B723907E65}"/>
    <cellStyle name="Überschrift 2 30 4" xfId="38210" xr:uid="{ED2590AD-9475-4F2B-9340-78B702D4DF7C}"/>
    <cellStyle name="Überschrift 2 31" xfId="18778" xr:uid="{0E784FA2-D424-4BF4-9758-4BB333D1D8B3}"/>
    <cellStyle name="Überschrift 2 31 2" xfId="18779" xr:uid="{55991F35-FEAB-4C27-8C28-BC9B5C8A88CC}"/>
    <cellStyle name="Überschrift 2 31 2 2" xfId="38214" xr:uid="{66C38D7B-0FF0-43E3-8A70-3EC3CA4F7031}"/>
    <cellStyle name="Überschrift 2 31 3" xfId="18780" xr:uid="{03BEF94C-1CC7-45D4-899D-24ED2757C63A}"/>
    <cellStyle name="Überschrift 2 31 3 2" xfId="38215" xr:uid="{E9B3438A-D41F-4F29-A521-0E88501BBA47}"/>
    <cellStyle name="Überschrift 2 31 4" xfId="38213" xr:uid="{99F638C8-B980-44E5-8631-BD990259F8A7}"/>
    <cellStyle name="Überschrift 2 32" xfId="18781" xr:uid="{DA116D0A-97DA-493A-9CD6-0E93D7A941BA}"/>
    <cellStyle name="Überschrift 2 32 2" xfId="18782" xr:uid="{06F7BD2F-1795-4F77-BB2E-A73279052E9D}"/>
    <cellStyle name="Überschrift 2 32 2 2" xfId="38217" xr:uid="{61DE5305-4AEA-44B6-B72E-0CF3ABFE76EF}"/>
    <cellStyle name="Überschrift 2 32 3" xfId="18783" xr:uid="{D6DBE494-22B4-4BA7-9061-D189CEB4AC8A}"/>
    <cellStyle name="Überschrift 2 32 3 2" xfId="38218" xr:uid="{5EB03BAA-E240-40D4-8E48-8D255EA6F33E}"/>
    <cellStyle name="Überschrift 2 32 4" xfId="38216" xr:uid="{274A85C7-F9DE-4E18-84A1-641D374F11D0}"/>
    <cellStyle name="Überschrift 2 33" xfId="18784" xr:uid="{0AF2C8B1-18B5-4E9B-A614-4393DD68CB35}"/>
    <cellStyle name="Überschrift 2 33 2" xfId="18785" xr:uid="{916EF8CF-03E6-49DA-AE4B-0FF085795366}"/>
    <cellStyle name="Überschrift 2 33 2 2" xfId="38220" xr:uid="{49509F51-9BD9-4F0B-B092-798D8B1FF764}"/>
    <cellStyle name="Überschrift 2 33 3" xfId="18786" xr:uid="{81FC09B3-FDFF-4F8B-B789-B27562E380AF}"/>
    <cellStyle name="Überschrift 2 33 3 2" xfId="38221" xr:uid="{346E5281-CD64-4793-94F5-FAA945A0EE5F}"/>
    <cellStyle name="Überschrift 2 33 4" xfId="38219" xr:uid="{992DDFFF-1604-4469-AA11-DF8B295FA02A}"/>
    <cellStyle name="Überschrift 2 34" xfId="18787" xr:uid="{B4F1BA72-E67A-4882-9BC4-D9EBC770D63C}"/>
    <cellStyle name="Überschrift 2 34 2" xfId="18788" xr:uid="{628FCB4A-BFF9-4715-884C-B6836B59DA60}"/>
    <cellStyle name="Überschrift 2 34 2 2" xfId="38223" xr:uid="{3EB220CF-777B-4582-A452-C4B932ABAF47}"/>
    <cellStyle name="Überschrift 2 34 3" xfId="18789" xr:uid="{C8E3EAA3-CA40-4839-872A-1B1094692411}"/>
    <cellStyle name="Überschrift 2 34 3 2" xfId="38224" xr:uid="{FB874AF4-38A4-4783-B987-5E0614FB0BC2}"/>
    <cellStyle name="Überschrift 2 34 4" xfId="38222" xr:uid="{CCE14769-6A7B-49BA-913B-0ABC9C0B99A8}"/>
    <cellStyle name="Überschrift 2 35" xfId="18790" xr:uid="{417508F1-B41E-42C4-9069-ABD98157EB68}"/>
    <cellStyle name="Überschrift 2 35 2" xfId="18791" xr:uid="{6908F263-01C7-445F-AF73-86BBE4BEF304}"/>
    <cellStyle name="Überschrift 2 35 2 2" xfId="38226" xr:uid="{69BE46BD-E08D-42DC-BD5E-BA31B24EFA03}"/>
    <cellStyle name="Überschrift 2 35 3" xfId="18792" xr:uid="{F9C74BD2-B818-45F2-BA43-B0BE3C874DCE}"/>
    <cellStyle name="Überschrift 2 35 3 2" xfId="38227" xr:uid="{D883DF61-C9C7-4173-A16F-85F319506F28}"/>
    <cellStyle name="Überschrift 2 35 4" xfId="38225" xr:uid="{B48D5696-737C-4CC4-86EE-8A40C4CD9CD4}"/>
    <cellStyle name="Überschrift 2 36" xfId="18793" xr:uid="{097FC20A-1A63-4FCC-A053-0095E891DF4D}"/>
    <cellStyle name="Überschrift 2 36 2" xfId="18794" xr:uid="{03834DF8-1D17-4F48-B7FA-05DE6E9CC5E8}"/>
    <cellStyle name="Überschrift 2 36 2 2" xfId="38229" xr:uid="{0013BDFB-6D37-4A60-9EA7-8A5F671BBDF4}"/>
    <cellStyle name="Überschrift 2 36 3" xfId="18795" xr:uid="{237923B1-0DF8-44C4-B972-35DE4B3BDA6B}"/>
    <cellStyle name="Überschrift 2 36 3 2" xfId="38230" xr:uid="{DBED5B94-E600-4E66-8231-46155DAD6768}"/>
    <cellStyle name="Überschrift 2 36 4" xfId="38228" xr:uid="{6F8E42C6-EFB9-4781-B0DC-CCEE9A902BF0}"/>
    <cellStyle name="Überschrift 2 37" xfId="38097" xr:uid="{99AD2813-BCD1-4FD6-80BC-3BC45B4F1D05}"/>
    <cellStyle name="Überschrift 2 38" xfId="40404" xr:uid="{0E1BEE64-DF3D-48C8-854C-F2E5242B0662}"/>
    <cellStyle name="Überschrift 2 39" xfId="18662" xr:uid="{22CA7897-1164-441E-827D-F321A70D102B}"/>
    <cellStyle name="Überschrift 2 4" xfId="18796" xr:uid="{467A0149-09B5-4FB5-97D9-1A2A0C26FB63}"/>
    <cellStyle name="Überschrift 2 4 2" xfId="18797" xr:uid="{93C91ADB-7438-4829-ACBA-93AAA9D00961}"/>
    <cellStyle name="Überschrift 2 4 2 2" xfId="18798" xr:uid="{45AED53F-0506-4420-9427-8EB130C6C39E}"/>
    <cellStyle name="Überschrift 2 4 2 2 2" xfId="38233" xr:uid="{DD469272-CB9B-4BB3-97D4-60DACB95D045}"/>
    <cellStyle name="Überschrift 2 4 2 3" xfId="38232" xr:uid="{53E1D34A-E70C-4BC4-92E2-54F39424F64B}"/>
    <cellStyle name="Überschrift 2 4 2 4" xfId="40390" xr:uid="{C4739CBE-B698-4B30-A535-94D6B10CF735}"/>
    <cellStyle name="Überschrift 2 4 3" xfId="18799" xr:uid="{A0D2AD2A-45ED-4E71-B071-5CF2B9309F32}"/>
    <cellStyle name="Überschrift 2 4 3 2" xfId="38234" xr:uid="{929C7B57-4155-4B77-8A9F-6992E940E1BE}"/>
    <cellStyle name="Überschrift 2 4 4" xfId="18800" xr:uid="{E5A3338B-7104-4711-8C63-3E70C3D4D09E}"/>
    <cellStyle name="Überschrift 2 4 4 2" xfId="38235" xr:uid="{8CEB6822-BC90-4F9D-89E5-52E24D791F99}"/>
    <cellStyle name="Überschrift 2 4 5" xfId="18801" xr:uid="{193740A6-3202-4987-8004-D4D9D3617CD7}"/>
    <cellStyle name="Überschrift 2 4 5 2" xfId="38236" xr:uid="{B6D89E4C-6B6F-4F6E-873C-5E848C51D1BA}"/>
    <cellStyle name="Überschrift 2 4 6" xfId="18802" xr:uid="{2A3AE6D7-1469-4253-BDFE-CCD7C71262CE}"/>
    <cellStyle name="Überschrift 2 4 6 2" xfId="38237" xr:uid="{F8E1CE9A-FEC6-4222-BAE0-E6B50921165D}"/>
    <cellStyle name="Überschrift 2 4 7" xfId="38231" xr:uid="{B613F039-B961-4B87-BE88-658871CDECD5}"/>
    <cellStyle name="Überschrift 2 4 8" xfId="39863" xr:uid="{36AC00B0-709D-4F96-B384-904D16316F40}"/>
    <cellStyle name="Überschrift 2 40" xfId="42" xr:uid="{2DA5A7C5-E037-4B21-AE6F-9C6D5E58129F}"/>
    <cellStyle name="Überschrift 2 5" xfId="18803" xr:uid="{2A39D9B8-BA5F-40DE-9D75-2CB01DED2794}"/>
    <cellStyle name="Überschrift 2 5 2" xfId="18804" xr:uid="{214DF678-D43A-4288-B267-6F2AA67FBD8D}"/>
    <cellStyle name="Überschrift 2 5 2 2" xfId="38239" xr:uid="{1EAD26A1-BA66-4E25-A6F1-B8A5DE7101F0}"/>
    <cellStyle name="Überschrift 2 5 3" xfId="18805" xr:uid="{BF1BF61D-1153-4BEE-A7DB-1EEA73365E85}"/>
    <cellStyle name="Überschrift 2 5 3 2" xfId="38240" xr:uid="{9858A2BE-45E2-4F1A-A150-15A861C7B146}"/>
    <cellStyle name="Überschrift 2 5 4" xfId="18806" xr:uid="{F18B0911-7065-4AE6-BDF6-5DC3D7369147}"/>
    <cellStyle name="Überschrift 2 5 4 2" xfId="38241" xr:uid="{EFFD4A0A-F8A6-4B6A-A726-27907BFD2EC7}"/>
    <cellStyle name="Überschrift 2 5 5" xfId="18807" xr:uid="{4B2C371D-AAD7-46DF-AFBA-B0CB0C99669A}"/>
    <cellStyle name="Überschrift 2 5 5 2" xfId="38242" xr:uid="{C92ECE5E-CF30-4225-9400-9F14738B8090}"/>
    <cellStyle name="Überschrift 2 5 6" xfId="38238" xr:uid="{2B8125FD-A915-4490-A1A5-0BD3F996D6CC}"/>
    <cellStyle name="Überschrift 2 5 7" xfId="39864" xr:uid="{C613251C-C449-4A00-9B35-BCBE9B3A3482}"/>
    <cellStyle name="Überschrift 2 6" xfId="18808" xr:uid="{4876E0B8-09E5-43A1-879E-AE8BB4A06B86}"/>
    <cellStyle name="Überschrift 2 6 2" xfId="18809" xr:uid="{BF3AA246-E3EA-40DC-B94F-B74649B7988A}"/>
    <cellStyle name="Überschrift 2 6 2 2" xfId="38244" xr:uid="{266D9F44-4B24-448B-8DCB-8A0C522CF2AB}"/>
    <cellStyle name="Überschrift 2 6 3" xfId="18810" xr:uid="{BAEB7DEB-80F2-4EF6-9C2C-58AAD9383A6D}"/>
    <cellStyle name="Überschrift 2 6 3 2" xfId="38245" xr:uid="{56CBD3CA-CAE1-4AAB-A66D-5D6CFED0C09D}"/>
    <cellStyle name="Überschrift 2 6 4" xfId="18811" xr:uid="{C56C00C6-5ED1-45A5-B0AA-03786D944F1E}"/>
    <cellStyle name="Überschrift 2 6 4 2" xfId="38246" xr:uid="{FC395A4A-C132-4F4C-A49E-011161C48D07}"/>
    <cellStyle name="Überschrift 2 6 5" xfId="18812" xr:uid="{A9C6EE6D-919D-42E7-8EE4-A50807563DA2}"/>
    <cellStyle name="Überschrift 2 6 5 2" xfId="38247" xr:uid="{A615934A-D946-4A3F-A736-B8D4928840CA}"/>
    <cellStyle name="Überschrift 2 6 6" xfId="38243" xr:uid="{E627F271-FBA3-49AA-9937-5F8DC8F831B8}"/>
    <cellStyle name="Überschrift 2 6 7" xfId="39859" xr:uid="{54E03C52-399D-42EE-82AE-54B91F8AD8C2}"/>
    <cellStyle name="Überschrift 2 7" xfId="18813" xr:uid="{43C6A33E-96EE-4797-8D9C-10923AA078CB}"/>
    <cellStyle name="Überschrift 2 7 2" xfId="18814" xr:uid="{D2027E67-15DC-496A-AABC-BE7C56241CCF}"/>
    <cellStyle name="Überschrift 2 7 2 2" xfId="38249" xr:uid="{64B76A29-257D-44F5-AC65-BA5023706C4F}"/>
    <cellStyle name="Überschrift 2 7 3" xfId="38248" xr:uid="{4CB9D782-F7C5-4B9E-B0F6-EA2B0541E509}"/>
    <cellStyle name="Überschrift 2 8" xfId="18815" xr:uid="{9D4DC785-6DFD-469B-A6B9-F558F32AC8EF}"/>
    <cellStyle name="Überschrift 2 8 2" xfId="18816" xr:uid="{1A93DA49-46B1-4BD1-A239-535C3244FC01}"/>
    <cellStyle name="Überschrift 2 8 2 2" xfId="38251" xr:uid="{ED15AF79-4009-4DD9-A2BF-D74AD9624238}"/>
    <cellStyle name="Überschrift 2 8 3" xfId="38250" xr:uid="{93B58516-E14C-4824-8EEF-9A4E2BFA4816}"/>
    <cellStyle name="Überschrift 2 9" xfId="18817" xr:uid="{C3B62F21-97F6-43DF-8CBC-6077F7393882}"/>
    <cellStyle name="Überschrift 2 9 2" xfId="18818" xr:uid="{ECE12A7C-3B12-43F3-9736-D8FDFA8223D8}"/>
    <cellStyle name="Überschrift 2 9 2 2" xfId="38253" xr:uid="{7D89816C-2605-4807-BC1C-5C002969D67D}"/>
    <cellStyle name="Überschrift 2 9 3" xfId="38252" xr:uid="{4EAF83C3-F372-4673-B27F-DA9EFA6CA6C5}"/>
    <cellStyle name="Überschrift 20" xfId="18819" xr:uid="{34BD4A80-FFD0-4AF7-AE5B-3CAFFCB24199}"/>
    <cellStyle name="Überschrift 20 2" xfId="18820" xr:uid="{4E9D00E7-9F0F-4D31-A1C8-0B33AF28994A}"/>
    <cellStyle name="Überschrift 20 2 2" xfId="38255" xr:uid="{F9E1D9FF-AED1-44BB-9333-D56C630A273D}"/>
    <cellStyle name="Überschrift 20 3" xfId="18821" xr:uid="{B7F2594F-BF4F-4224-816F-3716D6718992}"/>
    <cellStyle name="Überschrift 20 3 2" xfId="38256" xr:uid="{1D8CE81D-391E-4A79-89DD-5F4D2F4BB09E}"/>
    <cellStyle name="Überschrift 20 4" xfId="38254" xr:uid="{FB59031B-FD27-41CC-B959-80A6217D1641}"/>
    <cellStyle name="Überschrift 21" xfId="18822" xr:uid="{C76B33EE-DBF7-4C8B-B0DE-FA6447D19EE0}"/>
    <cellStyle name="Überschrift 21 2" xfId="18823" xr:uid="{45952C79-0764-41A7-859E-8A98CB872154}"/>
    <cellStyle name="Überschrift 21 2 2" xfId="38258" xr:uid="{30F64463-D0A2-453E-92C7-FE953A206D4A}"/>
    <cellStyle name="Überschrift 21 3" xfId="18824" xr:uid="{E4925F9C-7A9F-452A-AC80-BA7226C858AF}"/>
    <cellStyle name="Überschrift 21 3 2" xfId="38259" xr:uid="{5FFFEE88-9EB8-4FD1-B2A4-843A4AD31EA9}"/>
    <cellStyle name="Überschrift 21 4" xfId="38257" xr:uid="{43925302-3E18-44B0-8C21-859623FD114C}"/>
    <cellStyle name="Überschrift 22" xfId="18825" xr:uid="{87EED923-CB92-46A3-A75C-BD17182CDFF0}"/>
    <cellStyle name="Überschrift 22 2" xfId="18826" xr:uid="{2449EFB2-8EF3-4E05-9442-C7D15716BA9C}"/>
    <cellStyle name="Überschrift 22 2 2" xfId="38261" xr:uid="{C6BE1497-9AD6-4089-BD32-69D37F9F0210}"/>
    <cellStyle name="Überschrift 22 3" xfId="18827" xr:uid="{1C6267C1-5C7E-4594-A236-DE342D0891E8}"/>
    <cellStyle name="Überschrift 22 3 2" xfId="38262" xr:uid="{CA099D56-2348-4E36-BAC3-6819A9E37E7B}"/>
    <cellStyle name="Überschrift 22 4" xfId="38260" xr:uid="{B708103A-9668-4B1B-926A-CCF4EEE0C7FB}"/>
    <cellStyle name="Überschrift 23" xfId="18828" xr:uid="{0C7C42C5-7CC6-4405-A064-6C6776922641}"/>
    <cellStyle name="Überschrift 23 2" xfId="18829" xr:uid="{9F19851C-1D9D-40A8-B10D-8A249A3117D2}"/>
    <cellStyle name="Überschrift 23 2 2" xfId="38264" xr:uid="{4ED918A2-83EB-4BB6-A229-088A8F0A5970}"/>
    <cellStyle name="Überschrift 23 3" xfId="18830" xr:uid="{51BD2C73-6940-453F-9E2B-6860083419EB}"/>
    <cellStyle name="Überschrift 23 3 2" xfId="38265" xr:uid="{94BB0F03-BC40-4CF2-AEF6-52EA3B4230C9}"/>
    <cellStyle name="Überschrift 23 4" xfId="38263" xr:uid="{D0F6F0D7-339F-471B-8318-DAFAC46B3EC0}"/>
    <cellStyle name="Überschrift 24" xfId="18831" xr:uid="{01BF65A9-650D-4477-86BC-4F29CD0749EF}"/>
    <cellStyle name="Überschrift 24 2" xfId="18832" xr:uid="{EA33E699-3DD6-4B1C-B353-09838600F765}"/>
    <cellStyle name="Überschrift 24 2 2" xfId="38267" xr:uid="{0E8323DC-4A00-46D3-B766-4B40330C432B}"/>
    <cellStyle name="Überschrift 24 3" xfId="18833" xr:uid="{2A550660-7C94-4289-9980-8523BCF5F4D2}"/>
    <cellStyle name="Überschrift 24 3 2" xfId="38268" xr:uid="{D6A68EB4-7AD2-48E3-A84A-78BBDF270A57}"/>
    <cellStyle name="Überschrift 24 4" xfId="38266" xr:uid="{C44E7E02-C87F-4C32-AA50-A9B5650298BE}"/>
    <cellStyle name="Überschrift 25" xfId="18834" xr:uid="{7D05E0DF-2951-433B-8986-03C376EA1C85}"/>
    <cellStyle name="Überschrift 25 2" xfId="18835" xr:uid="{8BFA4993-9A20-446A-8834-0EECDC2BB569}"/>
    <cellStyle name="Überschrift 25 2 2" xfId="38270" xr:uid="{B26BBB89-670D-4199-A9E6-065BCAAD9463}"/>
    <cellStyle name="Überschrift 25 3" xfId="18836" xr:uid="{1E89B34B-74B2-4DB4-A0BE-77B555BBB162}"/>
    <cellStyle name="Überschrift 25 3 2" xfId="38271" xr:uid="{35A5A51B-9A82-4E1A-AEFA-C8683DAF4CDE}"/>
    <cellStyle name="Überschrift 25 4" xfId="38269" xr:uid="{0C82B02B-6A14-4237-9D60-48AE9E1C0F32}"/>
    <cellStyle name="Überschrift 26" xfId="18837" xr:uid="{4759AC8C-EF5C-4E8E-B18C-E8A290C06E3A}"/>
    <cellStyle name="Überschrift 26 2" xfId="18838" xr:uid="{687801CA-B3A3-4A86-A930-79E44C29C3D1}"/>
    <cellStyle name="Überschrift 26 2 2" xfId="38273" xr:uid="{17EE465A-84DC-4F3E-84D0-BE0A021362E1}"/>
    <cellStyle name="Überschrift 26 3" xfId="18839" xr:uid="{3F4FD1D6-3FBC-4608-8A2D-142B11E0722A}"/>
    <cellStyle name="Überschrift 26 3 2" xfId="38274" xr:uid="{1D99E8FD-C370-49CE-9B24-D50CFF290944}"/>
    <cellStyle name="Überschrift 26 4" xfId="38272" xr:uid="{8A674424-85F4-4F48-90E9-A69FDBF4F610}"/>
    <cellStyle name="Überschrift 27" xfId="18840" xr:uid="{13D937C9-B1F1-4EF5-B8AE-FB6ABB8D1F15}"/>
    <cellStyle name="Überschrift 27 2" xfId="18841" xr:uid="{A26FD2BB-498B-4250-A695-1D25E4CA8755}"/>
    <cellStyle name="Überschrift 27 2 2" xfId="38276" xr:uid="{63642F7D-C31D-47BF-BB87-D537D6F74F6C}"/>
    <cellStyle name="Überschrift 27 3" xfId="18842" xr:uid="{E3310DE0-6A61-4D0B-A58C-C87C6C9F457E}"/>
    <cellStyle name="Überschrift 27 3 2" xfId="38277" xr:uid="{E7E7F08F-3801-4DAD-8D9D-38FF13E1E8DD}"/>
    <cellStyle name="Überschrift 27 4" xfId="38275" xr:uid="{F8C4FA08-6E8D-4907-A374-F37714185A70}"/>
    <cellStyle name="Überschrift 28" xfId="18843" xr:uid="{56F3EF8A-8996-4885-B2D2-71F66D80989C}"/>
    <cellStyle name="Überschrift 28 2" xfId="18844" xr:uid="{8765D617-556F-4C0C-8E3E-2517534A2ADE}"/>
    <cellStyle name="Überschrift 28 2 2" xfId="38279" xr:uid="{229BA7E6-C3C5-4515-BB3B-8D684F44720B}"/>
    <cellStyle name="Überschrift 28 3" xfId="18845" xr:uid="{D367ADA3-9EC7-4EAE-AF10-9A0A168C96B4}"/>
    <cellStyle name="Überschrift 28 3 2" xfId="38280" xr:uid="{E8D5F49F-6706-4A43-A4B5-C2EA956CEFC7}"/>
    <cellStyle name="Überschrift 28 4" xfId="38278" xr:uid="{0F95CF0C-038E-407D-BF06-D37ADCCF2E81}"/>
    <cellStyle name="Überschrift 29" xfId="18846" xr:uid="{9899BE2A-D9B7-4605-BA53-473B0CBC2EA0}"/>
    <cellStyle name="Überschrift 29 2" xfId="18847" xr:uid="{D3D9E65C-7C72-4405-9E14-C12898B77CBD}"/>
    <cellStyle name="Überschrift 29 2 2" xfId="38282" xr:uid="{4F3B9C32-7B76-4AF7-9F13-0054E08848D4}"/>
    <cellStyle name="Überschrift 29 3" xfId="18848" xr:uid="{6B57ACD6-AC5F-43A2-BF2B-7DFF700424DB}"/>
    <cellStyle name="Überschrift 29 3 2" xfId="38283" xr:uid="{04ED12B1-D467-4639-9184-60326ACB5398}"/>
    <cellStyle name="Überschrift 29 4" xfId="38281" xr:uid="{7A67CAE0-1C70-40CD-A295-4F32E4B39B18}"/>
    <cellStyle name="Überschrift 3 10" xfId="18850" xr:uid="{D117E4D2-E733-4E7B-8341-437D5F0EB16E}"/>
    <cellStyle name="Überschrift 3 10 2" xfId="18851" xr:uid="{DCE7DCE1-77D1-4548-95B8-080C6DD13B40}"/>
    <cellStyle name="Überschrift 3 10 2 2" xfId="38286" xr:uid="{A0471EE1-D784-4969-BCC1-CA2DB4B07C48}"/>
    <cellStyle name="Überschrift 3 10 3" xfId="38285" xr:uid="{BE5289ED-D4A8-43C1-9939-BB79B1BDD65B}"/>
    <cellStyle name="Überschrift 3 11" xfId="18852" xr:uid="{EE025B23-6B73-465E-AFED-76CF90B94AEE}"/>
    <cellStyle name="Überschrift 3 11 2" xfId="18853" xr:uid="{9F650545-963E-463C-815B-2C7A28712155}"/>
    <cellStyle name="Überschrift 3 11 2 2" xfId="38288" xr:uid="{8C06DE7E-048A-4814-950F-6817EED7D7B4}"/>
    <cellStyle name="Überschrift 3 11 3" xfId="38287" xr:uid="{4EE13597-FE8B-4E86-9C42-D40BFA025F82}"/>
    <cellStyle name="Überschrift 3 12" xfId="18854" xr:uid="{0C471B39-C559-4A02-B3AA-E92B63186300}"/>
    <cellStyle name="Überschrift 3 12 2" xfId="18855" xr:uid="{CF284DED-90AE-4AF3-9AF6-E905C05D340B}"/>
    <cellStyle name="Überschrift 3 12 2 2" xfId="38290" xr:uid="{98DEB640-0540-43AB-AE14-987CDA5EF614}"/>
    <cellStyle name="Überschrift 3 12 3" xfId="38289" xr:uid="{808F59E7-E7CB-4C86-90B4-4377AC375CF1}"/>
    <cellStyle name="Überschrift 3 13" xfId="18856" xr:uid="{CDFDC3CC-0B90-4D85-8E3B-32B9C9DF0994}"/>
    <cellStyle name="Überschrift 3 13 2" xfId="18857" xr:uid="{74A792BF-FDC0-4E43-8EE9-0F209C1640F9}"/>
    <cellStyle name="Überschrift 3 13 2 2" xfId="38292" xr:uid="{C59C5FAE-8B51-4722-8BED-DE56B0081D58}"/>
    <cellStyle name="Überschrift 3 13 3" xfId="38291" xr:uid="{3C7D7BCF-C501-47BC-B8E4-CBBEA19CF749}"/>
    <cellStyle name="Überschrift 3 14" xfId="18858" xr:uid="{FB615D82-18A9-4447-8374-F87BEA9BD021}"/>
    <cellStyle name="Überschrift 3 14 2" xfId="18859" xr:uid="{2D6BB940-7828-487F-814C-82D2D0A96CD2}"/>
    <cellStyle name="Überschrift 3 14 2 2" xfId="38294" xr:uid="{00DD402D-3A3F-4B8C-926F-D55808705777}"/>
    <cellStyle name="Überschrift 3 14 3" xfId="18860" xr:uid="{73A3E0D1-E9FC-4ECE-884F-8EBB22A237C4}"/>
    <cellStyle name="Überschrift 3 14 3 2" xfId="38295" xr:uid="{D5250A60-DE9C-48E5-B3D0-92C04F28E4B8}"/>
    <cellStyle name="Überschrift 3 14 4" xfId="38293" xr:uid="{48CC457F-65A2-4B7C-B7BB-89DEF7E40164}"/>
    <cellStyle name="Überschrift 3 15" xfId="18861" xr:uid="{7C86885F-2062-4625-83A3-3CC669327294}"/>
    <cellStyle name="Überschrift 3 15 2" xfId="18862" xr:uid="{27E39A7C-E29F-49C3-8A2D-70372A4A89E9}"/>
    <cellStyle name="Überschrift 3 15 2 2" xfId="38297" xr:uid="{2DF402A7-0EDC-42FB-BEE3-C9817F6E8E76}"/>
    <cellStyle name="Überschrift 3 15 3" xfId="18863" xr:uid="{EE8623DC-7B0D-495E-883B-DC6AE3047270}"/>
    <cellStyle name="Überschrift 3 15 3 2" xfId="38298" xr:uid="{8C2857B0-89AD-4A3F-8B1E-EF9DB3771215}"/>
    <cellStyle name="Überschrift 3 15 4" xfId="38296" xr:uid="{CB14A470-0870-4024-BCE0-4488CE5F2BB5}"/>
    <cellStyle name="Überschrift 3 16" xfId="18864" xr:uid="{748AADD5-41DD-42DA-AFF6-57211EC0152C}"/>
    <cellStyle name="Überschrift 3 16 2" xfId="18865" xr:uid="{B13609DC-1B2B-456A-B611-A3D424CB5B9D}"/>
    <cellStyle name="Überschrift 3 16 2 2" xfId="38300" xr:uid="{54544DB6-6D59-41BA-82CB-AED17308E6FF}"/>
    <cellStyle name="Überschrift 3 16 3" xfId="18866" xr:uid="{FF8A9B8D-2668-4CF4-9CD3-4ED9B4083118}"/>
    <cellStyle name="Überschrift 3 16 3 2" xfId="38301" xr:uid="{97C2D0C3-9E95-4D8F-AA2A-BC1D93C84EE3}"/>
    <cellStyle name="Überschrift 3 16 4" xfId="38299" xr:uid="{929B22D0-7363-420B-A7C0-4B883847E19A}"/>
    <cellStyle name="Überschrift 3 17" xfId="18867" xr:uid="{C80EE500-8CE9-4AAB-9E62-9C276B77C55C}"/>
    <cellStyle name="Überschrift 3 17 2" xfId="18868" xr:uid="{1C3AAEA1-AF1E-457B-8513-62701B91580C}"/>
    <cellStyle name="Überschrift 3 17 2 2" xfId="38303" xr:uid="{C814A3BE-D504-4114-B57A-CB589C5DBD64}"/>
    <cellStyle name="Überschrift 3 17 3" xfId="18869" xr:uid="{14317AD4-A90F-47D8-8590-1AE930446480}"/>
    <cellStyle name="Überschrift 3 17 3 2" xfId="38304" xr:uid="{C81442EB-686D-4530-A05B-D18DB8235FFF}"/>
    <cellStyle name="Überschrift 3 17 4" xfId="38302" xr:uid="{9CE674F8-2644-440E-A61B-888EAC6E8F06}"/>
    <cellStyle name="Überschrift 3 18" xfId="18870" xr:uid="{E75FF2B4-16C4-4158-9E9D-6A25673DE473}"/>
    <cellStyle name="Überschrift 3 18 2" xfId="18871" xr:uid="{4BE6B429-240B-4BE4-8DA1-FCAAC7670DB4}"/>
    <cellStyle name="Überschrift 3 18 2 2" xfId="38306" xr:uid="{69021E8A-83D4-47FB-BA70-2417E824F131}"/>
    <cellStyle name="Überschrift 3 18 3" xfId="18872" xr:uid="{AFA4FD4C-B9AF-41EE-BFD7-A5D34867B0B5}"/>
    <cellStyle name="Überschrift 3 18 3 2" xfId="38307" xr:uid="{6DB60EAD-5D23-4D84-9F45-3D6ABC2D2B58}"/>
    <cellStyle name="Überschrift 3 18 4" xfId="38305" xr:uid="{2D7BE186-1380-4BD8-900D-B4231233423E}"/>
    <cellStyle name="Überschrift 3 19" xfId="18873" xr:uid="{84859FD8-A6D3-4CEF-9C72-C30DF9AF38A7}"/>
    <cellStyle name="Überschrift 3 19 2" xfId="18874" xr:uid="{B4E9C47B-804D-4BFB-9026-9A2AF55373F2}"/>
    <cellStyle name="Überschrift 3 19 2 2" xfId="38309" xr:uid="{AD013D39-C418-48F0-9BB9-7950E66DF3D5}"/>
    <cellStyle name="Überschrift 3 19 3" xfId="18875" xr:uid="{F422A427-17C6-4333-8215-921DF3149866}"/>
    <cellStyle name="Überschrift 3 19 3 2" xfId="38310" xr:uid="{1B3AE554-4A63-42F8-A2D1-9A41FF5527A4}"/>
    <cellStyle name="Überschrift 3 19 4" xfId="38308" xr:uid="{1CC6E1DC-920A-42B3-99C4-0DAEBAB598EB}"/>
    <cellStyle name="Überschrift 3 2" xfId="18876" xr:uid="{98BA60FC-93E0-4CCE-AD46-7FF484BFC0DC}"/>
    <cellStyle name="Überschrift 3 2 10" xfId="18877" xr:uid="{225DE258-50F7-4ECA-9756-87DF9D06AF5F}"/>
    <cellStyle name="Überschrift 3 2 10 2" xfId="38312" xr:uid="{7D331149-E680-4357-B6D2-695C88B868E4}"/>
    <cellStyle name="Überschrift 3 2 11" xfId="18878" xr:uid="{C4757BE7-117D-4E95-B687-966D3347F5B0}"/>
    <cellStyle name="Überschrift 3 2 11 2" xfId="38313" xr:uid="{326835FE-D7B8-4701-9023-5445B0D8C4D6}"/>
    <cellStyle name="Überschrift 3 2 12" xfId="18879" xr:uid="{E35654EA-68BA-428B-BC26-9D8BFB91CBE1}"/>
    <cellStyle name="Überschrift 3 2 12 2" xfId="38314" xr:uid="{A4536E99-8A6D-43B9-8417-708305DB965C}"/>
    <cellStyle name="Überschrift 3 2 13" xfId="18880" xr:uid="{BBA79F1B-614C-4506-8F82-3ED205227F24}"/>
    <cellStyle name="Überschrift 3 2 13 2" xfId="38315" xr:uid="{C2DBA499-28AF-4633-83FF-E2D64F05CF59}"/>
    <cellStyle name="Überschrift 3 2 14" xfId="18881" xr:uid="{50FEB489-BC97-4505-8136-0AAEF6392376}"/>
    <cellStyle name="Überschrift 3 2 14 2" xfId="38316" xr:uid="{A735D910-F8C1-4D55-AA44-C472895F2EE6}"/>
    <cellStyle name="Überschrift 3 2 15" xfId="38311" xr:uid="{29BBB672-57BB-46A9-8423-EA08E817B4FF}"/>
    <cellStyle name="Überschrift 3 2 16" xfId="39866" xr:uid="{4F5AAE77-0CC2-49A5-AE3C-BEF47D7DFE95}"/>
    <cellStyle name="Überschrift 3 2 2" xfId="18882" xr:uid="{E5E08251-4C76-44C2-AC16-601E2F494A3B}"/>
    <cellStyle name="Überschrift 3 2 2 10" xfId="18883" xr:uid="{63DCD057-7AD3-46B5-B1FD-67EF1B30F95F}"/>
    <cellStyle name="Überschrift 3 2 2 10 2" xfId="38318" xr:uid="{48DE016A-93D8-4A09-90FC-8E84DECB5321}"/>
    <cellStyle name="Überschrift 3 2 2 11" xfId="18884" xr:uid="{A9099EA6-020B-4009-B8A0-F1D04FB38B45}"/>
    <cellStyle name="Überschrift 3 2 2 11 2" xfId="38319" xr:uid="{0BA5F7BF-76D8-4B3B-A05D-EE6E8247BBFF}"/>
    <cellStyle name="Überschrift 3 2 2 12" xfId="18885" xr:uid="{907F8E5F-1907-46A0-9A68-C2ECA78CD95A}"/>
    <cellStyle name="Überschrift 3 2 2 12 2" xfId="38320" xr:uid="{65876ED3-A961-4E25-85BE-A9A53FA0DAF4}"/>
    <cellStyle name="Überschrift 3 2 2 13" xfId="38317" xr:uid="{431FBCF5-2A8F-4896-B184-E19148E64136}"/>
    <cellStyle name="Überschrift 3 2 2 14" xfId="39867" xr:uid="{A151B885-F015-4AE8-9665-317093BDEF79}"/>
    <cellStyle name="Überschrift 3 2 2 2" xfId="18886" xr:uid="{CAFE4E2A-822A-4927-9A02-59019CE7171D}"/>
    <cellStyle name="Überschrift 3 2 2 2 10" xfId="18887" xr:uid="{56C152D4-157A-4185-95C5-4F72D96118D2}"/>
    <cellStyle name="Überschrift 3 2 2 2 10 2" xfId="38322" xr:uid="{47FF234A-64D7-4C5D-85DA-209289B07061}"/>
    <cellStyle name="Überschrift 3 2 2 2 11" xfId="38321" xr:uid="{254C3335-2371-4989-9116-C760A37A145D}"/>
    <cellStyle name="Überschrift 3 2 2 2 2" xfId="18888" xr:uid="{DDB990CB-6C09-4348-AFD5-CC2B33568B3A}"/>
    <cellStyle name="Überschrift 3 2 2 2 2 2" xfId="18889" xr:uid="{36AA956E-1E4A-4750-9E2C-E856F3B2F6CE}"/>
    <cellStyle name="Überschrift 3 2 2 2 2 2 2" xfId="18890" xr:uid="{22C238A1-7E37-414D-81EF-763754389BD1}"/>
    <cellStyle name="Überschrift 3 2 2 2 2 2 2 2" xfId="18891" xr:uid="{CC253FCD-8B61-4253-AEA7-DDAFD7CE442E}"/>
    <cellStyle name="Überschrift 3 2 2 2 2 2 2 2 2" xfId="38326" xr:uid="{3B519D06-52D8-4ADC-90AC-B71FF6B15B2A}"/>
    <cellStyle name="Überschrift 3 2 2 2 2 2 2 3" xfId="38325" xr:uid="{47733211-D997-4CE9-B36F-605B77323505}"/>
    <cellStyle name="Überschrift 3 2 2 2 2 2 3" xfId="18892" xr:uid="{34EDC1FB-0D1E-44A7-B2E8-E364E175CE78}"/>
    <cellStyle name="Überschrift 3 2 2 2 2 2 3 2" xfId="38327" xr:uid="{C1D8ABB9-B0CF-4A83-9FA2-8B86C6B57228}"/>
    <cellStyle name="Überschrift 3 2 2 2 2 2 4" xfId="18893" xr:uid="{6A085B08-977E-401B-89DA-2403610952DD}"/>
    <cellStyle name="Überschrift 3 2 2 2 2 2 4 2" xfId="38328" xr:uid="{07E4921E-753E-454D-ADF1-8507B1B3CE6B}"/>
    <cellStyle name="Überschrift 3 2 2 2 2 2 5" xfId="18894" xr:uid="{446883F2-0354-4F5C-BD6A-6533CABD817C}"/>
    <cellStyle name="Überschrift 3 2 2 2 2 2 5 2" xfId="38329" xr:uid="{A87E116E-799A-49E5-ACAE-46BBFB10A97E}"/>
    <cellStyle name="Überschrift 3 2 2 2 2 2 6" xfId="18895" xr:uid="{A3817416-2FFB-4FAC-87A4-5C7903649B84}"/>
    <cellStyle name="Überschrift 3 2 2 2 2 2 6 2" xfId="38330" xr:uid="{2C14F557-453E-4E59-BE06-17C31A434D34}"/>
    <cellStyle name="Überschrift 3 2 2 2 2 2 7" xfId="18896" xr:uid="{40543749-1ADF-44AD-9DFF-C45B5518544A}"/>
    <cellStyle name="Überschrift 3 2 2 2 2 2 7 2" xfId="38331" xr:uid="{A0A4F309-B035-405F-99B3-61ABEDF3BF0D}"/>
    <cellStyle name="Überschrift 3 2 2 2 2 2 8" xfId="18897" xr:uid="{7CC87766-8E43-4C53-A703-9EBA79888005}"/>
    <cellStyle name="Überschrift 3 2 2 2 2 2 8 2" xfId="38332" xr:uid="{FBE225D3-8870-4955-852A-706B73E74766}"/>
    <cellStyle name="Überschrift 3 2 2 2 2 2 9" xfId="38324" xr:uid="{9AF554B0-1940-47DB-B0C9-73F2960E9344}"/>
    <cellStyle name="Überschrift 3 2 2 2 2 3" xfId="18898" xr:uid="{805DCCA4-39D8-4B4A-981A-36BFAF2AC3E6}"/>
    <cellStyle name="Überschrift 3 2 2 2 2 3 2" xfId="18899" xr:uid="{9B4CA860-86AE-45C6-A806-DD32FD87EE10}"/>
    <cellStyle name="Überschrift 3 2 2 2 2 3 2 2" xfId="38334" xr:uid="{AA9BBF9E-F925-4FA9-96AA-FEA1F0C3FC6A}"/>
    <cellStyle name="Überschrift 3 2 2 2 2 3 3" xfId="38333" xr:uid="{454AFE11-6694-447B-A6CD-8A187BB62310}"/>
    <cellStyle name="Überschrift 3 2 2 2 2 4" xfId="18900" xr:uid="{5350B77F-75C5-4E7D-8F1E-175CBD675139}"/>
    <cellStyle name="Überschrift 3 2 2 2 2 4 2" xfId="38335" xr:uid="{201BFE81-9E9A-4CC4-B5CA-F8FD8C06FFC1}"/>
    <cellStyle name="Überschrift 3 2 2 2 2 5" xfId="18901" xr:uid="{1C023906-70A8-4719-BBD6-924F9BF62AC8}"/>
    <cellStyle name="Überschrift 3 2 2 2 2 5 2" xfId="38336" xr:uid="{D02378B3-C017-48E2-9643-C54CC0E764D6}"/>
    <cellStyle name="Überschrift 3 2 2 2 2 6" xfId="18902" xr:uid="{A9356201-3695-49FF-8BB0-0E8028C97377}"/>
    <cellStyle name="Überschrift 3 2 2 2 2 6 2" xfId="38337" xr:uid="{DB3099E8-72CC-4A1C-BCDE-2310D73541C6}"/>
    <cellStyle name="Überschrift 3 2 2 2 2 7" xfId="18903" xr:uid="{C5014ECF-A5DD-4BD5-BC4F-7D80787D65D0}"/>
    <cellStyle name="Überschrift 3 2 2 2 2 7 2" xfId="38338" xr:uid="{A55F2CC9-E600-4159-9BE1-02FAA3D95C50}"/>
    <cellStyle name="Überschrift 3 2 2 2 2 8" xfId="18904" xr:uid="{926BA3AC-4A88-4065-B039-B339E26371A8}"/>
    <cellStyle name="Überschrift 3 2 2 2 2 8 2" xfId="38339" xr:uid="{9BD9CED4-6507-44FE-ABA6-AD297F7A3196}"/>
    <cellStyle name="Überschrift 3 2 2 2 2 9" xfId="38323" xr:uid="{EE1B0E9C-8121-4172-A187-CF57A24DD5C0}"/>
    <cellStyle name="Überschrift 3 2 2 2 3" xfId="18905" xr:uid="{A026D327-041B-4A3A-A5E1-987251D2D0F3}"/>
    <cellStyle name="Überschrift 3 2 2 2 3 2" xfId="38340" xr:uid="{00C1B465-AF5D-4355-BCA4-8AE56B9807A0}"/>
    <cellStyle name="Überschrift 3 2 2 2 4" xfId="18906" xr:uid="{CF58798D-07BF-4B38-B22F-80BDF7A87522}"/>
    <cellStyle name="Überschrift 3 2 2 2 4 2" xfId="38341" xr:uid="{DC2CD5D0-7AB1-40CA-AD61-F843DB1D6B06}"/>
    <cellStyle name="Überschrift 3 2 2 2 5" xfId="18907" xr:uid="{111AB40D-C5FA-412B-81D7-177696DA7AEE}"/>
    <cellStyle name="Überschrift 3 2 2 2 5 2" xfId="18908" xr:uid="{CC07B30C-30DF-4B29-BABA-01B9EB677648}"/>
    <cellStyle name="Überschrift 3 2 2 2 5 2 2" xfId="38343" xr:uid="{C2BD2525-5837-4CD8-B812-6C6B0C99338F}"/>
    <cellStyle name="Überschrift 3 2 2 2 5 3" xfId="38342" xr:uid="{2B78ECAF-054C-48C6-8122-CBE24D9FD1B0}"/>
    <cellStyle name="Überschrift 3 2 2 2 6" xfId="18909" xr:uid="{2502999F-86B7-4A0E-B0A4-7AE5F9FD7CFD}"/>
    <cellStyle name="Überschrift 3 2 2 2 6 2" xfId="38344" xr:uid="{16E7D3DA-EA2F-4F62-98B1-F90CF03D71DE}"/>
    <cellStyle name="Überschrift 3 2 2 2 7" xfId="18910" xr:uid="{22E30A96-5645-4771-B527-53F88B73A73B}"/>
    <cellStyle name="Überschrift 3 2 2 2 7 2" xfId="38345" xr:uid="{45E3E34F-9552-4735-87A8-11D3A22457E6}"/>
    <cellStyle name="Überschrift 3 2 2 2 8" xfId="18911" xr:uid="{A97036BF-E13A-4921-8692-3F1D5B6ABAFD}"/>
    <cellStyle name="Überschrift 3 2 2 2 8 2" xfId="38346" xr:uid="{EACDF67A-DC79-4743-B5BC-A893BF540295}"/>
    <cellStyle name="Überschrift 3 2 2 2 9" xfId="18912" xr:uid="{736A629E-C52B-4D36-8E2E-43E02B79CBE5}"/>
    <cellStyle name="Überschrift 3 2 2 2 9 2" xfId="38347" xr:uid="{6C36ECEA-AFF1-477A-BDBE-04EAB450A3E6}"/>
    <cellStyle name="Überschrift 3 2 2 3" xfId="18913" xr:uid="{21F3CF6C-C084-4419-A0CF-E3D3FAA0A3B4}"/>
    <cellStyle name="Überschrift 3 2 2 3 2" xfId="38348" xr:uid="{C9D870D1-5E38-4C81-A4E3-12FF59AEA541}"/>
    <cellStyle name="Überschrift 3 2 2 4" xfId="18914" xr:uid="{AD9C11BC-DE9D-43FB-9147-795C8641A7A4}"/>
    <cellStyle name="Überschrift 3 2 2 4 2" xfId="38349" xr:uid="{B2F04A12-3F62-4EA2-AB13-48BA12AAA10A}"/>
    <cellStyle name="Überschrift 3 2 2 5" xfId="18915" xr:uid="{5CC6649D-1E62-4A5F-A1E4-3BA5A97CF749}"/>
    <cellStyle name="Überschrift 3 2 2 5 2" xfId="18916" xr:uid="{F4558D12-2B75-4C36-BB11-73C2B5F79A36}"/>
    <cellStyle name="Überschrift 3 2 2 5 2 2" xfId="38351" xr:uid="{01FCA71A-3358-48B6-82A6-4A15A96B2965}"/>
    <cellStyle name="Überschrift 3 2 2 5 3" xfId="38350" xr:uid="{A85A99EB-7224-4DC9-8081-05B48F6A856A}"/>
    <cellStyle name="Überschrift 3 2 2 6" xfId="18917" xr:uid="{68538AF6-E899-42FC-AFD2-B0AF99F87BD5}"/>
    <cellStyle name="Überschrift 3 2 2 6 2" xfId="38352" xr:uid="{F94BBDE6-898D-4E31-9C56-C7A9653112B0}"/>
    <cellStyle name="Überschrift 3 2 2 7" xfId="18918" xr:uid="{4A60AA1C-C577-4A7B-B89A-077252DA311D}"/>
    <cellStyle name="Überschrift 3 2 2 7 2" xfId="18919" xr:uid="{D7EE381C-E28A-4B6C-8B29-1869327FBD33}"/>
    <cellStyle name="Überschrift 3 2 2 7 2 2" xfId="38354" xr:uid="{AD1797C6-0AC5-4E46-B258-FC67B7519632}"/>
    <cellStyle name="Überschrift 3 2 2 7 3" xfId="38353" xr:uid="{16226373-1F93-47D4-A514-665748260A89}"/>
    <cellStyle name="Überschrift 3 2 2 8" xfId="18920" xr:uid="{7586C287-80F2-4411-A255-3ABD6E8FE4B0}"/>
    <cellStyle name="Überschrift 3 2 2 8 2" xfId="38355" xr:uid="{F54BC6AC-E56C-4B3E-8B65-798EDC696152}"/>
    <cellStyle name="Überschrift 3 2 2 9" xfId="18921" xr:uid="{61A53BCF-4766-447A-A96C-B87AB3D30737}"/>
    <cellStyle name="Überschrift 3 2 2 9 2" xfId="38356" xr:uid="{C9218234-FBD5-46A7-8E8B-F0F1BDB982DB}"/>
    <cellStyle name="Überschrift 3 2 3" xfId="18922" xr:uid="{7A49B679-E708-452D-B83C-7D1B39F55013}"/>
    <cellStyle name="Überschrift 3 2 3 2" xfId="38357" xr:uid="{78888101-26AB-4A09-A2A2-1A305870557E}"/>
    <cellStyle name="Überschrift 3 2 4" xfId="18923" xr:uid="{6981EC60-DF1E-4643-A2A3-5BE5D0C1385F}"/>
    <cellStyle name="Überschrift 3 2 4 2" xfId="18924" xr:uid="{FDCAC1D9-4404-4690-BD3D-D6F5F66BE3BE}"/>
    <cellStyle name="Überschrift 3 2 4 2 2" xfId="18925" xr:uid="{6F765E3E-F958-4EA0-B148-500E3ADF9810}"/>
    <cellStyle name="Überschrift 3 2 4 2 2 2" xfId="38360" xr:uid="{50C4A08D-5756-44C1-9467-314BE82F8C74}"/>
    <cellStyle name="Überschrift 3 2 4 2 3" xfId="38359" xr:uid="{27F580AA-54C9-4D03-A300-9BE3238A0DC9}"/>
    <cellStyle name="Überschrift 3 2 4 3" xfId="18926" xr:uid="{97B8AE66-2F96-44B7-BB66-830F5605B3F0}"/>
    <cellStyle name="Überschrift 3 2 4 3 2" xfId="38361" xr:uid="{6680B880-2031-4D26-A97C-95A34461BD92}"/>
    <cellStyle name="Überschrift 3 2 4 4" xfId="18927" xr:uid="{320ABF2A-9139-4B31-A729-8B71DA3819D3}"/>
    <cellStyle name="Überschrift 3 2 4 4 2" xfId="38362" xr:uid="{59F7DFCE-B83F-4EDD-8F66-FAB751ADDE28}"/>
    <cellStyle name="Überschrift 3 2 4 5" xfId="38358" xr:uid="{11EC1B21-E284-41F5-877F-2EB99A7C8809}"/>
    <cellStyle name="Überschrift 3 2 5" xfId="18928" xr:uid="{6FD7E41A-FC9F-495F-90EC-D68FF59AA6F4}"/>
    <cellStyle name="Überschrift 3 2 5 2" xfId="38363" xr:uid="{453E1FAE-15C6-4641-99CC-871B15ED132E}"/>
    <cellStyle name="Überschrift 3 2 6" xfId="18929" xr:uid="{BBE2AB60-2D7B-4F21-9BAF-8DC000D473DC}"/>
    <cellStyle name="Überschrift 3 2 6 2" xfId="18930" xr:uid="{C9746EDB-66C0-4059-B3FE-37F042905D25}"/>
    <cellStyle name="Überschrift 3 2 6 2 2" xfId="38365" xr:uid="{00A16C35-BE37-44DE-AA0A-B0E1C9893B0B}"/>
    <cellStyle name="Überschrift 3 2 6 3" xfId="38364" xr:uid="{0EAA926B-6634-46F3-BECB-19B3A8D10162}"/>
    <cellStyle name="Überschrift 3 2 7" xfId="18931" xr:uid="{956B08AD-8A87-4C51-A598-B14E3E0713A7}"/>
    <cellStyle name="Überschrift 3 2 7 2" xfId="38366" xr:uid="{A96CDB5D-9A2D-44C5-9C40-65A35CF01985}"/>
    <cellStyle name="Überschrift 3 2 8" xfId="18932" xr:uid="{76C095B2-7CE8-404F-AE5B-E28C15D38311}"/>
    <cellStyle name="Überschrift 3 2 8 2" xfId="18933" xr:uid="{D7AFD26E-2CD1-4A0E-9601-4C3CD0290B80}"/>
    <cellStyle name="Überschrift 3 2 8 2 2" xfId="38368" xr:uid="{22E8D490-AA0B-41FA-9281-C35E6A9DF0CF}"/>
    <cellStyle name="Überschrift 3 2 8 3" xfId="38367" xr:uid="{2EF17BA8-5735-45A4-ACAF-F15809859D50}"/>
    <cellStyle name="Überschrift 3 2 9" xfId="18934" xr:uid="{36CAA426-5352-4C3E-8D23-A249150C57AC}"/>
    <cellStyle name="Überschrift 3 2 9 2" xfId="38369" xr:uid="{F34F5B4D-2646-4207-8D10-866EC2932D40}"/>
    <cellStyle name="Überschrift 3 20" xfId="18935" xr:uid="{4FF1A0E3-55EF-4BF3-8D61-AD1EAABD3D2F}"/>
    <cellStyle name="Überschrift 3 20 2" xfId="18936" xr:uid="{87598A0E-313C-4405-91E5-89C2F5B8AD14}"/>
    <cellStyle name="Überschrift 3 20 2 2" xfId="38371" xr:uid="{4EF6D31A-FE8E-4425-A3B3-F6B65680B74C}"/>
    <cellStyle name="Überschrift 3 20 3" xfId="18937" xr:uid="{A4E0FDA8-C579-4586-9D25-C5C304B53547}"/>
    <cellStyle name="Überschrift 3 20 3 2" xfId="38372" xr:uid="{7270C14F-E2E3-4B14-8D14-33383EDB9A01}"/>
    <cellStyle name="Überschrift 3 20 4" xfId="38370" xr:uid="{9A5B54CF-6ECD-4C84-82AE-AF363E2121A6}"/>
    <cellStyle name="Überschrift 3 21" xfId="18938" xr:uid="{6834B366-3A1B-4D33-BD80-96E9F8F63AF2}"/>
    <cellStyle name="Überschrift 3 21 2" xfId="18939" xr:uid="{3A1ABD2C-187B-4BC7-AD5F-A29ADF3DE80F}"/>
    <cellStyle name="Überschrift 3 21 2 2" xfId="38374" xr:uid="{DAE21E57-CEB9-478B-BA92-00A36C48FCF9}"/>
    <cellStyle name="Überschrift 3 21 3" xfId="18940" xr:uid="{E1F8989C-B3A0-48E9-B836-31ED85478012}"/>
    <cellStyle name="Überschrift 3 21 3 2" xfId="38375" xr:uid="{00F03246-7215-4D76-B0F8-73AC89A51054}"/>
    <cellStyle name="Überschrift 3 21 4" xfId="38373" xr:uid="{03BED46D-A64F-4FF5-9432-76711EE49B6D}"/>
    <cellStyle name="Überschrift 3 22" xfId="18941" xr:uid="{145DB025-EE61-4A35-9305-249E17DB876E}"/>
    <cellStyle name="Überschrift 3 22 2" xfId="18942" xr:uid="{19B063F3-AE06-43A7-9987-9A07B5FCDEB3}"/>
    <cellStyle name="Überschrift 3 22 2 2" xfId="38377" xr:uid="{77BDC1F3-1FAB-4407-80C8-676BF1C5FEFE}"/>
    <cellStyle name="Überschrift 3 22 3" xfId="18943" xr:uid="{64C0274B-F91B-405C-B069-CC111A46F2E0}"/>
    <cellStyle name="Überschrift 3 22 3 2" xfId="38378" xr:uid="{6F29DF91-47FB-416C-95D6-6C79DECE14E8}"/>
    <cellStyle name="Überschrift 3 22 4" xfId="38376" xr:uid="{BA3115F2-9DB6-4068-985F-ABEAF833235C}"/>
    <cellStyle name="Überschrift 3 23" xfId="18944" xr:uid="{5F156F09-3F96-45B1-B314-8F1E04E7B5D3}"/>
    <cellStyle name="Überschrift 3 23 2" xfId="18945" xr:uid="{B2DECA38-CA6D-48EA-ADBA-95AE3CBCBE60}"/>
    <cellStyle name="Überschrift 3 23 2 2" xfId="38380" xr:uid="{B8DAF47A-7698-4CF4-A673-372D77DE41BB}"/>
    <cellStyle name="Überschrift 3 23 3" xfId="18946" xr:uid="{7CE1005C-DE41-4D91-8A59-FB355CD9955A}"/>
    <cellStyle name="Überschrift 3 23 3 2" xfId="38381" xr:uid="{878BEE49-2C14-4AE7-8FC0-036188006E23}"/>
    <cellStyle name="Überschrift 3 23 4" xfId="38379" xr:uid="{5652A225-B85E-486D-AA6A-1141C48DCCC4}"/>
    <cellStyle name="Überschrift 3 24" xfId="18947" xr:uid="{C7BADD04-1623-4F27-ADA9-B01F6551B08F}"/>
    <cellStyle name="Überschrift 3 24 2" xfId="18948" xr:uid="{DE4EA880-9E98-40BE-97C0-CDA01D3133E8}"/>
    <cellStyle name="Überschrift 3 24 2 2" xfId="38383" xr:uid="{E363B53D-756E-45D6-BD23-D6B5D55D3111}"/>
    <cellStyle name="Überschrift 3 24 3" xfId="18949" xr:uid="{13FB7AED-FA8C-4786-B63C-2E400B45E472}"/>
    <cellStyle name="Überschrift 3 24 3 2" xfId="38384" xr:uid="{16948A5D-82D5-4891-83F1-38D3BF438C16}"/>
    <cellStyle name="Überschrift 3 24 4" xfId="38382" xr:uid="{8348BCE8-02B4-4A41-A428-15C03A3E418F}"/>
    <cellStyle name="Überschrift 3 25" xfId="18950" xr:uid="{C2BEEB47-B392-46E2-A837-2A36C59B7174}"/>
    <cellStyle name="Überschrift 3 25 2" xfId="18951" xr:uid="{92253FEF-0CBD-40DB-9F0F-3DCB63F57D5C}"/>
    <cellStyle name="Überschrift 3 25 2 2" xfId="38386" xr:uid="{1E505925-0CD0-478E-811A-F90D574F9B5B}"/>
    <cellStyle name="Überschrift 3 25 3" xfId="18952" xr:uid="{A3B0946C-13D0-46BE-BA3F-3130F3EB2C3D}"/>
    <cellStyle name="Überschrift 3 25 3 2" xfId="38387" xr:uid="{B0D43B40-3F22-4921-951B-FB8A476E55DC}"/>
    <cellStyle name="Überschrift 3 25 4" xfId="38385" xr:uid="{4E32B97F-99D4-42DE-9B16-710343BE6476}"/>
    <cellStyle name="Überschrift 3 26" xfId="18953" xr:uid="{D5AA8CC9-D948-4C7A-9B24-F4CEAAB59450}"/>
    <cellStyle name="Überschrift 3 26 2" xfId="18954" xr:uid="{95CA6CE3-4D93-4031-9C2C-5DAE9274ABBB}"/>
    <cellStyle name="Überschrift 3 26 2 2" xfId="38389" xr:uid="{C4215123-449E-4C01-AA07-396BE55076C2}"/>
    <cellStyle name="Überschrift 3 26 3" xfId="18955" xr:uid="{A2156FDC-95E2-4038-8698-BF253B438160}"/>
    <cellStyle name="Überschrift 3 26 3 2" xfId="38390" xr:uid="{48FFFC61-C4E0-40F2-9187-2A3175120438}"/>
    <cellStyle name="Überschrift 3 26 4" xfId="38388" xr:uid="{95C5AD82-1433-43D2-AC76-FCEB167F4877}"/>
    <cellStyle name="Überschrift 3 27" xfId="18956" xr:uid="{998E1B18-C5A3-4659-B9EE-4728165E2A31}"/>
    <cellStyle name="Überschrift 3 27 2" xfId="18957" xr:uid="{284ECD26-1179-45F8-8D13-F2FE56B722B8}"/>
    <cellStyle name="Überschrift 3 27 2 2" xfId="38392" xr:uid="{5002AAA8-2657-4CAA-8E95-01E2F2CE62B2}"/>
    <cellStyle name="Überschrift 3 27 3" xfId="18958" xr:uid="{369E525C-8706-4D90-B260-F42BE3523349}"/>
    <cellStyle name="Überschrift 3 27 3 2" xfId="38393" xr:uid="{5B1BD7E0-CDE6-4314-BED7-CC01259B52BD}"/>
    <cellStyle name="Überschrift 3 27 4" xfId="38391" xr:uid="{DC8B7411-6EA6-4C21-8FA2-18AAFEE053D3}"/>
    <cellStyle name="Überschrift 3 28" xfId="18959" xr:uid="{DBCF2230-8524-4EA4-AFF9-0B5695235FB0}"/>
    <cellStyle name="Überschrift 3 28 2" xfId="18960" xr:uid="{6A89178B-760E-43C0-B1D3-14FC8549A18D}"/>
    <cellStyle name="Überschrift 3 28 2 2" xfId="38395" xr:uid="{E630BFD8-3C88-42D4-AC7D-E49EEB5720BE}"/>
    <cellStyle name="Überschrift 3 28 3" xfId="18961" xr:uid="{7702C667-E750-416F-8788-BA054FF7D0A1}"/>
    <cellStyle name="Überschrift 3 28 3 2" xfId="38396" xr:uid="{7BCC5545-48B6-42AA-8101-D0F110BB8EB2}"/>
    <cellStyle name="Überschrift 3 28 4" xfId="38394" xr:uid="{1C8B41DA-3FC9-4163-B9F2-7B993FED8357}"/>
    <cellStyle name="Überschrift 3 29" xfId="18962" xr:uid="{EF7FF16E-8D43-467A-9AAD-8C1EC219D184}"/>
    <cellStyle name="Überschrift 3 29 2" xfId="18963" xr:uid="{007A932F-0380-42BD-8E46-6C95E9B55464}"/>
    <cellStyle name="Überschrift 3 29 2 2" xfId="38398" xr:uid="{ABA1F092-CFA0-4CFE-AB62-82BD6D75D16A}"/>
    <cellStyle name="Überschrift 3 29 3" xfId="18964" xr:uid="{5A342E99-1B46-43DA-B7AA-CD46943B7FCF}"/>
    <cellStyle name="Überschrift 3 29 3 2" xfId="38399" xr:uid="{A6074DAC-1990-413A-9F36-4F55C43AB7F1}"/>
    <cellStyle name="Überschrift 3 29 4" xfId="38397" xr:uid="{A70D8B66-3AEB-4C15-82AC-70D6E4B03BF6}"/>
    <cellStyle name="Überschrift 3 3" xfId="18965" xr:uid="{E9E6F2BE-5F0A-4FCC-8F29-B626DA91B450}"/>
    <cellStyle name="Überschrift 3 3 10" xfId="39868" xr:uid="{6143FDD8-D58B-4849-A6C5-DE75A90346F4}"/>
    <cellStyle name="Überschrift 3 3 2" xfId="18966" xr:uid="{6B52AA19-FCFF-4E41-A662-6B347FC9B58F}"/>
    <cellStyle name="Überschrift 3 3 2 2" xfId="18967" xr:uid="{768EB00E-143A-4794-BFAF-6AC3D6C5F698}"/>
    <cellStyle name="Überschrift 3 3 2 2 2" xfId="18968" xr:uid="{7DAEE651-7BD1-43E6-8B1C-10D982993364}"/>
    <cellStyle name="Überschrift 3 3 2 2 2 2" xfId="38403" xr:uid="{76C9FD30-3805-415B-B7F3-62BABBE5E84F}"/>
    <cellStyle name="Überschrift 3 3 2 2 3" xfId="38402" xr:uid="{2511D21D-2B66-4202-B02B-8073D4F140B6}"/>
    <cellStyle name="Überschrift 3 3 2 3" xfId="18969" xr:uid="{0403E844-2E8E-4277-9160-958E267D7570}"/>
    <cellStyle name="Überschrift 3 3 2 3 2" xfId="38404" xr:uid="{E09FCFB3-C6E2-4C87-8435-3661846187D1}"/>
    <cellStyle name="Überschrift 3 3 2 4" xfId="18970" xr:uid="{D86C8B42-4DAA-4BCD-88B4-8819CB7BFCFB}"/>
    <cellStyle name="Überschrift 3 3 2 4 2" xfId="38405" xr:uid="{2A7DE7F8-1052-46E6-92C6-18854F8A1932}"/>
    <cellStyle name="Überschrift 3 3 2 5" xfId="38401" xr:uid="{0CD3D9A9-9546-4CF7-A761-B9BB916206F5}"/>
    <cellStyle name="Überschrift 3 3 2 6" xfId="40391" xr:uid="{E76B9810-580E-4E00-9875-1398D6513BF3}"/>
    <cellStyle name="Überschrift 3 3 3" xfId="18971" xr:uid="{B649CF01-D0D5-436C-83D8-AF6582E0C902}"/>
    <cellStyle name="Überschrift 3 3 3 2" xfId="38406" xr:uid="{9AD04718-4E21-4D95-BBBC-B9AF611B107B}"/>
    <cellStyle name="Überschrift 3 3 4" xfId="18972" xr:uid="{6B60507D-0509-4A80-8803-EAE73372F731}"/>
    <cellStyle name="Überschrift 3 3 4 2" xfId="38407" xr:uid="{406A0698-CAA2-4324-886F-7F7451DC7A7F}"/>
    <cellStyle name="Überschrift 3 3 5" xfId="18973" xr:uid="{2CB88792-CA29-4B9E-B8C4-608BABF40136}"/>
    <cellStyle name="Überschrift 3 3 5 2" xfId="18974" xr:uid="{D6CAE4CB-B7D2-4EB1-8B34-127C582AABAD}"/>
    <cellStyle name="Überschrift 3 3 5 2 2" xfId="38409" xr:uid="{5BB01CF8-BC2C-4710-B546-18A9E7E17671}"/>
    <cellStyle name="Überschrift 3 3 5 3" xfId="38408" xr:uid="{4E0760A1-104F-4449-B7E4-F1049E754D90}"/>
    <cellStyle name="Überschrift 3 3 6" xfId="18975" xr:uid="{0F52FC98-B573-4143-A980-AAD5A080E680}"/>
    <cellStyle name="Überschrift 3 3 6 2" xfId="38410" xr:uid="{2C3B2442-BEC0-4CF7-995E-8D1599D7D219}"/>
    <cellStyle name="Überschrift 3 3 7" xfId="18976" xr:uid="{E4394472-AC6D-4244-8FB4-54F52E513797}"/>
    <cellStyle name="Überschrift 3 3 7 2" xfId="38411" xr:uid="{A36A2455-DD53-45F8-AAF9-5C4E4B0262C5}"/>
    <cellStyle name="Überschrift 3 3 8" xfId="18977" xr:uid="{35728D1D-968C-438B-ABD7-A7AA3A156A42}"/>
    <cellStyle name="Überschrift 3 3 8 2" xfId="38412" xr:uid="{3F9D51F2-ABB6-4D00-9051-B55AADE33B93}"/>
    <cellStyle name="Überschrift 3 3 9" xfId="38400" xr:uid="{6279FE06-DE15-40A3-808F-9C7C5222C808}"/>
    <cellStyle name="Überschrift 3 30" xfId="18978" xr:uid="{16F3DE91-D4B7-469E-B177-9B77B94D021F}"/>
    <cellStyle name="Überschrift 3 30 2" xfId="18979" xr:uid="{2F4D98AD-C663-4B29-B1F8-2B8D89B9C19D}"/>
    <cellStyle name="Überschrift 3 30 2 2" xfId="38414" xr:uid="{137042B0-AE87-46CF-99AA-33B1C381E2F2}"/>
    <cellStyle name="Überschrift 3 30 3" xfId="18980" xr:uid="{D8BC6E2D-31A5-41ED-B3FE-7234B5476E9D}"/>
    <cellStyle name="Überschrift 3 30 3 2" xfId="38415" xr:uid="{27B032E5-E413-454D-93B0-64B6E51ECE93}"/>
    <cellStyle name="Überschrift 3 30 4" xfId="38413" xr:uid="{13491128-E871-4425-BBB7-A30A07F204C0}"/>
    <cellStyle name="Überschrift 3 31" xfId="18981" xr:uid="{322A1CCA-222A-4990-AB2A-0CF6E486D2BD}"/>
    <cellStyle name="Überschrift 3 31 2" xfId="18982" xr:uid="{407C5051-10FB-4270-9D44-22FE064C2B02}"/>
    <cellStyle name="Überschrift 3 31 2 2" xfId="38417" xr:uid="{0DE5F852-548F-42EE-9488-806D37F90C63}"/>
    <cellStyle name="Überschrift 3 31 3" xfId="18983" xr:uid="{D5796971-9FB4-4650-970B-CED881D528DD}"/>
    <cellStyle name="Überschrift 3 31 3 2" xfId="38418" xr:uid="{529BC81E-F403-4ECF-BB10-7348B8FE3320}"/>
    <cellStyle name="Überschrift 3 31 4" xfId="38416" xr:uid="{E7BBD4F1-F11B-41D8-93CA-5792383D5C7E}"/>
    <cellStyle name="Überschrift 3 32" xfId="18984" xr:uid="{61A02E4B-C3C2-465D-B71C-C5B917D69F69}"/>
    <cellStyle name="Überschrift 3 32 2" xfId="18985" xr:uid="{C49E719A-865F-4AAA-97E5-9FA8C361730D}"/>
    <cellStyle name="Überschrift 3 32 2 2" xfId="38420" xr:uid="{2885EF4F-ABD0-4621-A7CB-3D3449513FF9}"/>
    <cellStyle name="Überschrift 3 32 3" xfId="18986" xr:uid="{AB43E1BA-ABD2-404E-BDA5-9C2E41CF8E2E}"/>
    <cellStyle name="Überschrift 3 32 3 2" xfId="38421" xr:uid="{F9B0333F-00A9-431A-BB44-F365C9689528}"/>
    <cellStyle name="Überschrift 3 32 4" xfId="38419" xr:uid="{AAA324BE-E7B7-45C3-850F-403546BEF1C4}"/>
    <cellStyle name="Überschrift 3 33" xfId="18987" xr:uid="{9603524B-118F-4A9C-8A27-756B4D0A2428}"/>
    <cellStyle name="Überschrift 3 33 2" xfId="18988" xr:uid="{77D4CD4E-AD60-4F0E-96E9-13934725F09E}"/>
    <cellStyle name="Überschrift 3 33 2 2" xfId="38423" xr:uid="{0D40277F-0A1C-4EFD-8ACB-67FBA870322A}"/>
    <cellStyle name="Überschrift 3 33 3" xfId="18989" xr:uid="{7E632BA8-1F1E-4869-8E8B-CEDD1675BAB8}"/>
    <cellStyle name="Überschrift 3 33 3 2" xfId="38424" xr:uid="{35575499-7D8E-4C0C-AA96-47E92132D011}"/>
    <cellStyle name="Überschrift 3 33 4" xfId="38422" xr:uid="{02DFB780-0AA1-459E-8BAB-AEF8A2E6C7A9}"/>
    <cellStyle name="Überschrift 3 34" xfId="18990" xr:uid="{A9BC8A8F-16D1-4AAE-AE72-B54F291C43C9}"/>
    <cellStyle name="Überschrift 3 34 2" xfId="18991" xr:uid="{338E0540-2687-49ED-9DC4-EA0197350ED6}"/>
    <cellStyle name="Überschrift 3 34 2 2" xfId="38426" xr:uid="{B04BDE84-46BF-4F4B-B0E4-39E38FA74DC9}"/>
    <cellStyle name="Überschrift 3 34 3" xfId="18992" xr:uid="{C6927C69-996E-4EFA-80E9-95B9E72E5C1B}"/>
    <cellStyle name="Überschrift 3 34 3 2" xfId="38427" xr:uid="{91B43450-35C3-4246-BEF0-63539ACAB2A4}"/>
    <cellStyle name="Überschrift 3 34 4" xfId="38425" xr:uid="{047F57BE-19B0-4C64-BB4E-2AF2AF4866A7}"/>
    <cellStyle name="Überschrift 3 35" xfId="18993" xr:uid="{7B94292E-1302-4EEE-BA3C-DF05F9A79E3B}"/>
    <cellStyle name="Überschrift 3 35 2" xfId="18994" xr:uid="{49C47F7C-898E-4F22-ACB3-5CC7994C7F6E}"/>
    <cellStyle name="Überschrift 3 35 2 2" xfId="38429" xr:uid="{E646ABD1-40DB-4EEA-B0A2-927F7B2C8673}"/>
    <cellStyle name="Überschrift 3 35 3" xfId="18995" xr:uid="{A0200FAC-043C-4519-B6CB-240F4A3D7FCC}"/>
    <cellStyle name="Überschrift 3 35 3 2" xfId="38430" xr:uid="{CCB1738F-4C28-4039-BC21-13077ADD5F7B}"/>
    <cellStyle name="Überschrift 3 35 4" xfId="38428" xr:uid="{50837464-6B06-4851-BAD4-DB408ADD0B7A}"/>
    <cellStyle name="Überschrift 3 36" xfId="18996" xr:uid="{75D1725B-DE64-479A-97AC-81E340C99184}"/>
    <cellStyle name="Überschrift 3 36 2" xfId="18997" xr:uid="{1618D259-58C9-4A52-9709-78446CD98DBC}"/>
    <cellStyle name="Überschrift 3 36 2 2" xfId="38432" xr:uid="{04DEBEBC-E254-4C47-8FB8-CE6C867FCD61}"/>
    <cellStyle name="Überschrift 3 36 3" xfId="18998" xr:uid="{E8A40600-E86B-456A-87AC-643357530ACB}"/>
    <cellStyle name="Überschrift 3 36 3 2" xfId="38433" xr:uid="{02E11069-06F9-471D-9171-18D56322158B}"/>
    <cellStyle name="Überschrift 3 36 4" xfId="38431" xr:uid="{455A5E6A-956F-41A7-84E5-75D79044A541}"/>
    <cellStyle name="Überschrift 3 37" xfId="38284" xr:uid="{A701F2F1-8BCE-49EA-AE82-68DBC19FF875}"/>
    <cellStyle name="Überschrift 3 38" xfId="40405" xr:uid="{3CC35530-E0D1-4A93-BE56-BB1FBC6B1946}"/>
    <cellStyle name="Überschrift 3 39" xfId="18849" xr:uid="{EAFADDB9-50F1-455F-9EC3-F63849464C67}"/>
    <cellStyle name="Überschrift 3 4" xfId="18999" xr:uid="{FED3ECFE-49CB-4F4B-B60B-2180B5FAC782}"/>
    <cellStyle name="Überschrift 3 4 2" xfId="19000" xr:uid="{60963335-BD57-43E7-B168-6FBDD81F47DA}"/>
    <cellStyle name="Überschrift 3 4 2 2" xfId="19001" xr:uid="{44B0E0D3-DBC3-48FD-8A29-943C120F8D87}"/>
    <cellStyle name="Überschrift 3 4 2 2 2" xfId="38436" xr:uid="{60C89817-D128-42CF-B805-1ED1FE4101C2}"/>
    <cellStyle name="Überschrift 3 4 2 3" xfId="38435" xr:uid="{2A748F2A-2CAF-4D34-89BD-04DBD46A9303}"/>
    <cellStyle name="Überschrift 3 4 2 4" xfId="40392" xr:uid="{4E7C622B-695D-42B5-B332-1F79585C4133}"/>
    <cellStyle name="Überschrift 3 4 3" xfId="19002" xr:uid="{156AE7C8-5BFD-4724-8534-9173194A0F72}"/>
    <cellStyle name="Überschrift 3 4 3 2" xfId="38437" xr:uid="{6E74B200-3208-473F-9E12-E71642088D7E}"/>
    <cellStyle name="Überschrift 3 4 4" xfId="19003" xr:uid="{9EF03666-CB5F-40B1-AA2F-7085A488DE6F}"/>
    <cellStyle name="Überschrift 3 4 4 2" xfId="38438" xr:uid="{1C232AB8-CA0F-464F-BFA2-70FBB7949FA2}"/>
    <cellStyle name="Überschrift 3 4 5" xfId="19004" xr:uid="{4FE10FD5-3017-404D-A7E5-890FCC86AD7A}"/>
    <cellStyle name="Überschrift 3 4 5 2" xfId="38439" xr:uid="{4EC8168A-A4B5-45AE-AC0A-61CA563F7C17}"/>
    <cellStyle name="Überschrift 3 4 6" xfId="19005" xr:uid="{9AA495C5-A1DA-4AF6-8FFE-DB8A7857ABA9}"/>
    <cellStyle name="Überschrift 3 4 6 2" xfId="38440" xr:uid="{36663DD3-1668-4C56-85F5-4BC2D890B0CE}"/>
    <cellStyle name="Überschrift 3 4 7" xfId="38434" xr:uid="{C96A47C6-E7F9-4002-B591-96772B431F21}"/>
    <cellStyle name="Überschrift 3 4 8" xfId="39869" xr:uid="{2897AB37-0760-4334-8E3A-666DDBF0E9D5}"/>
    <cellStyle name="Überschrift 3 40" xfId="43" xr:uid="{13A3F516-D6A3-45B8-9AEE-12E483DF288A}"/>
    <cellStyle name="Überschrift 3 5" xfId="19006" xr:uid="{EE32B299-D91B-4D38-BC4D-47149A074D8F}"/>
    <cellStyle name="Überschrift 3 5 2" xfId="19007" xr:uid="{EEB7E5FC-A8BD-4ED1-89E8-B50663A9DEC8}"/>
    <cellStyle name="Überschrift 3 5 2 2" xfId="38442" xr:uid="{A6F6D0BC-BE0B-4D29-A06C-0A90A37F4580}"/>
    <cellStyle name="Überschrift 3 5 3" xfId="19008" xr:uid="{C332CF80-E0EF-4C3B-8DC1-96B2AC213788}"/>
    <cellStyle name="Überschrift 3 5 3 2" xfId="38443" xr:uid="{FAE729B9-C289-477B-93E3-54FCFB0EBACC}"/>
    <cellStyle name="Überschrift 3 5 4" xfId="19009" xr:uid="{EFAA8B73-1A67-4384-9BB2-B329F340424E}"/>
    <cellStyle name="Überschrift 3 5 4 2" xfId="38444" xr:uid="{70B2626A-9DA4-470D-80DE-54F7A89D4D5B}"/>
    <cellStyle name="Überschrift 3 5 5" xfId="19010" xr:uid="{B7C04F31-4026-4526-8D82-B0E07AB35944}"/>
    <cellStyle name="Überschrift 3 5 5 2" xfId="38445" xr:uid="{ECF650AE-4753-4C4E-AB6B-870749393DD9}"/>
    <cellStyle name="Überschrift 3 5 6" xfId="38441" xr:uid="{005F6A74-5C81-4B73-934A-3AB7B4F9CABC}"/>
    <cellStyle name="Überschrift 3 5 7" xfId="39870" xr:uid="{28580998-40DD-4EDA-AA20-C9D391A9DBED}"/>
    <cellStyle name="Überschrift 3 6" xfId="19011" xr:uid="{4F968342-189B-4B78-8294-8D470F3B9BD4}"/>
    <cellStyle name="Überschrift 3 6 2" xfId="19012" xr:uid="{49394828-5A90-4413-B722-4E190F92A293}"/>
    <cellStyle name="Überschrift 3 6 2 2" xfId="38447" xr:uid="{83DCFA4D-17C7-4F7E-93E1-05506447FF34}"/>
    <cellStyle name="Überschrift 3 6 3" xfId="19013" xr:uid="{536EB74A-A22D-4803-990D-C70D0F875683}"/>
    <cellStyle name="Überschrift 3 6 3 2" xfId="38448" xr:uid="{0ADA4715-15F0-4260-9637-234DC4810790}"/>
    <cellStyle name="Überschrift 3 6 4" xfId="19014" xr:uid="{6610C983-2911-493E-A5A1-B5B13A445F9A}"/>
    <cellStyle name="Überschrift 3 6 4 2" xfId="38449" xr:uid="{F8879FB8-6BC5-48A1-BA01-82646530B022}"/>
    <cellStyle name="Überschrift 3 6 5" xfId="19015" xr:uid="{7B2D04C1-DF0A-44F4-96D4-7E65589D4AB5}"/>
    <cellStyle name="Überschrift 3 6 5 2" xfId="38450" xr:uid="{B93A078B-F87E-4C37-8A99-0F89E77DF4DB}"/>
    <cellStyle name="Überschrift 3 6 6" xfId="38446" xr:uid="{EED4B885-0C95-45F8-B0EB-6A72AD0B2B26}"/>
    <cellStyle name="Überschrift 3 6 7" xfId="39865" xr:uid="{2F597618-B99D-4BA7-9275-DAA4B4B77E36}"/>
    <cellStyle name="Überschrift 3 7" xfId="19016" xr:uid="{DDAE2064-3F5F-4BE4-B687-C073825C79B0}"/>
    <cellStyle name="Überschrift 3 7 2" xfId="19017" xr:uid="{A0B2C006-1BCE-4F06-8D4A-144E366AA68D}"/>
    <cellStyle name="Überschrift 3 7 2 2" xfId="38452" xr:uid="{E0DFF7D3-4EE4-4AD3-81EC-957402CF39FC}"/>
    <cellStyle name="Überschrift 3 7 3" xfId="38451" xr:uid="{1E5A566D-9B43-4C9F-9785-EFA728423F17}"/>
    <cellStyle name="Überschrift 3 8" xfId="19018" xr:uid="{F580DAC0-EABB-45B6-9A1C-4FD3DEE89B64}"/>
    <cellStyle name="Überschrift 3 8 2" xfId="19019" xr:uid="{705471CB-453B-4C6B-BC2F-FA84C4E4D610}"/>
    <cellStyle name="Überschrift 3 8 2 2" xfId="38454" xr:uid="{BE712251-B3FA-43AB-A5BC-DE6A45886EA6}"/>
    <cellStyle name="Überschrift 3 8 3" xfId="38453" xr:uid="{B7A8047C-7323-403D-9BF5-3C76B5F075B9}"/>
    <cellStyle name="Überschrift 3 9" xfId="19020" xr:uid="{13773340-386B-43F0-B6BB-CDB47E587B9B}"/>
    <cellStyle name="Überschrift 3 9 2" xfId="19021" xr:uid="{4FFC8F30-2BC8-4B05-9E7D-47C782B0FC82}"/>
    <cellStyle name="Überschrift 3 9 2 2" xfId="38456" xr:uid="{D7D0140D-4CD8-4C36-9E7C-6A566317D771}"/>
    <cellStyle name="Überschrift 3 9 3" xfId="38455" xr:uid="{B9ADDEA0-69C9-4FD3-87DD-FD7A0A82F3D3}"/>
    <cellStyle name="Überschrift 30" xfId="19022" xr:uid="{4C2C41ED-D667-43D7-AB42-D9CD7C3056DC}"/>
    <cellStyle name="Überschrift 30 2" xfId="19023" xr:uid="{15304185-EAD7-433D-AEE9-B28D9E1F714F}"/>
    <cellStyle name="Überschrift 30 2 2" xfId="38458" xr:uid="{1CA96E53-9A9A-4DBC-A929-ADD3E5A651E6}"/>
    <cellStyle name="Überschrift 30 3" xfId="19024" xr:uid="{006B9BEC-0167-4C06-BBC1-38EEEA0B2E57}"/>
    <cellStyle name="Überschrift 30 3 2" xfId="38459" xr:uid="{F55E4A93-7B17-4BCF-BFD9-B133D6E9EF45}"/>
    <cellStyle name="Überschrift 30 4" xfId="38457" xr:uid="{6BC5EB29-5DD4-4BE5-9D98-C40AB40DDB01}"/>
    <cellStyle name="Überschrift 31" xfId="19025" xr:uid="{EF5E94D3-362D-4D11-9EB3-E6737499E9B7}"/>
    <cellStyle name="Überschrift 31 2" xfId="19026" xr:uid="{47705704-AD59-4CA4-8391-F968170D04A0}"/>
    <cellStyle name="Überschrift 31 2 2" xfId="38461" xr:uid="{C86955F3-A5C2-4305-B94A-B5AF13E650C1}"/>
    <cellStyle name="Überschrift 31 3" xfId="19027" xr:uid="{9AE25EAA-AAA6-44F2-87F2-447A7853F12E}"/>
    <cellStyle name="Überschrift 31 3 2" xfId="38462" xr:uid="{8D808139-E266-4AFC-8597-13813FD14DA3}"/>
    <cellStyle name="Überschrift 31 4" xfId="38460" xr:uid="{39AD4BCD-2303-48FB-BC45-7971CDE20555}"/>
    <cellStyle name="Überschrift 32" xfId="19028" xr:uid="{46001EB8-013F-4566-94AC-E7DB264125EA}"/>
    <cellStyle name="Überschrift 32 2" xfId="19029" xr:uid="{65A3BB47-AC7E-4F6F-A150-EC2060DF1EEF}"/>
    <cellStyle name="Überschrift 32 2 2" xfId="38464" xr:uid="{4C7634F7-FBC5-4FE4-97BB-6FEB6AC23AF2}"/>
    <cellStyle name="Überschrift 32 3" xfId="19030" xr:uid="{BABFB5D5-FE0F-47B6-AA06-CD5558DCAC32}"/>
    <cellStyle name="Überschrift 32 3 2" xfId="38465" xr:uid="{C69687B4-0F97-4566-B92E-9ED934152A24}"/>
    <cellStyle name="Überschrift 32 4" xfId="38463" xr:uid="{76DEED62-15E5-4439-8FC4-AA74E266E275}"/>
    <cellStyle name="Überschrift 33" xfId="19031" xr:uid="{436976C4-2F22-41FF-951E-8C6498E4176C}"/>
    <cellStyle name="Überschrift 33 2" xfId="19032" xr:uid="{DC482124-75BE-45AD-BC9D-A427098DBD87}"/>
    <cellStyle name="Überschrift 33 2 2" xfId="38467" xr:uid="{206EA962-56DB-4AF4-BAC4-E5EE9158C6BF}"/>
    <cellStyle name="Überschrift 33 3" xfId="19033" xr:uid="{4B829452-2AA9-4DFD-84B3-9A2345F7D65E}"/>
    <cellStyle name="Überschrift 33 3 2" xfId="38468" xr:uid="{9A89F532-71C6-49A5-919B-1FB106967F99}"/>
    <cellStyle name="Überschrift 33 4" xfId="38466" xr:uid="{F3EDB078-EF6E-4BA5-B442-0A07DDF1955B}"/>
    <cellStyle name="Überschrift 34" xfId="19034" xr:uid="{134C3218-314B-47FC-9BFE-39F20A9981C4}"/>
    <cellStyle name="Überschrift 34 2" xfId="19035" xr:uid="{87827789-2DA1-49BE-B860-ECB804C29180}"/>
    <cellStyle name="Überschrift 34 2 2" xfId="38470" xr:uid="{7E6576C5-2CD5-47A7-B4D1-8EC516A096F7}"/>
    <cellStyle name="Überschrift 34 3" xfId="19036" xr:uid="{59C84469-DF7B-4896-8AF9-45BC62392CEE}"/>
    <cellStyle name="Überschrift 34 3 2" xfId="38471" xr:uid="{737A4751-704B-4709-9C34-848CD4C2F9BC}"/>
    <cellStyle name="Überschrift 34 4" xfId="38469" xr:uid="{02A7346E-D0C9-4754-8628-30E63C75F301}"/>
    <cellStyle name="Überschrift 35" xfId="19037" xr:uid="{BEDCABBC-D97A-49A6-A1F5-E384881B2D0D}"/>
    <cellStyle name="Überschrift 35 2" xfId="19038" xr:uid="{D84A4584-CBBD-4F71-8AD6-3F5E2B709EC8}"/>
    <cellStyle name="Überschrift 35 2 2" xfId="38473" xr:uid="{25C78BCB-B762-4655-A6CE-CEC57787E890}"/>
    <cellStyle name="Überschrift 35 3" xfId="19039" xr:uid="{8B92017D-BACE-4940-B974-38F68A9DB92E}"/>
    <cellStyle name="Überschrift 35 3 2" xfId="38474" xr:uid="{F7A9FDED-ABE8-4F84-88BA-D98055E159EC}"/>
    <cellStyle name="Überschrift 35 4" xfId="38472" xr:uid="{AEB72C49-EDF8-41E2-BD49-29EFD8770480}"/>
    <cellStyle name="Überschrift 36" xfId="19040" xr:uid="{001CDDE1-2E12-4442-9535-7957A621B060}"/>
    <cellStyle name="Überschrift 36 2" xfId="19041" xr:uid="{FF87EC65-750B-499D-908A-39CB35C2C1E4}"/>
    <cellStyle name="Überschrift 36 2 2" xfId="38476" xr:uid="{7EDFB9B3-2972-4643-8897-502BC5952F22}"/>
    <cellStyle name="Überschrift 36 3" xfId="19042" xr:uid="{F24F101F-2EBF-41FE-BB37-6F6141192C83}"/>
    <cellStyle name="Überschrift 36 3 2" xfId="38477" xr:uid="{CB084903-753E-4CEE-AA47-BE062DB1EAD4}"/>
    <cellStyle name="Überschrift 36 4" xfId="38475" xr:uid="{3E47412D-5FF8-4DCC-9E69-D6DEBD711AB6}"/>
    <cellStyle name="Überschrift 37" xfId="19043" xr:uid="{A5ADD6D2-6733-421E-ACFC-A745EA67EA97}"/>
    <cellStyle name="Überschrift 37 2" xfId="19044" xr:uid="{2EB7FD70-95A9-447C-AE59-7D655EBA04C5}"/>
    <cellStyle name="Überschrift 37 2 2" xfId="38479" xr:uid="{7EF1F0C0-3CFD-4FFE-AB9C-FA4678C81ABE}"/>
    <cellStyle name="Überschrift 37 3" xfId="19045" xr:uid="{5080C1D5-A027-4029-BE22-26A913F6233F}"/>
    <cellStyle name="Überschrift 37 3 2" xfId="38480" xr:uid="{EE1422F9-74A3-4A14-8798-4C5C0A7C051E}"/>
    <cellStyle name="Überschrift 37 4" xfId="38478" xr:uid="{664EE704-8116-4DA9-914A-813D44586D89}"/>
    <cellStyle name="Überschrift 38" xfId="19046" xr:uid="{B60214CD-AD13-4A23-9C96-745570F1EFDF}"/>
    <cellStyle name="Überschrift 38 2" xfId="19047" xr:uid="{D2CEA921-7299-4CE3-85E8-70C17BCEED5E}"/>
    <cellStyle name="Überschrift 38 2 2" xfId="38482" xr:uid="{66428BB2-6F4D-4A2B-B7C6-6D19F16635F3}"/>
    <cellStyle name="Überschrift 38 3" xfId="19048" xr:uid="{3A438F23-0295-4BAF-87FB-CF2153C17D70}"/>
    <cellStyle name="Überschrift 38 3 2" xfId="38483" xr:uid="{C01CA5C4-5069-481E-BF12-8C2402A0CEA0}"/>
    <cellStyle name="Überschrift 38 4" xfId="38481" xr:uid="{EF50BD89-2A84-42D2-873D-3DE761D6702C}"/>
    <cellStyle name="Überschrift 39" xfId="19049" xr:uid="{F20820E2-8B1B-49C4-94FA-65C45A5F6E64}"/>
    <cellStyle name="Überschrift 39 2" xfId="19050" xr:uid="{05CD3172-3A59-4803-AD48-41273ECF52AF}"/>
    <cellStyle name="Überschrift 39 2 2" xfId="38485" xr:uid="{6817E516-6CAB-4675-992D-08F58217DC33}"/>
    <cellStyle name="Überschrift 39 3" xfId="19051" xr:uid="{7AB721FE-5080-431F-AC9E-9E78D7C92C06}"/>
    <cellStyle name="Überschrift 39 3 2" xfId="38486" xr:uid="{3ADBCE0C-3FDB-45F0-BEFF-9230AFF1B261}"/>
    <cellStyle name="Überschrift 39 4" xfId="38484" xr:uid="{772C8A1B-A7F2-450E-B29E-03A2CC7E150C}"/>
    <cellStyle name="Überschrift 4 10" xfId="19053" xr:uid="{27A135B7-7DA8-459F-B106-82CEAFA3A854}"/>
    <cellStyle name="Überschrift 4 10 2" xfId="19054" xr:uid="{F2EA043C-837D-42FF-B116-CFFF7948BF38}"/>
    <cellStyle name="Überschrift 4 10 2 2" xfId="38489" xr:uid="{DB3A46F9-C1C7-4523-955E-1EA8B227AE8C}"/>
    <cellStyle name="Überschrift 4 10 3" xfId="38488" xr:uid="{47B80BE9-2099-4B1A-80F6-D322A070CA4D}"/>
    <cellStyle name="Überschrift 4 11" xfId="19055" xr:uid="{6349D39A-4463-4C2E-893D-747D92DBB1C0}"/>
    <cellStyle name="Überschrift 4 11 2" xfId="19056" xr:uid="{8F1E396A-D8A3-4D06-BB45-C2F3B25A812E}"/>
    <cellStyle name="Überschrift 4 11 2 2" xfId="38491" xr:uid="{8FC21B92-5DB3-4186-8977-EC61569251BB}"/>
    <cellStyle name="Überschrift 4 11 3" xfId="38490" xr:uid="{EF1B1B13-A80E-46B4-A538-3C55BA76E23A}"/>
    <cellStyle name="Überschrift 4 12" xfId="19057" xr:uid="{5B541639-1B31-4DB0-85A9-3648ABABBA80}"/>
    <cellStyle name="Überschrift 4 12 2" xfId="19058" xr:uid="{3D8FB436-9030-4148-AACD-C6BB09921947}"/>
    <cellStyle name="Überschrift 4 12 2 2" xfId="38493" xr:uid="{BABB5532-88B7-4EEB-B883-C7DB87C1D0CD}"/>
    <cellStyle name="Überschrift 4 12 3" xfId="38492" xr:uid="{FD370951-1FAE-4970-9902-48C9C20AE2A2}"/>
    <cellStyle name="Überschrift 4 13" xfId="19059" xr:uid="{67EE9A06-5C78-45BB-91DE-0CD7B13EB46A}"/>
    <cellStyle name="Überschrift 4 13 2" xfId="19060" xr:uid="{4F4C0443-8174-4896-8726-3E537D41E8B0}"/>
    <cellStyle name="Überschrift 4 13 2 2" xfId="38495" xr:uid="{A61C33CC-27E5-43E1-BA8D-1F01573F236A}"/>
    <cellStyle name="Überschrift 4 13 3" xfId="38494" xr:uid="{B26F7730-E8F3-41B0-A65D-B168313573C8}"/>
    <cellStyle name="Überschrift 4 14" xfId="19061" xr:uid="{F49C7F2F-7100-483F-A4BF-5CA6DA52C1A0}"/>
    <cellStyle name="Überschrift 4 14 2" xfId="19062" xr:uid="{97072F67-2771-4581-8F1A-3F1ECBBB9650}"/>
    <cellStyle name="Überschrift 4 14 2 2" xfId="38497" xr:uid="{12AB1581-75AE-4AFB-B5FA-CC3B661419D9}"/>
    <cellStyle name="Überschrift 4 14 3" xfId="19063" xr:uid="{1B71C2CC-DA4B-440F-ABBD-51206CD4A37A}"/>
    <cellStyle name="Überschrift 4 14 3 2" xfId="38498" xr:uid="{8B4ABF54-2872-407F-847A-16F5971A4A6C}"/>
    <cellStyle name="Überschrift 4 14 4" xfId="38496" xr:uid="{CE7B40F9-61A4-42FA-98F9-275410423E0D}"/>
    <cellStyle name="Überschrift 4 15" xfId="19064" xr:uid="{DE7DE708-BFD4-4279-91FA-C831BA0881D6}"/>
    <cellStyle name="Überschrift 4 15 2" xfId="19065" xr:uid="{F23CC589-576D-4477-833F-031FEEB12B25}"/>
    <cellStyle name="Überschrift 4 15 2 2" xfId="38500" xr:uid="{55D761A7-DBEE-444E-83EC-6936AB8A64DA}"/>
    <cellStyle name="Überschrift 4 15 3" xfId="19066" xr:uid="{F900D2F6-36BC-469A-A007-23E668B1DBDE}"/>
    <cellStyle name="Überschrift 4 15 3 2" xfId="38501" xr:uid="{43183B17-50B0-4FEF-8E1D-726A3C3DFD85}"/>
    <cellStyle name="Überschrift 4 15 4" xfId="38499" xr:uid="{9720CEE4-9EFC-43A2-A307-FE382AE7F753}"/>
    <cellStyle name="Überschrift 4 16" xfId="19067" xr:uid="{4D4D2968-9E82-4E30-B58D-1AD8B05D0073}"/>
    <cellStyle name="Überschrift 4 16 2" xfId="19068" xr:uid="{0080BA1C-373A-497E-B3D5-BB5812701D6F}"/>
    <cellStyle name="Überschrift 4 16 2 2" xfId="38503" xr:uid="{EFB67139-DC7C-4FCF-83BD-7774F39CD154}"/>
    <cellStyle name="Überschrift 4 16 3" xfId="19069" xr:uid="{E35F7FB0-4036-4512-9323-F2CADD502005}"/>
    <cellStyle name="Überschrift 4 16 3 2" xfId="38504" xr:uid="{15F3A4F7-3D4E-47BD-9C59-9EE817F4F76C}"/>
    <cellStyle name="Überschrift 4 16 4" xfId="38502" xr:uid="{CB458FC7-A040-470C-AAE8-D183F54BAF89}"/>
    <cellStyle name="Überschrift 4 17" xfId="19070" xr:uid="{C0C8A780-A5EE-4EC1-9967-45AF47FC81AF}"/>
    <cellStyle name="Überschrift 4 17 2" xfId="19071" xr:uid="{E83C0460-C4DA-4DFC-A68F-B9C5A87D1F2E}"/>
    <cellStyle name="Überschrift 4 17 2 2" xfId="38506" xr:uid="{D10CBAC5-E5FC-4433-83E5-A40EFDEDF2A0}"/>
    <cellStyle name="Überschrift 4 17 3" xfId="19072" xr:uid="{0C607986-3B88-4714-94A5-310235B81DF1}"/>
    <cellStyle name="Überschrift 4 17 3 2" xfId="38507" xr:uid="{82115F68-5F37-4E2E-B743-0A3862D82CA4}"/>
    <cellStyle name="Überschrift 4 17 4" xfId="38505" xr:uid="{CEAA88D4-EAE2-4909-8BF9-053A0A5FFC12}"/>
    <cellStyle name="Überschrift 4 18" xfId="19073" xr:uid="{A49F868D-797F-4A81-A457-44D348635390}"/>
    <cellStyle name="Überschrift 4 18 2" xfId="19074" xr:uid="{668E6D32-98BF-4F51-82A7-5292A07CCD49}"/>
    <cellStyle name="Überschrift 4 18 2 2" xfId="38509" xr:uid="{508E07E0-82FC-451C-9FE3-35880ACC22BE}"/>
    <cellStyle name="Überschrift 4 18 3" xfId="19075" xr:uid="{9FE26B62-B723-4F0D-AEEE-8C9B86E35240}"/>
    <cellStyle name="Überschrift 4 18 3 2" xfId="38510" xr:uid="{6DB7A47A-374E-4BD9-A6FE-4CAAC42E246D}"/>
    <cellStyle name="Überschrift 4 18 4" xfId="38508" xr:uid="{8FF06EEF-5C5D-40DD-9F3C-777349175738}"/>
    <cellStyle name="Überschrift 4 19" xfId="19076" xr:uid="{DD9841D0-6EB9-4173-AF44-C21390EEE52B}"/>
    <cellStyle name="Überschrift 4 19 2" xfId="19077" xr:uid="{B0C88EE1-5DC3-4354-A18D-82A6B82CF0F2}"/>
    <cellStyle name="Überschrift 4 19 2 2" xfId="38512" xr:uid="{34F724EE-D79B-463F-AEB9-8FEEB33D3DA9}"/>
    <cellStyle name="Überschrift 4 19 3" xfId="19078" xr:uid="{D261BAB9-A44F-472E-9206-3A5BF3C84D56}"/>
    <cellStyle name="Überschrift 4 19 3 2" xfId="38513" xr:uid="{296CA944-975C-4070-A753-E51B4D3FB2C8}"/>
    <cellStyle name="Überschrift 4 19 4" xfId="38511" xr:uid="{F2CE24F7-3DA3-407C-9E6D-FD6AAFEF7077}"/>
    <cellStyle name="Überschrift 4 2" xfId="19079" xr:uid="{7208E03E-4502-4070-AA3E-FE154DFDC1D7}"/>
    <cellStyle name="Überschrift 4 2 10" xfId="19080" xr:uid="{9819E4CE-80D1-49CB-BD3A-B408AE6DBB6D}"/>
    <cellStyle name="Überschrift 4 2 10 2" xfId="38515" xr:uid="{378C54E5-25E7-4174-B9A5-9F7864B3000A}"/>
    <cellStyle name="Überschrift 4 2 11" xfId="19081" xr:uid="{726165D4-5E48-4901-A360-AED954783673}"/>
    <cellStyle name="Überschrift 4 2 11 2" xfId="38516" xr:uid="{973CD1C4-0FA5-44E7-A2EB-839EE520D20B}"/>
    <cellStyle name="Überschrift 4 2 12" xfId="19082" xr:uid="{E5E7FF2E-2A8D-4635-93D6-CDC6E8E77E17}"/>
    <cellStyle name="Überschrift 4 2 12 2" xfId="38517" xr:uid="{EA896355-DD17-4F13-80DF-58D74B5B0173}"/>
    <cellStyle name="Überschrift 4 2 13" xfId="19083" xr:uid="{C1133868-328A-494B-90DE-380E74ACB55A}"/>
    <cellStyle name="Überschrift 4 2 13 2" xfId="38518" xr:uid="{2C3574C4-7F76-43D6-8C14-C5300E00D8F3}"/>
    <cellStyle name="Überschrift 4 2 14" xfId="19084" xr:uid="{E41BAF15-BA06-4BB2-95B3-BF565B247C6D}"/>
    <cellStyle name="Überschrift 4 2 14 2" xfId="38519" xr:uid="{FA59B467-4772-4A81-8BB4-F255CC1AF376}"/>
    <cellStyle name="Überschrift 4 2 15" xfId="38514" xr:uid="{CB95E7D7-AE18-4E16-BAD8-4D94F369A0E8}"/>
    <cellStyle name="Überschrift 4 2 16" xfId="39872" xr:uid="{125A35B4-4796-4C4E-82F7-E801A9CE4E62}"/>
    <cellStyle name="Überschrift 4 2 2" xfId="19085" xr:uid="{541CE8FD-AAA7-40A8-A9EB-8658ADD24BE5}"/>
    <cellStyle name="Überschrift 4 2 2 10" xfId="19086" xr:uid="{319F0CC6-FAF7-43CE-97B0-06E425AE5D7D}"/>
    <cellStyle name="Überschrift 4 2 2 10 2" xfId="38521" xr:uid="{540224A5-490B-44BB-8B10-0A6F40AEDCD1}"/>
    <cellStyle name="Überschrift 4 2 2 11" xfId="19087" xr:uid="{30D8B401-C50B-417E-86DE-C555EDD7ECA6}"/>
    <cellStyle name="Überschrift 4 2 2 11 2" xfId="38522" xr:uid="{FC256295-8AB9-4BAF-A340-1F60F6AC9207}"/>
    <cellStyle name="Überschrift 4 2 2 12" xfId="19088" xr:uid="{766D29E8-23E8-4E76-A64D-DFD79C78698A}"/>
    <cellStyle name="Überschrift 4 2 2 12 2" xfId="38523" xr:uid="{BF335923-CE83-40FE-B4B0-5CD4A95ED195}"/>
    <cellStyle name="Überschrift 4 2 2 13" xfId="38520" xr:uid="{E9FF3C2D-2ACF-47EC-BDE5-5F7199767726}"/>
    <cellStyle name="Überschrift 4 2 2 14" xfId="39873" xr:uid="{46E696D9-6875-487F-8B06-9ADA520B09A4}"/>
    <cellStyle name="Überschrift 4 2 2 2" xfId="19089" xr:uid="{B1A1D6CD-DB61-42FB-8F63-6585C477F463}"/>
    <cellStyle name="Überschrift 4 2 2 2 10" xfId="19090" xr:uid="{29F1D838-7EE4-4855-8D2C-6F045DA7E48C}"/>
    <cellStyle name="Überschrift 4 2 2 2 10 2" xfId="38525" xr:uid="{0CFDD29B-3CC2-487D-87B7-2F67B1A43066}"/>
    <cellStyle name="Überschrift 4 2 2 2 11" xfId="38524" xr:uid="{07533622-B955-4EB8-B219-6B7FD3FB75C4}"/>
    <cellStyle name="Überschrift 4 2 2 2 2" xfId="19091" xr:uid="{BBB20585-7A32-4F96-BD48-974A15094DB6}"/>
    <cellStyle name="Überschrift 4 2 2 2 2 2" xfId="19092" xr:uid="{ABC43757-FD16-4809-A140-A715ED8F24F3}"/>
    <cellStyle name="Überschrift 4 2 2 2 2 2 2" xfId="19093" xr:uid="{745B4050-4BBB-4D7B-8829-A49D3E2F3C1F}"/>
    <cellStyle name="Überschrift 4 2 2 2 2 2 2 2" xfId="19094" xr:uid="{5D608744-8F41-4168-9DCD-4EFA4BF009A6}"/>
    <cellStyle name="Überschrift 4 2 2 2 2 2 2 2 2" xfId="38529" xr:uid="{7569231D-BAE8-4E63-B3D3-02C2909BD788}"/>
    <cellStyle name="Überschrift 4 2 2 2 2 2 2 3" xfId="38528" xr:uid="{EE841311-69C6-447E-8EF7-FDBB39D36057}"/>
    <cellStyle name="Überschrift 4 2 2 2 2 2 3" xfId="19095" xr:uid="{A09E07FE-94F4-4004-A289-8C0FC902000A}"/>
    <cellStyle name="Überschrift 4 2 2 2 2 2 3 2" xfId="38530" xr:uid="{D896B428-0A8F-41E2-8A7A-13896E025240}"/>
    <cellStyle name="Überschrift 4 2 2 2 2 2 4" xfId="19096" xr:uid="{21DC3731-C14C-4BCE-8FE5-366D95DC28F4}"/>
    <cellStyle name="Überschrift 4 2 2 2 2 2 4 2" xfId="38531" xr:uid="{666FF200-CB56-4BED-BD9B-2B742FB4E2B9}"/>
    <cellStyle name="Überschrift 4 2 2 2 2 2 5" xfId="19097" xr:uid="{375F65E6-E01B-4333-8614-391EB521DE2E}"/>
    <cellStyle name="Überschrift 4 2 2 2 2 2 5 2" xfId="38532" xr:uid="{F12F31B2-1265-4DAF-82AD-F6AD154A0088}"/>
    <cellStyle name="Überschrift 4 2 2 2 2 2 6" xfId="19098" xr:uid="{B585B9F9-527D-4C73-B251-DE02559F4FC4}"/>
    <cellStyle name="Überschrift 4 2 2 2 2 2 6 2" xfId="38533" xr:uid="{25DBFC40-96BE-466E-A959-4CCFCF0E5C7F}"/>
    <cellStyle name="Überschrift 4 2 2 2 2 2 7" xfId="19099" xr:uid="{B681F9E7-AD4C-4E99-B833-D72065FDA735}"/>
    <cellStyle name="Überschrift 4 2 2 2 2 2 7 2" xfId="38534" xr:uid="{92F61B8F-22B8-4143-A6C3-BA1E6E2B6BE2}"/>
    <cellStyle name="Überschrift 4 2 2 2 2 2 8" xfId="19100" xr:uid="{2D37147D-73DE-460D-8B2C-24993F9A56A9}"/>
    <cellStyle name="Überschrift 4 2 2 2 2 2 8 2" xfId="38535" xr:uid="{67D83B02-D82E-47E0-B423-C8B1EF77D837}"/>
    <cellStyle name="Überschrift 4 2 2 2 2 2 9" xfId="38527" xr:uid="{A1F29F5D-F7FC-4750-A1B0-2E514A39CF7E}"/>
    <cellStyle name="Überschrift 4 2 2 2 2 3" xfId="19101" xr:uid="{FD6D7C67-252D-46B7-94AE-5788304E71AC}"/>
    <cellStyle name="Überschrift 4 2 2 2 2 3 2" xfId="19102" xr:uid="{BE45314C-883A-4B00-8D67-84BA1533F9B0}"/>
    <cellStyle name="Überschrift 4 2 2 2 2 3 2 2" xfId="38537" xr:uid="{AC31501A-BAE9-4962-998E-B18410B92D25}"/>
    <cellStyle name="Überschrift 4 2 2 2 2 3 3" xfId="38536" xr:uid="{4E3F01C5-18F6-4426-A086-A31E3D48699A}"/>
    <cellStyle name="Überschrift 4 2 2 2 2 4" xfId="19103" xr:uid="{F3562F0B-99C9-438A-927B-2E70D73539C0}"/>
    <cellStyle name="Überschrift 4 2 2 2 2 4 2" xfId="38538" xr:uid="{AA07A879-60A7-4B56-B2B5-F5BB38AA04CA}"/>
    <cellStyle name="Überschrift 4 2 2 2 2 5" xfId="19104" xr:uid="{AD313EC0-E09C-4E63-8A03-02DA742EB5A5}"/>
    <cellStyle name="Überschrift 4 2 2 2 2 5 2" xfId="38539" xr:uid="{D0C36EA2-6461-42B8-97E8-55684CBD3379}"/>
    <cellStyle name="Überschrift 4 2 2 2 2 6" xfId="19105" xr:uid="{0FCA7AA2-A093-4E05-8AD0-0084474533AA}"/>
    <cellStyle name="Überschrift 4 2 2 2 2 6 2" xfId="38540" xr:uid="{A461C082-C9A3-44A7-A78D-3F2CFC192910}"/>
    <cellStyle name="Überschrift 4 2 2 2 2 7" xfId="19106" xr:uid="{7BB68181-7C9A-4FCE-B76D-5B065D8B8999}"/>
    <cellStyle name="Überschrift 4 2 2 2 2 7 2" xfId="38541" xr:uid="{EF026FA4-E1F2-46A4-89A9-596D6128E709}"/>
    <cellStyle name="Überschrift 4 2 2 2 2 8" xfId="19107" xr:uid="{B68DD891-3621-4313-B9E1-8FE513CFD205}"/>
    <cellStyle name="Überschrift 4 2 2 2 2 8 2" xfId="38542" xr:uid="{FEF531E0-14F7-42EF-920B-34645A4F7DB7}"/>
    <cellStyle name="Überschrift 4 2 2 2 2 9" xfId="38526" xr:uid="{AA72E8A1-9182-48DC-B275-09D31CCD23D2}"/>
    <cellStyle name="Überschrift 4 2 2 2 3" xfId="19108" xr:uid="{438D321E-60C8-4C1B-91E4-36867900E63D}"/>
    <cellStyle name="Überschrift 4 2 2 2 3 2" xfId="38543" xr:uid="{2D150693-8998-426B-A827-FF8289B6345A}"/>
    <cellStyle name="Überschrift 4 2 2 2 4" xfId="19109" xr:uid="{6488B853-A761-4450-BD8B-25D225CDCC57}"/>
    <cellStyle name="Überschrift 4 2 2 2 4 2" xfId="38544" xr:uid="{FF106857-57EB-4290-8AB1-96560EEBF118}"/>
    <cellStyle name="Überschrift 4 2 2 2 5" xfId="19110" xr:uid="{67231699-C529-4688-8736-824880D28FA5}"/>
    <cellStyle name="Überschrift 4 2 2 2 5 2" xfId="19111" xr:uid="{A629C588-AC41-4600-9422-B6938F6245F4}"/>
    <cellStyle name="Überschrift 4 2 2 2 5 2 2" xfId="38546" xr:uid="{26BC5F3B-F431-4C89-BACC-1B9B96728EE2}"/>
    <cellStyle name="Überschrift 4 2 2 2 5 3" xfId="38545" xr:uid="{98119A0A-7613-4F98-9CBC-D22CDCA38664}"/>
    <cellStyle name="Überschrift 4 2 2 2 6" xfId="19112" xr:uid="{CD13F2CB-E86E-4F8C-8965-16DC6D5DDFCD}"/>
    <cellStyle name="Überschrift 4 2 2 2 6 2" xfId="38547" xr:uid="{C15C10E4-25EA-4A06-BB3A-8D4561122327}"/>
    <cellStyle name="Überschrift 4 2 2 2 7" xfId="19113" xr:uid="{4D3AEABE-F3BE-4B67-A1D1-E47A78DA9F8C}"/>
    <cellStyle name="Überschrift 4 2 2 2 7 2" xfId="38548" xr:uid="{E52C2792-232A-4625-A2B1-23790238B27A}"/>
    <cellStyle name="Überschrift 4 2 2 2 8" xfId="19114" xr:uid="{27572D6C-6E37-443F-83B1-B25577D000BD}"/>
    <cellStyle name="Überschrift 4 2 2 2 8 2" xfId="38549" xr:uid="{519F90FB-2E43-4FB4-8AD6-5F3FB5718D60}"/>
    <cellStyle name="Überschrift 4 2 2 2 9" xfId="19115" xr:uid="{96260844-4684-4A40-9B2D-B531A2477EE1}"/>
    <cellStyle name="Überschrift 4 2 2 2 9 2" xfId="38550" xr:uid="{82944670-16C4-4D82-9956-F1C836603DC9}"/>
    <cellStyle name="Überschrift 4 2 2 3" xfId="19116" xr:uid="{C09BD5E6-B58D-4D1D-930F-36513B0CDEF6}"/>
    <cellStyle name="Überschrift 4 2 2 3 2" xfId="38551" xr:uid="{161D38D2-5948-4494-83E6-47CCB6DC0826}"/>
    <cellStyle name="Überschrift 4 2 2 4" xfId="19117" xr:uid="{B9B3D493-7E1F-4B3C-B77A-274F371B3B94}"/>
    <cellStyle name="Überschrift 4 2 2 4 2" xfId="38552" xr:uid="{B014E5AF-A204-4C0F-9522-C1C51C886AED}"/>
    <cellStyle name="Überschrift 4 2 2 5" xfId="19118" xr:uid="{3033DC71-5F24-423E-A0FD-903C87554E64}"/>
    <cellStyle name="Überschrift 4 2 2 5 2" xfId="19119" xr:uid="{88157745-AF55-43D8-8571-FBD2068934CF}"/>
    <cellStyle name="Überschrift 4 2 2 5 2 2" xfId="38554" xr:uid="{FD1B08C8-CA5C-466A-B3E9-ED1E59F83178}"/>
    <cellStyle name="Überschrift 4 2 2 5 3" xfId="38553" xr:uid="{01D1299F-8AF9-4B6B-95C6-591475612796}"/>
    <cellStyle name="Überschrift 4 2 2 6" xfId="19120" xr:uid="{16F959B2-572B-4091-B1F2-16E05FF5943E}"/>
    <cellStyle name="Überschrift 4 2 2 6 2" xfId="38555" xr:uid="{86FE98BE-61DB-48E6-BA57-A470E97C71CF}"/>
    <cellStyle name="Überschrift 4 2 2 7" xfId="19121" xr:uid="{7C5C3346-62CD-4031-8CA8-836002DD4ACF}"/>
    <cellStyle name="Überschrift 4 2 2 7 2" xfId="19122" xr:uid="{82E6BD54-1E14-463C-AA90-90B957E1CC47}"/>
    <cellStyle name="Überschrift 4 2 2 7 2 2" xfId="38557" xr:uid="{27A83DD5-749E-42A1-8823-127B937A358B}"/>
    <cellStyle name="Überschrift 4 2 2 7 3" xfId="38556" xr:uid="{FC0B3528-53C2-4D34-8CAE-2428A2E60149}"/>
    <cellStyle name="Überschrift 4 2 2 8" xfId="19123" xr:uid="{DE9A4D25-2188-4E9E-9422-D4F9F7E6231C}"/>
    <cellStyle name="Überschrift 4 2 2 8 2" xfId="38558" xr:uid="{0388FFF7-8224-45A7-83C5-28D5624CC433}"/>
    <cellStyle name="Überschrift 4 2 2 9" xfId="19124" xr:uid="{2FB5DB86-E4B7-4D50-A967-CE2776433B15}"/>
    <cellStyle name="Überschrift 4 2 2 9 2" xfId="38559" xr:uid="{E76B2169-6822-4143-AA1A-5BEDE770795B}"/>
    <cellStyle name="Überschrift 4 2 3" xfId="19125" xr:uid="{EC3BF606-FB7A-4640-8DFB-2B49F7CE456F}"/>
    <cellStyle name="Überschrift 4 2 3 2" xfId="38560" xr:uid="{3FAE9D70-F40A-4806-A656-2F6797E7BCD3}"/>
    <cellStyle name="Überschrift 4 2 4" xfId="19126" xr:uid="{7ED925ED-B42E-4472-9C06-742A68F7A498}"/>
    <cellStyle name="Überschrift 4 2 4 2" xfId="19127" xr:uid="{D11F4282-31EB-4578-9678-FC398B0D1CB5}"/>
    <cellStyle name="Überschrift 4 2 4 2 2" xfId="19128" xr:uid="{F1FB872F-90EE-49D0-90C8-9CC3F033B7AB}"/>
    <cellStyle name="Überschrift 4 2 4 2 2 2" xfId="38563" xr:uid="{CF27E6FB-C26E-4FAF-A4AB-3DB923609EF4}"/>
    <cellStyle name="Überschrift 4 2 4 2 3" xfId="38562" xr:uid="{85CC695D-E642-4580-BEC2-11008B8C4B33}"/>
    <cellStyle name="Überschrift 4 2 4 3" xfId="19129" xr:uid="{27075634-DE42-4A26-81DE-4539E057F433}"/>
    <cellStyle name="Überschrift 4 2 4 3 2" xfId="38564" xr:uid="{A2ADA85F-C671-45F4-8219-9FB841E0C39B}"/>
    <cellStyle name="Überschrift 4 2 4 4" xfId="19130" xr:uid="{72707EB6-E3EB-487E-800D-477024D49758}"/>
    <cellStyle name="Überschrift 4 2 4 4 2" xfId="38565" xr:uid="{D131A5A4-4330-40A3-A470-313AD488723E}"/>
    <cellStyle name="Überschrift 4 2 4 5" xfId="38561" xr:uid="{C4EDFCFC-217F-4B7B-981F-519B1288113D}"/>
    <cellStyle name="Überschrift 4 2 5" xfId="19131" xr:uid="{6B3E394C-7F7B-42FD-B1AC-ADEACDF417E1}"/>
    <cellStyle name="Überschrift 4 2 5 2" xfId="38566" xr:uid="{06BD7E61-6D8F-43A8-BC7A-70AD8B33C4C3}"/>
    <cellStyle name="Überschrift 4 2 6" xfId="19132" xr:uid="{5F9FEBBB-FCF3-4707-9C53-755B45D07B8B}"/>
    <cellStyle name="Überschrift 4 2 6 2" xfId="19133" xr:uid="{5FF66F1B-AA93-438F-A517-90C1575ABD70}"/>
    <cellStyle name="Überschrift 4 2 6 2 2" xfId="38568" xr:uid="{CE98299B-F1B2-4586-89E1-3ADDDBBC1EAE}"/>
    <cellStyle name="Überschrift 4 2 6 3" xfId="38567" xr:uid="{5E507CE8-D48C-486A-A0A6-44975D751041}"/>
    <cellStyle name="Überschrift 4 2 7" xfId="19134" xr:uid="{8A6AFA01-4271-4094-9C20-9294D0783543}"/>
    <cellStyle name="Überschrift 4 2 7 2" xfId="38569" xr:uid="{EB2C40AF-7828-41BC-9927-990D0B2DF067}"/>
    <cellStyle name="Überschrift 4 2 8" xfId="19135" xr:uid="{35E7CAE5-6A21-414A-8987-4F8B8A66E552}"/>
    <cellStyle name="Überschrift 4 2 8 2" xfId="19136" xr:uid="{C7ED6FD1-3F95-4E16-9F45-98D66093C9C5}"/>
    <cellStyle name="Überschrift 4 2 8 2 2" xfId="38571" xr:uid="{7D6674A8-C5E8-41CA-A5E9-05A72D517EE8}"/>
    <cellStyle name="Überschrift 4 2 8 3" xfId="38570" xr:uid="{78BA90F3-ABAA-4ACE-828C-0C68CEB0DA79}"/>
    <cellStyle name="Überschrift 4 2 9" xfId="19137" xr:uid="{F524EA1B-2720-4D3B-AC70-32549EDD4CC7}"/>
    <cellStyle name="Überschrift 4 2 9 2" xfId="38572" xr:uid="{2AF257CE-BDDD-4C10-8E45-C3D654757605}"/>
    <cellStyle name="Überschrift 4 20" xfId="19138" xr:uid="{9603099A-AEE3-468E-A325-3B8CB23BDCF3}"/>
    <cellStyle name="Überschrift 4 20 2" xfId="19139" xr:uid="{47A2BB7F-579C-40C2-857A-7F478500B6DB}"/>
    <cellStyle name="Überschrift 4 20 2 2" xfId="38574" xr:uid="{FB1F564D-D8D8-44EB-96FB-DE9AFBBF9AAE}"/>
    <cellStyle name="Überschrift 4 20 3" xfId="19140" xr:uid="{AE782EAD-A153-47FD-AC41-A208950281C4}"/>
    <cellStyle name="Überschrift 4 20 3 2" xfId="38575" xr:uid="{B443CB54-B1F9-41D3-8083-3E21DFE9A91A}"/>
    <cellStyle name="Überschrift 4 20 4" xfId="38573" xr:uid="{868CAAAE-7276-486C-8668-40714BFBF771}"/>
    <cellStyle name="Überschrift 4 21" xfId="19141" xr:uid="{7D7EF9A3-D25C-453A-8B7E-BF22248CE1AA}"/>
    <cellStyle name="Überschrift 4 21 2" xfId="19142" xr:uid="{7C04AC6F-BE73-4E42-82A4-06915F057A86}"/>
    <cellStyle name="Überschrift 4 21 2 2" xfId="38577" xr:uid="{715071B8-4569-4B26-BDCD-79021B007B32}"/>
    <cellStyle name="Überschrift 4 21 3" xfId="19143" xr:uid="{B5E74BC9-8B44-432A-B103-F5C7AD7DE2DD}"/>
    <cellStyle name="Überschrift 4 21 3 2" xfId="38578" xr:uid="{6F831885-45AA-43C0-AF63-EC255069CD58}"/>
    <cellStyle name="Überschrift 4 21 4" xfId="38576" xr:uid="{BF0F6C09-3DF2-4CD5-AA46-B0E29661603C}"/>
    <cellStyle name="Überschrift 4 22" xfId="19144" xr:uid="{185F1CC4-8E87-4861-9F98-47851AF4C4A1}"/>
    <cellStyle name="Überschrift 4 22 2" xfId="19145" xr:uid="{7A8E05D3-75E0-4B57-8320-8B43861326AD}"/>
    <cellStyle name="Überschrift 4 22 2 2" xfId="38580" xr:uid="{E4056A7E-B5AD-4A38-9CA1-C7D6106643B3}"/>
    <cellStyle name="Überschrift 4 22 3" xfId="19146" xr:uid="{163A3443-3A15-4D91-B05C-3889AF8084EE}"/>
    <cellStyle name="Überschrift 4 22 3 2" xfId="38581" xr:uid="{58841A2C-A63F-4ACC-A13B-879A8101C5B4}"/>
    <cellStyle name="Überschrift 4 22 4" xfId="38579" xr:uid="{900C3C5B-3848-46B2-9418-E7B1D062F30B}"/>
    <cellStyle name="Überschrift 4 23" xfId="19147" xr:uid="{5EF94344-E0B5-4B4C-8CFF-E99FE85C629B}"/>
    <cellStyle name="Überschrift 4 23 2" xfId="19148" xr:uid="{5C46F487-E4DB-43AD-B0D1-E894A62CA9BF}"/>
    <cellStyle name="Überschrift 4 23 2 2" xfId="38583" xr:uid="{66750551-95B6-428E-9EDA-190F00F6BA16}"/>
    <cellStyle name="Überschrift 4 23 3" xfId="19149" xr:uid="{7E381514-FB34-4450-A958-3D2F28A187ED}"/>
    <cellStyle name="Überschrift 4 23 3 2" xfId="38584" xr:uid="{7043E241-0A78-4447-AEE4-F782913FB39C}"/>
    <cellStyle name="Überschrift 4 23 4" xfId="38582" xr:uid="{016594B6-43BD-475F-B5DE-D08D6FFF5EC1}"/>
    <cellStyle name="Überschrift 4 24" xfId="19150" xr:uid="{E7F48F21-3FE6-4FC2-9E0A-474B72753196}"/>
    <cellStyle name="Überschrift 4 24 2" xfId="19151" xr:uid="{BCBB836C-16F7-4B01-B7DF-9EE5B7277ABF}"/>
    <cellStyle name="Überschrift 4 24 2 2" xfId="38586" xr:uid="{293D54D7-AB7D-478F-BE53-89502AB0D595}"/>
    <cellStyle name="Überschrift 4 24 3" xfId="19152" xr:uid="{42590A4B-952C-4C5E-A038-D88677DB8474}"/>
    <cellStyle name="Überschrift 4 24 3 2" xfId="38587" xr:uid="{9186E59B-A2C7-419B-BDC6-BB81D341F68D}"/>
    <cellStyle name="Überschrift 4 24 4" xfId="38585" xr:uid="{6A9366D7-1745-4494-AA55-43970932D6D8}"/>
    <cellStyle name="Überschrift 4 25" xfId="19153" xr:uid="{51DCDD6E-BF40-488A-81D9-95FEB104DA49}"/>
    <cellStyle name="Überschrift 4 25 2" xfId="19154" xr:uid="{E7D6A4D7-A475-472D-9979-31228FA96AA9}"/>
    <cellStyle name="Überschrift 4 25 2 2" xfId="38589" xr:uid="{7F4093C4-860A-4B7E-8C4A-C54CB7F4EC33}"/>
    <cellStyle name="Überschrift 4 25 3" xfId="19155" xr:uid="{A0D77535-4EC6-48B7-81D3-DA263987FCC8}"/>
    <cellStyle name="Überschrift 4 25 3 2" xfId="38590" xr:uid="{D0ECBEFA-8327-4ED5-B6A1-58C4120C5EA9}"/>
    <cellStyle name="Überschrift 4 25 4" xfId="38588" xr:uid="{35235184-9CA0-4598-B25E-9AAC19857B45}"/>
    <cellStyle name="Überschrift 4 26" xfId="19156" xr:uid="{0480A8DD-B5B0-40F1-9295-8D2F0A285756}"/>
    <cellStyle name="Überschrift 4 26 2" xfId="19157" xr:uid="{1129B97A-47F2-4CA4-9D6B-AEB33D2B53CC}"/>
    <cellStyle name="Überschrift 4 26 2 2" xfId="38592" xr:uid="{2C84FB36-7F03-4944-927B-3B8CBDD6944A}"/>
    <cellStyle name="Überschrift 4 26 3" xfId="19158" xr:uid="{B102FA61-689B-45B8-832F-9DED8BA7D3BC}"/>
    <cellStyle name="Überschrift 4 26 3 2" xfId="38593" xr:uid="{6D75CB29-2F63-4E61-B158-FA0FDAB543F3}"/>
    <cellStyle name="Überschrift 4 26 4" xfId="38591" xr:uid="{F88FB025-CD73-40E1-A010-9AE03DF04553}"/>
    <cellStyle name="Überschrift 4 27" xfId="19159" xr:uid="{AB17D25E-1780-46F5-BB3A-51AB6C55026D}"/>
    <cellStyle name="Überschrift 4 27 2" xfId="19160" xr:uid="{01CBA4DB-12C2-4026-A641-741B3839B563}"/>
    <cellStyle name="Überschrift 4 27 2 2" xfId="38595" xr:uid="{427BEC2F-23A7-44A1-ABF1-CE444FF174A9}"/>
    <cellStyle name="Überschrift 4 27 3" xfId="19161" xr:uid="{BD054B6D-25E9-4344-B048-1D6B7C6F2972}"/>
    <cellStyle name="Überschrift 4 27 3 2" xfId="38596" xr:uid="{4D33E3C8-7116-4519-9237-92FE72EC741A}"/>
    <cellStyle name="Überschrift 4 27 4" xfId="38594" xr:uid="{FF40C69A-43FB-4762-9C8D-5C5E06940715}"/>
    <cellStyle name="Überschrift 4 28" xfId="19162" xr:uid="{7E90E658-0BE5-450A-A4CC-AD30AB901E5C}"/>
    <cellStyle name="Überschrift 4 28 2" xfId="19163" xr:uid="{C476C0D6-2525-4154-8ABA-B6474EFB926B}"/>
    <cellStyle name="Überschrift 4 28 2 2" xfId="38598" xr:uid="{607579FB-63F2-4423-8563-BBAC89C19102}"/>
    <cellStyle name="Überschrift 4 28 3" xfId="19164" xr:uid="{E0D961B0-4B97-4AD6-8C46-43E18C8973EC}"/>
    <cellStyle name="Überschrift 4 28 3 2" xfId="38599" xr:uid="{C23A3F2C-89B6-412F-9443-B263B351F732}"/>
    <cellStyle name="Überschrift 4 28 4" xfId="38597" xr:uid="{DD520B7F-5ACA-4A94-834C-0BE1C3F30CD0}"/>
    <cellStyle name="Überschrift 4 29" xfId="19165" xr:uid="{7ACEFCFB-C710-49EF-850F-F0DC0BC3620F}"/>
    <cellStyle name="Überschrift 4 29 2" xfId="19166" xr:uid="{12FC7E4A-4262-434B-B296-7CD998A3D022}"/>
    <cellStyle name="Überschrift 4 29 2 2" xfId="38601" xr:uid="{34358B9A-753C-45EB-B4C8-9AB19693979F}"/>
    <cellStyle name="Überschrift 4 29 3" xfId="19167" xr:uid="{888B3A02-C002-420E-BBD9-A448BBF776DF}"/>
    <cellStyle name="Überschrift 4 29 3 2" xfId="38602" xr:uid="{8B23DE5F-2D4A-4C0D-BAC9-B750438FB010}"/>
    <cellStyle name="Überschrift 4 29 4" xfId="38600" xr:uid="{346554DE-32ED-4D26-B826-51AF00DA693E}"/>
    <cellStyle name="Überschrift 4 3" xfId="19168" xr:uid="{5F868E01-DB3C-4494-9339-0C2D876AAD81}"/>
    <cellStyle name="Überschrift 4 3 10" xfId="39874" xr:uid="{5FC978CE-044C-4D26-B354-4C23D484EA01}"/>
    <cellStyle name="Überschrift 4 3 2" xfId="19169" xr:uid="{0371ADA0-2081-4B85-A947-53CC173C2A0F}"/>
    <cellStyle name="Überschrift 4 3 2 2" xfId="19170" xr:uid="{AA99F938-A04F-416C-BF0B-FB1703ABFAE2}"/>
    <cellStyle name="Überschrift 4 3 2 2 2" xfId="19171" xr:uid="{B2DFCD9C-471F-4931-8021-E0B48037F681}"/>
    <cellStyle name="Überschrift 4 3 2 2 2 2" xfId="38606" xr:uid="{D988400D-C457-4F86-9575-F57B87640207}"/>
    <cellStyle name="Überschrift 4 3 2 2 3" xfId="38605" xr:uid="{8EFD6A7A-A327-4A5B-9D13-8A99AFA50AB3}"/>
    <cellStyle name="Überschrift 4 3 2 3" xfId="19172" xr:uid="{915421D3-7C85-48E9-93F7-B318B1241B36}"/>
    <cellStyle name="Überschrift 4 3 2 3 2" xfId="38607" xr:uid="{BD45B554-762F-4D73-8F69-4ADEE3645F43}"/>
    <cellStyle name="Überschrift 4 3 2 4" xfId="19173" xr:uid="{D8BB9C56-74B8-4855-8C20-EBA935432B09}"/>
    <cellStyle name="Überschrift 4 3 2 4 2" xfId="38608" xr:uid="{D4AD4E2E-8A46-4E56-B861-703B22DD5809}"/>
    <cellStyle name="Überschrift 4 3 2 5" xfId="38604" xr:uid="{CDA3B26E-6E55-4371-8D40-386ABC84E4E0}"/>
    <cellStyle name="Überschrift 4 3 2 6" xfId="40393" xr:uid="{79D605C0-AB56-497B-8704-19B2996BE979}"/>
    <cellStyle name="Überschrift 4 3 3" xfId="19174" xr:uid="{50ACEAAA-8CCA-4BD8-A10A-E219105F2E52}"/>
    <cellStyle name="Überschrift 4 3 3 2" xfId="38609" xr:uid="{C0C40839-A572-49F1-88DE-8C1EEFCBBCBB}"/>
    <cellStyle name="Überschrift 4 3 4" xfId="19175" xr:uid="{5586BE3F-0A68-416B-8BA4-1550D686A9D1}"/>
    <cellStyle name="Überschrift 4 3 4 2" xfId="38610" xr:uid="{10B78D2C-891A-47BE-B50C-A81B4D582EBC}"/>
    <cellStyle name="Überschrift 4 3 5" xfId="19176" xr:uid="{4E63BDFB-917D-4560-88CC-5BE947302B2B}"/>
    <cellStyle name="Überschrift 4 3 5 2" xfId="19177" xr:uid="{66C6EB75-EF3A-48E5-8EC3-3ECE5D357FD6}"/>
    <cellStyle name="Überschrift 4 3 5 2 2" xfId="38612" xr:uid="{0F2FD02E-3F3F-4CFD-B123-0583A4D2BA24}"/>
    <cellStyle name="Überschrift 4 3 5 3" xfId="38611" xr:uid="{31E6AA95-AE23-41B0-AB23-2230765F6942}"/>
    <cellStyle name="Überschrift 4 3 6" xfId="19178" xr:uid="{57B6C134-0FAE-4193-AC5F-795CA2BCC624}"/>
    <cellStyle name="Überschrift 4 3 6 2" xfId="38613" xr:uid="{61FC67A7-8370-41AB-9E98-058E83632C7A}"/>
    <cellStyle name="Überschrift 4 3 7" xfId="19179" xr:uid="{3A37A6FF-423A-4221-8137-D62C277E702D}"/>
    <cellStyle name="Überschrift 4 3 7 2" xfId="38614" xr:uid="{141484CD-0F4F-4B5F-98E3-00EFB71ACB87}"/>
    <cellStyle name="Überschrift 4 3 8" xfId="19180" xr:uid="{43985D5E-7676-4CC9-83F6-65347D64B911}"/>
    <cellStyle name="Überschrift 4 3 8 2" xfId="38615" xr:uid="{1DE877DC-F0ED-4017-A680-4E5E3B6BFD34}"/>
    <cellStyle name="Überschrift 4 3 9" xfId="38603" xr:uid="{C05C8DD8-7CB3-434E-BF58-3EC50DFCE289}"/>
    <cellStyle name="Überschrift 4 30" xfId="19181" xr:uid="{6843930F-61FB-47F8-A3A2-E7102E116C0F}"/>
    <cellStyle name="Überschrift 4 30 2" xfId="19182" xr:uid="{2588E601-C20D-4641-9509-A452F6C412EE}"/>
    <cellStyle name="Überschrift 4 30 2 2" xfId="38617" xr:uid="{12C92E60-C03A-4BE5-BEA2-3A96B2BD169E}"/>
    <cellStyle name="Überschrift 4 30 3" xfId="19183" xr:uid="{CA41CDCF-C456-406C-B103-A0DF2942DAE7}"/>
    <cellStyle name="Überschrift 4 30 3 2" xfId="38618" xr:uid="{DF80DB38-DAAE-4E0A-94D7-78AA8E04CA04}"/>
    <cellStyle name="Überschrift 4 30 4" xfId="38616" xr:uid="{CA2445C8-FD30-43E0-ADCA-936CD3FC715C}"/>
    <cellStyle name="Überschrift 4 31" xfId="19184" xr:uid="{7A2B4862-6E55-4710-8804-BD21FE513AFB}"/>
    <cellStyle name="Überschrift 4 31 2" xfId="19185" xr:uid="{9982885C-02FC-4A40-820F-25CA23512FDF}"/>
    <cellStyle name="Überschrift 4 31 2 2" xfId="38620" xr:uid="{1E598052-7C37-4A76-9D63-1131939078E3}"/>
    <cellStyle name="Überschrift 4 31 3" xfId="19186" xr:uid="{756308E9-19B0-489F-8232-7B937E143F3C}"/>
    <cellStyle name="Überschrift 4 31 3 2" xfId="38621" xr:uid="{53B471D6-8F0D-4376-B87F-05C96026DE65}"/>
    <cellStyle name="Überschrift 4 31 4" xfId="38619" xr:uid="{C6DDC661-242C-44ED-BAD3-446F2EB23CFF}"/>
    <cellStyle name="Überschrift 4 32" xfId="19187" xr:uid="{DE3E0D5D-1B36-4AF9-9EF3-E0B970732E54}"/>
    <cellStyle name="Überschrift 4 32 2" xfId="19188" xr:uid="{8C511532-699A-4216-9D7C-17E3CB67161D}"/>
    <cellStyle name="Überschrift 4 32 2 2" xfId="38623" xr:uid="{767B377C-3B6B-479B-A373-ED16FEB519EB}"/>
    <cellStyle name="Überschrift 4 32 3" xfId="19189" xr:uid="{7C92BE88-DB3D-44B2-BC27-A4BB0126BE3D}"/>
    <cellStyle name="Überschrift 4 32 3 2" xfId="38624" xr:uid="{E2BB64EB-DF2E-46D5-A436-B9DEE18EEAC1}"/>
    <cellStyle name="Überschrift 4 32 4" xfId="38622" xr:uid="{A2B2E642-E6C7-482B-B6BB-4896FB07D0F3}"/>
    <cellStyle name="Überschrift 4 33" xfId="19190" xr:uid="{14BD0F89-E907-4B30-A729-14F5D7943314}"/>
    <cellStyle name="Überschrift 4 33 2" xfId="19191" xr:uid="{A64C7E6C-BA1C-4001-944C-66C196048477}"/>
    <cellStyle name="Überschrift 4 33 2 2" xfId="38626" xr:uid="{BA1E7550-83B9-46D0-A540-216B43006573}"/>
    <cellStyle name="Überschrift 4 33 3" xfId="19192" xr:uid="{9356F52F-22C7-4ABE-A074-4FB5184ECC70}"/>
    <cellStyle name="Überschrift 4 33 3 2" xfId="38627" xr:uid="{DC9D52EE-6B6B-4DEE-85B8-D9E766FDF53E}"/>
    <cellStyle name="Überschrift 4 33 4" xfId="38625" xr:uid="{D161BEDE-6A89-468E-9863-CC0456725F3D}"/>
    <cellStyle name="Überschrift 4 34" xfId="19193" xr:uid="{273720BF-C4F8-45EC-9A16-6F038E22A585}"/>
    <cellStyle name="Überschrift 4 34 2" xfId="19194" xr:uid="{C09E26C7-5C6B-4F8D-BBB6-C296DC6DA129}"/>
    <cellStyle name="Überschrift 4 34 2 2" xfId="38629" xr:uid="{C5C78626-4931-4A52-973E-848F54327770}"/>
    <cellStyle name="Überschrift 4 34 3" xfId="19195" xr:uid="{12A5AE0A-E43D-4E20-B1BB-48B676137F53}"/>
    <cellStyle name="Überschrift 4 34 3 2" xfId="38630" xr:uid="{64CB2F1B-81BD-4009-BD80-1DAB7659266A}"/>
    <cellStyle name="Überschrift 4 34 4" xfId="38628" xr:uid="{516B7ED6-7719-4D12-ACEC-D9EF9809AACF}"/>
    <cellStyle name="Überschrift 4 35" xfId="19196" xr:uid="{766D52A8-B5BE-43F5-8D18-297A0A9D79C4}"/>
    <cellStyle name="Überschrift 4 35 2" xfId="19197" xr:uid="{4CF1D6B1-E998-467B-AF50-CEB48B32D762}"/>
    <cellStyle name="Überschrift 4 35 2 2" xfId="38632" xr:uid="{138F5FB4-6572-4BE2-ABD9-DB9339C22064}"/>
    <cellStyle name="Überschrift 4 35 3" xfId="19198" xr:uid="{159AE51C-1D57-4615-B5CA-504C3CFA31FD}"/>
    <cellStyle name="Überschrift 4 35 3 2" xfId="38633" xr:uid="{387411BD-CF2A-4747-9EEE-200870930C31}"/>
    <cellStyle name="Überschrift 4 35 4" xfId="38631" xr:uid="{28B25E82-CF32-4A04-B96E-B3DEDFC79EC7}"/>
    <cellStyle name="Überschrift 4 36" xfId="19199" xr:uid="{5FF0072E-4E89-437B-83A4-69D17AFA5672}"/>
    <cellStyle name="Überschrift 4 36 2" xfId="19200" xr:uid="{02042E3A-7F44-4CE3-91D6-740D124A3A5A}"/>
    <cellStyle name="Überschrift 4 36 2 2" xfId="38635" xr:uid="{25690591-5180-4183-8054-DF80B68FE4A3}"/>
    <cellStyle name="Überschrift 4 36 3" xfId="19201" xr:uid="{628C6F48-4DD9-4C53-B5A2-B7D8E4333157}"/>
    <cellStyle name="Überschrift 4 36 3 2" xfId="38636" xr:uid="{B0D1D16D-0B10-4D57-92F3-F51F37025D2C}"/>
    <cellStyle name="Überschrift 4 36 4" xfId="38634" xr:uid="{D281AC19-82BE-45A0-BB55-96EFBC41D5AB}"/>
    <cellStyle name="Überschrift 4 37" xfId="38487" xr:uid="{D0C33785-83D7-4AB4-953D-80E3D25E3988}"/>
    <cellStyle name="Überschrift 4 38" xfId="40406" xr:uid="{5338B391-2543-4267-A776-9804A378D307}"/>
    <cellStyle name="Überschrift 4 39" xfId="19052" xr:uid="{311C3584-2606-4C29-9D88-30AFF2C0878A}"/>
    <cellStyle name="Überschrift 4 4" xfId="19202" xr:uid="{BDC0630A-A1B5-4619-A5E6-B7BB6E86F07E}"/>
    <cellStyle name="Überschrift 4 4 2" xfId="19203" xr:uid="{6C39BA78-AC0E-4A2C-8530-4D1F9B0E8705}"/>
    <cellStyle name="Überschrift 4 4 2 2" xfId="19204" xr:uid="{99EB8519-F101-4D37-910C-C7CE35D62CDC}"/>
    <cellStyle name="Überschrift 4 4 2 2 2" xfId="38639" xr:uid="{BEB28C14-1F6C-4298-82FE-4C839D96574A}"/>
    <cellStyle name="Überschrift 4 4 2 3" xfId="38638" xr:uid="{7A232456-094D-4258-83AD-5F3F9832933E}"/>
    <cellStyle name="Überschrift 4 4 2 4" xfId="40394" xr:uid="{C544166E-F600-4068-AAAD-19A20A890AB1}"/>
    <cellStyle name="Überschrift 4 4 3" xfId="19205" xr:uid="{1C5D2698-A0BE-4B16-85B1-58C968AB0446}"/>
    <cellStyle name="Überschrift 4 4 3 2" xfId="38640" xr:uid="{72ADCCAD-1976-4E39-B6B7-AA5DA96D5175}"/>
    <cellStyle name="Überschrift 4 4 4" xfId="19206" xr:uid="{EAB7451B-8502-4AE3-8A10-0A178B2D9B26}"/>
    <cellStyle name="Überschrift 4 4 4 2" xfId="38641" xr:uid="{7EF3997D-41F2-4CA1-8C4C-1B7431AEE8C3}"/>
    <cellStyle name="Überschrift 4 4 5" xfId="19207" xr:uid="{EE45DBDE-075A-495D-BE7B-117385103B5C}"/>
    <cellStyle name="Überschrift 4 4 5 2" xfId="38642" xr:uid="{9B062A21-2B1F-4DBD-A2CE-FC29A80CFA36}"/>
    <cellStyle name="Überschrift 4 4 6" xfId="19208" xr:uid="{F100CD86-E562-4CFD-AF38-15588E156609}"/>
    <cellStyle name="Überschrift 4 4 6 2" xfId="38643" xr:uid="{3FB08D9E-0930-4F9E-8E92-9EAAD78DBAF4}"/>
    <cellStyle name="Überschrift 4 4 7" xfId="38637" xr:uid="{4F770519-2A87-4489-B128-B5C570E172E2}"/>
    <cellStyle name="Überschrift 4 4 8" xfId="39875" xr:uid="{256725B2-A831-4063-88B1-1FC5C34ABB12}"/>
    <cellStyle name="Überschrift 4 40" xfId="44" xr:uid="{630907AC-3EEA-45DA-A76A-EEE655AEC422}"/>
    <cellStyle name="Überschrift 4 5" xfId="19209" xr:uid="{4DF3CA03-7F7B-47ED-BC30-61DFE0478B04}"/>
    <cellStyle name="Überschrift 4 5 2" xfId="19210" xr:uid="{8E1CFA87-E610-440D-87D0-F8B7BB449FEE}"/>
    <cellStyle name="Überschrift 4 5 2 2" xfId="38645" xr:uid="{6E85DAE1-C0C9-4863-858A-B8BDF17E1CB4}"/>
    <cellStyle name="Überschrift 4 5 3" xfId="19211" xr:uid="{5D36A5AA-9E16-4CAD-8570-D2136F62B200}"/>
    <cellStyle name="Überschrift 4 5 3 2" xfId="38646" xr:uid="{580A9A73-FDBB-4576-B1A0-0D094C47AA2B}"/>
    <cellStyle name="Überschrift 4 5 4" xfId="19212" xr:uid="{FE37353D-7ACC-4161-AC62-EFDADB6538EF}"/>
    <cellStyle name="Überschrift 4 5 4 2" xfId="38647" xr:uid="{C3342B8D-3328-448B-8000-EEBCECE333BF}"/>
    <cellStyle name="Überschrift 4 5 5" xfId="19213" xr:uid="{E06ADC95-87E5-493B-9308-E6F6632B4E28}"/>
    <cellStyle name="Überschrift 4 5 5 2" xfId="38648" xr:uid="{C16333CE-5652-4A11-80E0-40B1663AFB1D}"/>
    <cellStyle name="Überschrift 4 5 6" xfId="38644" xr:uid="{484AD4B3-BC15-4DBB-BBAC-A795916B6628}"/>
    <cellStyle name="Überschrift 4 5 7" xfId="39876" xr:uid="{86F329FE-2B1A-416F-9F56-9A41D8BC8314}"/>
    <cellStyle name="Überschrift 4 6" xfId="19214" xr:uid="{0349EF00-8B5A-41C3-8EC5-1C86A0D574E4}"/>
    <cellStyle name="Überschrift 4 6 2" xfId="19215" xr:uid="{DDC078C0-F306-4B2D-A12E-1D52D6DE70B8}"/>
    <cellStyle name="Überschrift 4 6 2 2" xfId="38650" xr:uid="{038E8B0D-70CC-4847-B0E6-0EED6184715E}"/>
    <cellStyle name="Überschrift 4 6 3" xfId="19216" xr:uid="{A1DF409B-3B9A-473E-8765-FAE31246C2E1}"/>
    <cellStyle name="Überschrift 4 6 3 2" xfId="38651" xr:uid="{06D8EBA0-47F3-414E-962A-8E1AB822E9A0}"/>
    <cellStyle name="Überschrift 4 6 4" xfId="19217" xr:uid="{DE1F0F47-6BC2-417F-B878-DD407D80B2C3}"/>
    <cellStyle name="Überschrift 4 6 4 2" xfId="38652" xr:uid="{9EC80B8B-6EC1-42E2-9200-2FD99974B1F2}"/>
    <cellStyle name="Überschrift 4 6 5" xfId="19218" xr:uid="{72EBC63B-8D8C-4BA1-9F51-A3196F0B30FD}"/>
    <cellStyle name="Überschrift 4 6 5 2" xfId="38653" xr:uid="{F742415A-6C61-4295-8E4E-5B2886BEB6D5}"/>
    <cellStyle name="Überschrift 4 6 6" xfId="38649" xr:uid="{9460117D-4F63-49DA-96E5-1B23D5568C5B}"/>
    <cellStyle name="Überschrift 4 6 7" xfId="39871" xr:uid="{CDFBB843-7194-4D7F-A8DD-6A630E38B461}"/>
    <cellStyle name="Überschrift 4 7" xfId="19219" xr:uid="{46A9012F-D0A2-491D-822B-163A85683EEE}"/>
    <cellStyle name="Überschrift 4 7 2" xfId="19220" xr:uid="{6DD70DAC-D93E-4DD0-9040-5475316C005B}"/>
    <cellStyle name="Überschrift 4 7 2 2" xfId="38655" xr:uid="{8F721F8A-550D-4655-9EA0-9F1D78DABCB6}"/>
    <cellStyle name="Überschrift 4 7 3" xfId="38654" xr:uid="{7E9680A7-B6A8-4F8B-A481-21F7C5BBE14D}"/>
    <cellStyle name="Überschrift 4 8" xfId="19221" xr:uid="{2633F79B-17A2-469F-9FA3-759E11C8074C}"/>
    <cellStyle name="Überschrift 4 8 2" xfId="19222" xr:uid="{81879245-B3D7-4A0C-8D18-3536B27A1C1C}"/>
    <cellStyle name="Überschrift 4 8 2 2" xfId="38657" xr:uid="{A2D8ED7E-D686-48C5-859D-AD82140B60F6}"/>
    <cellStyle name="Überschrift 4 8 3" xfId="38656" xr:uid="{16FA0ED4-13F6-43FE-8900-1C0AF317731A}"/>
    <cellStyle name="Überschrift 4 9" xfId="19223" xr:uid="{33F1BF8E-D507-4390-B10A-BB91CDCFD878}"/>
    <cellStyle name="Überschrift 4 9 2" xfId="19224" xr:uid="{67889C1F-3F81-4A4C-9417-5915B2403689}"/>
    <cellStyle name="Überschrift 4 9 2 2" xfId="38659" xr:uid="{848FBAE0-3413-44E0-A152-0D663EBF840D}"/>
    <cellStyle name="Überschrift 4 9 3" xfId="38658" xr:uid="{BD60737F-55C6-4E2E-B1E5-39D47FD3162C}"/>
    <cellStyle name="Überschrift 40" xfId="37928" xr:uid="{AF8DB066-BDCE-4510-BCE7-221273117EFC}"/>
    <cellStyle name="Überschrift 41" xfId="18493" xr:uid="{932E22F8-D273-413E-B7A3-CFE65DAF783A}"/>
    <cellStyle name="Überschrift 42" xfId="40" xr:uid="{85AFF747-CA9B-4DF2-ACF5-ADE1A1D1D335}"/>
    <cellStyle name="Überschrift 5" xfId="19225" xr:uid="{ECA8B8F1-8C1A-4276-819C-36BC998D40ED}"/>
    <cellStyle name="Überschrift 5 10" xfId="19226" xr:uid="{918E1AD6-C541-40FA-AAFB-EB8A3BBE2E78}"/>
    <cellStyle name="Überschrift 5 10 2" xfId="38661" xr:uid="{2937F585-A488-431B-A95E-86C3A01364C9}"/>
    <cellStyle name="Überschrift 5 11" xfId="19227" xr:uid="{8D42FDE4-036D-4BB8-9692-19853345CA83}"/>
    <cellStyle name="Überschrift 5 11 2" xfId="38662" xr:uid="{D088BA6D-938B-494B-8727-9003A4338783}"/>
    <cellStyle name="Überschrift 5 12" xfId="19228" xr:uid="{E48374A7-ADA7-4684-927A-E44E11B384D8}"/>
    <cellStyle name="Überschrift 5 12 2" xfId="38663" xr:uid="{E406BC7C-CA90-4297-9B9F-55D3E18A423C}"/>
    <cellStyle name="Überschrift 5 13" xfId="19229" xr:uid="{18F94A39-D1A2-471E-9BC7-AD4FC2EF3AA1}"/>
    <cellStyle name="Überschrift 5 13 2" xfId="38664" xr:uid="{95094A60-955E-47A8-A83F-6441358B3363}"/>
    <cellStyle name="Überschrift 5 14" xfId="19230" xr:uid="{895966A4-9758-40CC-B0BC-E4867E09671C}"/>
    <cellStyle name="Überschrift 5 14 2" xfId="38665" xr:uid="{CC820CC1-EA58-4E96-A7F9-570DE8B90044}"/>
    <cellStyle name="Überschrift 5 15" xfId="38660" xr:uid="{4CBE1CCE-0717-49BE-8394-C2EF78838C4A}"/>
    <cellStyle name="Überschrift 5 16" xfId="39877" xr:uid="{78EC7476-2C44-485B-BB59-33428EFE2723}"/>
    <cellStyle name="Überschrift 5 2" xfId="19231" xr:uid="{B9F7FFDD-4E03-4F76-A5B5-6DD5B8785576}"/>
    <cellStyle name="Überschrift 5 2 10" xfId="19232" xr:uid="{4C7A9DCD-AAD7-4742-A27E-64095C302E16}"/>
    <cellStyle name="Überschrift 5 2 10 2" xfId="38667" xr:uid="{119724F2-B134-4F16-82BD-4FB37D175F0F}"/>
    <cellStyle name="Überschrift 5 2 11" xfId="19233" xr:uid="{304B7A9B-FB16-473D-B4FA-76E5669D9F74}"/>
    <cellStyle name="Überschrift 5 2 11 2" xfId="38668" xr:uid="{DB09C7EE-A077-400E-9BAF-40B59FF061E3}"/>
    <cellStyle name="Überschrift 5 2 12" xfId="19234" xr:uid="{23856B6D-04FB-49B0-A010-ACB2B3C8A07A}"/>
    <cellStyle name="Überschrift 5 2 12 2" xfId="38669" xr:uid="{D35708DF-62AB-413F-9EE8-ACDE2BA33C5B}"/>
    <cellStyle name="Überschrift 5 2 13" xfId="38666" xr:uid="{1D6EC692-F290-4E3F-8D2E-E963CC5C2E94}"/>
    <cellStyle name="Überschrift 5 2 14" xfId="39878" xr:uid="{A734F2F3-6A34-49F5-B8C3-E2BD0F47FD35}"/>
    <cellStyle name="Überschrift 5 2 2" xfId="19235" xr:uid="{531A7DF6-5B9E-463D-8C5A-2B2222C899DA}"/>
    <cellStyle name="Überschrift 5 2 2 10" xfId="19236" xr:uid="{232FA1BE-DB36-40A7-9405-7781946CE67F}"/>
    <cellStyle name="Überschrift 5 2 2 10 2" xfId="38671" xr:uid="{83F8E4EF-1EFE-4759-AC38-A5E45DF672DE}"/>
    <cellStyle name="Überschrift 5 2 2 11" xfId="38670" xr:uid="{2C96B240-CFC7-4A38-B56C-149E5B0ACF4A}"/>
    <cellStyle name="Überschrift 5 2 2 2" xfId="19237" xr:uid="{23D5FBA6-1978-4FF5-B849-711602E7FD00}"/>
    <cellStyle name="Überschrift 5 2 2 2 2" xfId="19238" xr:uid="{F88014BF-2CBB-4743-9EE1-819EE2CC9C59}"/>
    <cellStyle name="Überschrift 5 2 2 2 2 2" xfId="19239" xr:uid="{FE8E780E-C330-4E72-8DF5-6E387D484903}"/>
    <cellStyle name="Überschrift 5 2 2 2 2 2 2" xfId="19240" xr:uid="{2DC6432E-E22F-4955-A94A-6B84DB194CB2}"/>
    <cellStyle name="Überschrift 5 2 2 2 2 2 2 2" xfId="38675" xr:uid="{F7737FF2-B060-40AF-9E02-B76C0A8BCC0B}"/>
    <cellStyle name="Überschrift 5 2 2 2 2 2 3" xfId="38674" xr:uid="{A5FA8E08-A2AB-4319-A2A4-02E719B00248}"/>
    <cellStyle name="Überschrift 5 2 2 2 2 3" xfId="19241" xr:uid="{D8D51733-5EE4-4E41-B5F0-D717459EB08E}"/>
    <cellStyle name="Überschrift 5 2 2 2 2 3 2" xfId="38676" xr:uid="{D0752EE5-564F-4F6F-B12C-7D8586D0E33A}"/>
    <cellStyle name="Überschrift 5 2 2 2 2 4" xfId="19242" xr:uid="{9835AEAE-4905-4878-87BE-A5DF5DF531DC}"/>
    <cellStyle name="Überschrift 5 2 2 2 2 4 2" xfId="38677" xr:uid="{212B57C4-23EE-42C1-88DD-8AE38B35D324}"/>
    <cellStyle name="Überschrift 5 2 2 2 2 5" xfId="19243" xr:uid="{4CDB269D-8729-4C83-8421-236B88CD107D}"/>
    <cellStyle name="Überschrift 5 2 2 2 2 5 2" xfId="38678" xr:uid="{A5E58186-620D-4962-A3C9-7362FB642283}"/>
    <cellStyle name="Überschrift 5 2 2 2 2 6" xfId="19244" xr:uid="{295123BF-6BA2-4AF8-BEC0-3980A257E7BB}"/>
    <cellStyle name="Überschrift 5 2 2 2 2 6 2" xfId="38679" xr:uid="{A444C582-0602-453E-9710-B24EEA212E37}"/>
    <cellStyle name="Überschrift 5 2 2 2 2 7" xfId="19245" xr:uid="{A3781600-4D57-4ABC-A997-B4A0E85A981A}"/>
    <cellStyle name="Überschrift 5 2 2 2 2 7 2" xfId="38680" xr:uid="{BE298C75-068C-4E07-A4AE-29B419B7C1A0}"/>
    <cellStyle name="Überschrift 5 2 2 2 2 8" xfId="19246" xr:uid="{7EAD82CC-AF94-4D60-BFD3-2212055695BB}"/>
    <cellStyle name="Überschrift 5 2 2 2 2 8 2" xfId="38681" xr:uid="{BFA037FD-E5A0-48D6-97EE-E2F8DFFE643D}"/>
    <cellStyle name="Überschrift 5 2 2 2 2 9" xfId="38673" xr:uid="{B094D40A-E3E3-4350-8EDC-27F27DD2A426}"/>
    <cellStyle name="Überschrift 5 2 2 2 3" xfId="19247" xr:uid="{8C9695E9-2D93-4308-A55E-60A2C2C58476}"/>
    <cellStyle name="Überschrift 5 2 2 2 3 2" xfId="19248" xr:uid="{99BE976B-8898-4631-A8D2-7A9B8A36A27C}"/>
    <cellStyle name="Überschrift 5 2 2 2 3 2 2" xfId="38683" xr:uid="{AFA9C1CE-E105-40D9-B94C-9EF1EEDBB483}"/>
    <cellStyle name="Überschrift 5 2 2 2 3 3" xfId="38682" xr:uid="{3B3B40C3-A563-477E-AED7-799098391988}"/>
    <cellStyle name="Überschrift 5 2 2 2 4" xfId="19249" xr:uid="{F8B5F545-98A3-4D70-AFEB-7B3D3D1A8DB8}"/>
    <cellStyle name="Überschrift 5 2 2 2 4 2" xfId="38684" xr:uid="{F595873E-13C3-404F-A087-424243DDA4A0}"/>
    <cellStyle name="Überschrift 5 2 2 2 5" xfId="19250" xr:uid="{964E2EEC-AEDA-4B7A-ACB9-C3DDE801B365}"/>
    <cellStyle name="Überschrift 5 2 2 2 5 2" xfId="38685" xr:uid="{732ABE41-8586-4CF7-92EE-F517B3ED0DC5}"/>
    <cellStyle name="Überschrift 5 2 2 2 6" xfId="19251" xr:uid="{8284C8EB-E8A9-4B3F-8DA1-D59D3D829CE4}"/>
    <cellStyle name="Überschrift 5 2 2 2 6 2" xfId="38686" xr:uid="{CDB3A464-B67F-42A6-8D30-919847036477}"/>
    <cellStyle name="Überschrift 5 2 2 2 7" xfId="19252" xr:uid="{A7DD1B94-30C6-45D6-82C1-0A880471C83F}"/>
    <cellStyle name="Überschrift 5 2 2 2 7 2" xfId="38687" xr:uid="{E6F7E2CD-95B8-4528-85DB-812F989FF1EB}"/>
    <cellStyle name="Überschrift 5 2 2 2 8" xfId="19253" xr:uid="{F75FDEC3-2C4B-4DBB-B553-1B7197711EBE}"/>
    <cellStyle name="Überschrift 5 2 2 2 8 2" xfId="38688" xr:uid="{6FE545CF-13C2-406D-8127-2995BB8A6246}"/>
    <cellStyle name="Überschrift 5 2 2 2 9" xfId="38672" xr:uid="{48710628-C51D-4890-AC04-FE8D44C45F8E}"/>
    <cellStyle name="Überschrift 5 2 2 3" xfId="19254" xr:uid="{30B31527-8EC8-4600-A5ED-E6647D8CAF27}"/>
    <cellStyle name="Überschrift 5 2 2 3 2" xfId="38689" xr:uid="{552A7C7B-1AAE-4122-839E-E6EA6F5B426C}"/>
    <cellStyle name="Überschrift 5 2 2 4" xfId="19255" xr:uid="{B76C360F-9327-4F09-81A0-37F14B2C547E}"/>
    <cellStyle name="Überschrift 5 2 2 4 2" xfId="38690" xr:uid="{14146800-EF59-4115-B5E8-15AE8FBB7D79}"/>
    <cellStyle name="Überschrift 5 2 2 5" xfId="19256" xr:uid="{DD40679A-34F4-426E-8F34-33902D7EC6FA}"/>
    <cellStyle name="Überschrift 5 2 2 5 2" xfId="19257" xr:uid="{8B747AFA-28E1-492F-8812-1E6D62645211}"/>
    <cellStyle name="Überschrift 5 2 2 5 2 2" xfId="38692" xr:uid="{2EA15356-35DD-45C2-81A5-405C6CF3A46F}"/>
    <cellStyle name="Überschrift 5 2 2 5 3" xfId="38691" xr:uid="{B9BD5017-3960-4E88-865E-335A4939E3D2}"/>
    <cellStyle name="Überschrift 5 2 2 6" xfId="19258" xr:uid="{5FC6ED3A-BA2D-4329-A47B-88363F8CB707}"/>
    <cellStyle name="Überschrift 5 2 2 6 2" xfId="38693" xr:uid="{4D4C3E70-5B72-44C9-8878-998F1F666850}"/>
    <cellStyle name="Überschrift 5 2 2 7" xfId="19259" xr:uid="{370487E8-7954-41F2-9053-F364384DE7A5}"/>
    <cellStyle name="Überschrift 5 2 2 7 2" xfId="38694" xr:uid="{9211FF86-37D3-48F4-B242-C40794B3FD08}"/>
    <cellStyle name="Überschrift 5 2 2 8" xfId="19260" xr:uid="{F6BD14CA-9282-4263-81D5-A41461C8F232}"/>
    <cellStyle name="Überschrift 5 2 2 8 2" xfId="38695" xr:uid="{F991D0C6-7807-45DF-8B72-4D3126AA8455}"/>
    <cellStyle name="Überschrift 5 2 2 9" xfId="19261" xr:uid="{5001229D-1B6F-4843-BD77-E6F17A959840}"/>
    <cellStyle name="Überschrift 5 2 2 9 2" xfId="38696" xr:uid="{B19F9DBE-2816-4C17-84B6-7F6AABC925CA}"/>
    <cellStyle name="Überschrift 5 2 3" xfId="19262" xr:uid="{223C74E4-1071-4DE4-84C1-4DAB98C66E6C}"/>
    <cellStyle name="Überschrift 5 2 3 2" xfId="38697" xr:uid="{5E6A37EA-4ED1-4146-885C-63957F305494}"/>
    <cellStyle name="Überschrift 5 2 4" xfId="19263" xr:uid="{913D8947-A514-40A0-B4A8-6FE62018FCED}"/>
    <cellStyle name="Überschrift 5 2 4 2" xfId="38698" xr:uid="{AD4639DE-6CF6-4EB6-AB67-38073CCEE396}"/>
    <cellStyle name="Überschrift 5 2 5" xfId="19264" xr:uid="{CB45DB9A-6C70-4A1E-AFD5-028A96215AFB}"/>
    <cellStyle name="Überschrift 5 2 5 2" xfId="19265" xr:uid="{01301724-E145-46B5-B6C1-775E0F0A8483}"/>
    <cellStyle name="Überschrift 5 2 5 2 2" xfId="38700" xr:uid="{820D35D1-D188-4AFF-8CBC-58347661CF54}"/>
    <cellStyle name="Überschrift 5 2 5 3" xfId="38699" xr:uid="{6804737D-854C-49EE-9E18-0F7531E330B0}"/>
    <cellStyle name="Überschrift 5 2 6" xfId="19266" xr:uid="{DFA07DB0-5BEA-4847-AEFF-87DF1F96FAA5}"/>
    <cellStyle name="Überschrift 5 2 6 2" xfId="38701" xr:uid="{58C7BB5A-EDEE-4935-AEFD-CF1F5E9ABD31}"/>
    <cellStyle name="Überschrift 5 2 7" xfId="19267" xr:uid="{B8D81EDF-12EB-4DD8-BD43-5C38974B5BD4}"/>
    <cellStyle name="Überschrift 5 2 7 2" xfId="19268" xr:uid="{15824498-C7C9-4419-B136-F266CA791944}"/>
    <cellStyle name="Überschrift 5 2 7 2 2" xfId="38703" xr:uid="{0F21531F-D141-4034-AD9F-ABD4235D4147}"/>
    <cellStyle name="Überschrift 5 2 7 3" xfId="38702" xr:uid="{D66FE26A-4ECE-411C-A382-044615DBBE4C}"/>
    <cellStyle name="Überschrift 5 2 8" xfId="19269" xr:uid="{98ADC027-9EFC-4DA8-BD69-01138B97DC06}"/>
    <cellStyle name="Überschrift 5 2 8 2" xfId="38704" xr:uid="{A946FD4F-00C1-453C-8C0E-4E6DEB5CD21F}"/>
    <cellStyle name="Überschrift 5 2 9" xfId="19270" xr:uid="{34402371-162F-4D63-A697-30E9D23BDF04}"/>
    <cellStyle name="Überschrift 5 2 9 2" xfId="38705" xr:uid="{B5660FEB-5B90-4A33-B2B5-D86B181201E6}"/>
    <cellStyle name="Überschrift 5 3" xfId="19271" xr:uid="{23ED498A-E2D1-4C9C-BAC9-E25FFBE189D1}"/>
    <cellStyle name="Überschrift 5 3 2" xfId="38706" xr:uid="{28724F23-356D-4870-BAEB-B3533FA22F67}"/>
    <cellStyle name="Überschrift 5 4" xfId="19272" xr:uid="{FAB02445-3302-4F5E-978A-DE1F20E9E8FE}"/>
    <cellStyle name="Überschrift 5 4 2" xfId="19273" xr:uid="{6531B8FF-2444-4EDD-993F-519C70590592}"/>
    <cellStyle name="Überschrift 5 4 2 2" xfId="19274" xr:uid="{173E0301-51F9-4BBB-AA4A-5C391B458A62}"/>
    <cellStyle name="Überschrift 5 4 2 2 2" xfId="38709" xr:uid="{DE9B4EDD-C776-492B-AC38-CFEFA2114C5A}"/>
    <cellStyle name="Überschrift 5 4 2 3" xfId="38708" xr:uid="{D91E4EC3-AAE1-4EFA-9A23-266424C0F33F}"/>
    <cellStyle name="Überschrift 5 4 3" xfId="19275" xr:uid="{126ADB33-E7F8-4F2E-95C3-24DBA770741F}"/>
    <cellStyle name="Überschrift 5 4 3 2" xfId="38710" xr:uid="{6EC2598B-4FE1-4A4E-AF59-A6FCC29736D7}"/>
    <cellStyle name="Überschrift 5 4 4" xfId="19276" xr:uid="{C6994E3F-FBD8-4F20-8CBF-DC0E6A5EECC2}"/>
    <cellStyle name="Überschrift 5 4 4 2" xfId="38711" xr:uid="{D5D9741C-6F41-4D08-9417-B8EAD85F6103}"/>
    <cellStyle name="Überschrift 5 4 5" xfId="38707" xr:uid="{1A09219F-0342-4EBB-A86B-46F57BB238FB}"/>
    <cellStyle name="Überschrift 5 5" xfId="19277" xr:uid="{B20C32B8-AA12-49D1-958A-EA1FE234AB1B}"/>
    <cellStyle name="Überschrift 5 5 2" xfId="38712" xr:uid="{B160DCC3-FF45-44A2-BDF3-C353DC540233}"/>
    <cellStyle name="Überschrift 5 6" xfId="19278" xr:uid="{B2A84EBB-EFFA-430A-B9EF-EAC0620AEDAC}"/>
    <cellStyle name="Überschrift 5 6 2" xfId="19279" xr:uid="{702BA376-B632-4E1E-9B9C-D636D61EF683}"/>
    <cellStyle name="Überschrift 5 6 2 2" xfId="38714" xr:uid="{25A86EBE-EB1F-4B76-8A8B-3759CA3C3883}"/>
    <cellStyle name="Überschrift 5 6 3" xfId="38713" xr:uid="{DB30D74C-6368-4006-84AD-E3115DAE75B3}"/>
    <cellStyle name="Überschrift 5 7" xfId="19280" xr:uid="{F56917BA-603C-42E7-B108-0EF75225676A}"/>
    <cellStyle name="Überschrift 5 7 2" xfId="38715" xr:uid="{F8C3B387-47AA-486C-8AF2-B4C1F41777E9}"/>
    <cellStyle name="Überschrift 5 8" xfId="19281" xr:uid="{E2A8F58F-D886-48B3-A118-531365BA4FF0}"/>
    <cellStyle name="Überschrift 5 8 2" xfId="19282" xr:uid="{FA7F1914-D4BA-4487-A4C8-49073C83255E}"/>
    <cellStyle name="Überschrift 5 8 2 2" xfId="38717" xr:uid="{C18B02B5-B9FF-4F35-8221-09140F417B57}"/>
    <cellStyle name="Überschrift 5 8 3" xfId="38716" xr:uid="{08463D92-C9EE-4BE5-B22D-06559A3BF246}"/>
    <cellStyle name="Überschrift 5 9" xfId="19283" xr:uid="{5C6E0575-822B-4946-8707-26CE9CA2B9E6}"/>
    <cellStyle name="Überschrift 5 9 2" xfId="38718" xr:uid="{6BA9698C-5F82-45F5-8505-98EC57C012B1}"/>
    <cellStyle name="Überschrift 6" xfId="19284" xr:uid="{1515A0FA-65C8-4317-9F48-2143F41E6874}"/>
    <cellStyle name="Überschrift 6 10" xfId="39879" xr:uid="{E1053CA3-2AC8-49E0-B872-77B775DE057F}"/>
    <cellStyle name="Überschrift 6 2" xfId="19285" xr:uid="{5301F6CB-5DC4-4215-8270-49819D6CAB1B}"/>
    <cellStyle name="Überschrift 6 2 2" xfId="19286" xr:uid="{9B8EA941-6E35-4482-B5F0-941CEB1BB5D3}"/>
    <cellStyle name="Überschrift 6 2 2 2" xfId="19287" xr:uid="{26E3A9D2-A7E3-4589-832C-C43AB0AFB638}"/>
    <cellStyle name="Überschrift 6 2 2 2 2" xfId="38722" xr:uid="{5D563234-991E-478A-83B1-9875866896EC}"/>
    <cellStyle name="Überschrift 6 2 2 3" xfId="38721" xr:uid="{15C24EE9-3887-46AE-A119-8EE770A6FED3}"/>
    <cellStyle name="Überschrift 6 2 3" xfId="19288" xr:uid="{C3817F73-D59D-4D04-BBBA-CD5BDE06A696}"/>
    <cellStyle name="Überschrift 6 2 3 2" xfId="38723" xr:uid="{36A35544-1FB5-4577-9A3A-3AEEA9B59AA6}"/>
    <cellStyle name="Überschrift 6 2 4" xfId="19289" xr:uid="{788828CB-2AD2-47D7-BDFD-6268EC432071}"/>
    <cellStyle name="Überschrift 6 2 4 2" xfId="38724" xr:uid="{950DC821-A1FB-4DFD-AC54-13419E595B60}"/>
    <cellStyle name="Überschrift 6 2 5" xfId="38720" xr:uid="{C10C5FE5-DA9E-41C0-B2F0-E11EB95AF448}"/>
    <cellStyle name="Überschrift 6 2 6" xfId="40395" xr:uid="{ADF93858-9FBD-43FF-AA4A-D3A37524B9C7}"/>
    <cellStyle name="Überschrift 6 3" xfId="19290" xr:uid="{4BFED113-BB4C-4895-A9C6-FCBAB9E31F0D}"/>
    <cellStyle name="Überschrift 6 3 2" xfId="38725" xr:uid="{EB55D954-4457-44AE-88FB-E2991A121C89}"/>
    <cellStyle name="Überschrift 6 4" xfId="19291" xr:uid="{CE5FD193-5536-4A5C-B4A5-7A240A475CC9}"/>
    <cellStyle name="Überschrift 6 4 2" xfId="38726" xr:uid="{EB43D2BA-9038-4201-BA37-83A736854C41}"/>
    <cellStyle name="Überschrift 6 5" xfId="19292" xr:uid="{22835C49-9B09-420A-B31A-2CCBA67957C6}"/>
    <cellStyle name="Überschrift 6 5 2" xfId="19293" xr:uid="{37D86AFC-242B-41DA-964B-98F82526246F}"/>
    <cellStyle name="Überschrift 6 5 2 2" xfId="38728" xr:uid="{0E932E2A-4E55-4F56-B833-173D54B1B99D}"/>
    <cellStyle name="Überschrift 6 5 3" xfId="38727" xr:uid="{759644E5-6A4D-4E35-B9FE-215BD45EA9AA}"/>
    <cellStyle name="Überschrift 6 6" xfId="19294" xr:uid="{DE557F07-B069-43B9-9F4C-BA450E64C769}"/>
    <cellStyle name="Überschrift 6 6 2" xfId="38729" xr:uid="{D345F65F-6E0F-46E8-AD93-0FC7E90672FA}"/>
    <cellStyle name="Überschrift 6 7" xfId="19295" xr:uid="{074D31E9-3091-45D1-9613-E5EEEFA5BE6F}"/>
    <cellStyle name="Überschrift 6 7 2" xfId="38730" xr:uid="{013D8556-F995-4660-88ED-54CC4810F508}"/>
    <cellStyle name="Überschrift 6 8" xfId="19296" xr:uid="{10D3FF9A-01D6-4760-A5E6-FFFB4F2872A5}"/>
    <cellStyle name="Überschrift 6 8 2" xfId="38731" xr:uid="{4EF118C0-4B2E-4C00-874E-654F0232D4F0}"/>
    <cellStyle name="Überschrift 6 9" xfId="38719" xr:uid="{41A043A4-54F4-4BD2-BFCB-EFCC9D4DC3F4}"/>
    <cellStyle name="Überschrift 7" xfId="19297" xr:uid="{8A8DC0C1-10AE-4CA7-9344-AC943EA8131C}"/>
    <cellStyle name="Überschrift 7 2" xfId="19298" xr:uid="{56BCFB26-1A6A-4DFD-8142-D8284BEF8FB2}"/>
    <cellStyle name="Überschrift 7 2 2" xfId="19299" xr:uid="{94106B8D-8052-4E77-BFC6-BFC28DDCAD4B}"/>
    <cellStyle name="Überschrift 7 2 2 2" xfId="38734" xr:uid="{688149E0-9E76-48E2-AFE8-78DEB4237C99}"/>
    <cellStyle name="Überschrift 7 2 3" xfId="38733" xr:uid="{DE3C7C0C-F4B6-4B08-A6D4-3D883CB47518}"/>
    <cellStyle name="Überschrift 7 2 4" xfId="40396" xr:uid="{2F775BC7-4F41-4A99-AD79-721C2871514F}"/>
    <cellStyle name="Überschrift 7 3" xfId="19300" xr:uid="{7CF9A191-7D14-485D-AB42-94D57275C128}"/>
    <cellStyle name="Überschrift 7 3 2" xfId="38735" xr:uid="{4BE1DBB5-2199-467F-9FD8-4988790CB9A2}"/>
    <cellStyle name="Überschrift 7 4" xfId="19301" xr:uid="{BC11CE10-E5BE-4234-853A-63552F4EAFC7}"/>
    <cellStyle name="Überschrift 7 4 2" xfId="38736" xr:uid="{A1C124FA-FDFC-4009-A3FF-EDFD8C61801D}"/>
    <cellStyle name="Überschrift 7 5" xfId="19302" xr:uid="{31EB9D30-0856-40BD-B2CD-A33C2BCFDA02}"/>
    <cellStyle name="Überschrift 7 5 2" xfId="38737" xr:uid="{38DD6EA7-D8D7-43CA-AA13-F1DA41BB84C6}"/>
    <cellStyle name="Überschrift 7 6" xfId="19303" xr:uid="{C381C2D7-D3FA-40B2-A431-15212673CBF6}"/>
    <cellStyle name="Überschrift 7 6 2" xfId="38738" xr:uid="{52FC3058-62E4-437A-A937-4E5D97B0AC6F}"/>
    <cellStyle name="Überschrift 7 7" xfId="38732" xr:uid="{7187BBDD-4266-4BF2-BB64-4DE92C3B6769}"/>
    <cellStyle name="Überschrift 7 8" xfId="39880" xr:uid="{1F8D0E19-2D04-44E7-873C-08D2A5B039E3}"/>
    <cellStyle name="Überschrift 8" xfId="19304" xr:uid="{7AD2F7EC-D3FA-4FBD-AE21-CE91EAA6A60B}"/>
    <cellStyle name="Überschrift 8 2" xfId="19305" xr:uid="{5A31AA3C-C570-4FDC-AD0C-FB8D73AC9C9E}"/>
    <cellStyle name="Überschrift 8 2 2" xfId="38740" xr:uid="{4ACA31B3-77C8-4136-BE5D-F2FAB0643367}"/>
    <cellStyle name="Überschrift 8 3" xfId="19306" xr:uid="{B665D75D-3255-4520-9A47-412E1478FB29}"/>
    <cellStyle name="Überschrift 8 3 2" xfId="38741" xr:uid="{AB479BA9-6541-4684-9E5E-DC53748A74A5}"/>
    <cellStyle name="Überschrift 8 4" xfId="19307" xr:uid="{B58A9BD6-3590-43AD-A8FD-DEAA6E7A8861}"/>
    <cellStyle name="Überschrift 8 4 2" xfId="38742" xr:uid="{694905E9-013A-4526-A0B8-EF45445845FD}"/>
    <cellStyle name="Überschrift 8 5" xfId="19308" xr:uid="{8276F97A-5058-4234-BBEB-0602B9F375A9}"/>
    <cellStyle name="Überschrift 8 5 2" xfId="38743" xr:uid="{4EA00209-C4AA-478B-8F4B-FC2FD10C9722}"/>
    <cellStyle name="Überschrift 8 6" xfId="38739" xr:uid="{93369517-D834-4E94-8E36-7DB76EC29E23}"/>
    <cellStyle name="Überschrift 8 7" xfId="39881" xr:uid="{E09B682E-ED68-4A81-A895-0D7C2B08166C}"/>
    <cellStyle name="Überschrift 9" xfId="19309" xr:uid="{5B88666F-6FF2-4762-A599-F56E73008141}"/>
    <cellStyle name="Überschrift 9 2" xfId="19310" xr:uid="{B7F0C511-8D1A-45AB-AB48-2FDF366F3690}"/>
    <cellStyle name="Überschrift 9 2 2" xfId="38745" xr:uid="{4D74CB45-26DC-42FA-9A32-4297BD3C3A83}"/>
    <cellStyle name="Überschrift 9 3" xfId="19311" xr:uid="{02B2537B-E723-48F3-B37D-E15C4B218F8B}"/>
    <cellStyle name="Überschrift 9 3 2" xfId="38746" xr:uid="{4538EB17-F918-4E82-AABF-704B3CC7F4F3}"/>
    <cellStyle name="Überschrift 9 4" xfId="19312" xr:uid="{982BEBBD-E50B-4CFB-9486-66A1EBCCBE9E}"/>
    <cellStyle name="Überschrift 9 4 2" xfId="38747" xr:uid="{D2B0AF00-CDD3-46F7-9A13-8D5AF8AC7DD7}"/>
    <cellStyle name="Überschrift 9 5" xfId="19313" xr:uid="{43ABCE04-7335-4A68-BB7B-D7FF49F853AB}"/>
    <cellStyle name="Überschrift 9 5 2" xfId="38748" xr:uid="{3182F0C7-4BF4-4A06-AC85-C7A54A16F689}"/>
    <cellStyle name="Überschrift 9 6" xfId="38744" xr:uid="{ECA573A8-65BB-430C-83CE-3F9829F7650A}"/>
    <cellStyle name="Überschrift 9 7" xfId="39852" xr:uid="{55D64261-33B1-4EAD-BBC9-6ED0C6CAFCA9}"/>
    <cellStyle name="Valuta (0)_B-DAB906" xfId="19314" xr:uid="{2D46063D-6A3B-410B-8771-00AB0A1CE9E5}"/>
    <cellStyle name="Valuta_B-DAB906" xfId="19315" xr:uid="{901AD9FA-7F29-40E0-A1B2-651FF11AB2FD}"/>
    <cellStyle name="Verknüpfte Zelle 10" xfId="19317" xr:uid="{4330D33D-166C-45EF-8C02-B13E972B94D4}"/>
    <cellStyle name="Verknüpfte Zelle 10 2" xfId="19318" xr:uid="{FAE5484A-BAD7-4C59-9DCD-2E28C999BB10}"/>
    <cellStyle name="Verknüpfte Zelle 10 2 2" xfId="38751" xr:uid="{A1FBB167-04F7-481D-9A1A-5E906A7455EF}"/>
    <cellStyle name="Verknüpfte Zelle 10 3" xfId="38750" xr:uid="{6B75C16F-F614-474C-AB59-DEA371F12D7B}"/>
    <cellStyle name="Verknüpfte Zelle 11" xfId="19319" xr:uid="{82A44750-D82E-471E-A960-39042554D85B}"/>
    <cellStyle name="Verknüpfte Zelle 11 2" xfId="19320" xr:uid="{22F27386-65ED-4724-B5B4-C9658AE3F0DD}"/>
    <cellStyle name="Verknüpfte Zelle 11 2 2" xfId="38753" xr:uid="{B54E9166-D7AD-4F6F-BBBF-36C3573E65D2}"/>
    <cellStyle name="Verknüpfte Zelle 11 3" xfId="38752" xr:uid="{B2369A6C-9272-45B0-95CC-4E4D9E73C342}"/>
    <cellStyle name="Verknüpfte Zelle 12" xfId="19321" xr:uid="{C921BB0E-7E97-4E2D-B6A4-EA166FEE676F}"/>
    <cellStyle name="Verknüpfte Zelle 12 2" xfId="19322" xr:uid="{D415C134-AC98-4235-A4B8-C04A45B3C9E0}"/>
    <cellStyle name="Verknüpfte Zelle 12 2 2" xfId="38755" xr:uid="{E2D7A585-5033-4F85-AF11-5C42F25C5469}"/>
    <cellStyle name="Verknüpfte Zelle 12 3" xfId="38754" xr:uid="{F0F6C994-9EE3-4BB6-9D6A-CEA8390E2DD3}"/>
    <cellStyle name="Verknüpfte Zelle 13" xfId="19323" xr:uid="{5C217816-3435-464C-9504-A27BC9E18B19}"/>
    <cellStyle name="Verknüpfte Zelle 13 2" xfId="19324" xr:uid="{2243E470-D315-4CA2-B843-FD4AF20304DD}"/>
    <cellStyle name="Verknüpfte Zelle 13 2 2" xfId="38757" xr:uid="{37D5D064-6329-4399-920C-7BCC9110F756}"/>
    <cellStyle name="Verknüpfte Zelle 13 3" xfId="38756" xr:uid="{04A514FC-95B6-4F8C-B3A2-C705C31C1CDF}"/>
    <cellStyle name="Verknüpfte Zelle 14" xfId="19325" xr:uid="{8D13B14B-23F5-4C0C-BD46-B3483D281280}"/>
    <cellStyle name="Verknüpfte Zelle 14 2" xfId="19326" xr:uid="{250F746C-13D2-4A49-B501-0684DE5C7673}"/>
    <cellStyle name="Verknüpfte Zelle 14 2 2" xfId="38759" xr:uid="{DE850FB3-2BA0-4169-BE26-8C48BD122667}"/>
    <cellStyle name="Verknüpfte Zelle 14 3" xfId="19327" xr:uid="{935DEEBE-C504-4D08-B454-DB236523AD1F}"/>
    <cellStyle name="Verknüpfte Zelle 14 3 2" xfId="38760" xr:uid="{62B75FFD-3759-49CB-B3DD-A43C84E8786D}"/>
    <cellStyle name="Verknüpfte Zelle 14 4" xfId="38758" xr:uid="{2A7941BF-C6A7-486A-A0FA-53D221CF5262}"/>
    <cellStyle name="Verknüpfte Zelle 15" xfId="19328" xr:uid="{513012DD-4E65-477A-BD38-A2F31737CD4B}"/>
    <cellStyle name="Verknüpfte Zelle 15 2" xfId="19329" xr:uid="{9F197929-6BEC-4358-9FED-011554B652FA}"/>
    <cellStyle name="Verknüpfte Zelle 15 2 2" xfId="38762" xr:uid="{5FD41EE8-02F3-432D-B831-7E63B024DE1E}"/>
    <cellStyle name="Verknüpfte Zelle 15 3" xfId="19330" xr:uid="{67A53576-1938-4BB5-B1E3-CEE28157D65E}"/>
    <cellStyle name="Verknüpfte Zelle 15 3 2" xfId="38763" xr:uid="{30930524-6FA3-43E4-AF95-105BA78D0921}"/>
    <cellStyle name="Verknüpfte Zelle 15 4" xfId="38761" xr:uid="{D38A9014-10CE-4270-9079-DAF86B329354}"/>
    <cellStyle name="Verknüpfte Zelle 16" xfId="19331" xr:uid="{0E567DB8-0A10-41F2-BE10-75BC3F6B2B0B}"/>
    <cellStyle name="Verknüpfte Zelle 16 2" xfId="19332" xr:uid="{C3E96A3A-316B-4B7A-BF45-8D604946E528}"/>
    <cellStyle name="Verknüpfte Zelle 16 2 2" xfId="38765" xr:uid="{6A6466E7-00DA-4F91-B22D-C01CC826DA32}"/>
    <cellStyle name="Verknüpfte Zelle 16 3" xfId="19333" xr:uid="{188FEBBD-62DF-44FA-9909-6604114DE1B4}"/>
    <cellStyle name="Verknüpfte Zelle 16 3 2" xfId="38766" xr:uid="{860648B6-921A-4590-89A3-94133BEEF7E7}"/>
    <cellStyle name="Verknüpfte Zelle 16 4" xfId="38764" xr:uid="{1E95F78A-9492-4A4B-8E84-F69CB37FBA8D}"/>
    <cellStyle name="Verknüpfte Zelle 17" xfId="19334" xr:uid="{BBBCDFDE-32EB-45E7-8E40-DFB061CC49CA}"/>
    <cellStyle name="Verknüpfte Zelle 17 2" xfId="19335" xr:uid="{303534DB-89E7-4006-939C-704A6C41E992}"/>
    <cellStyle name="Verknüpfte Zelle 17 2 2" xfId="38768" xr:uid="{B91B3BC0-DC5E-46D3-B8DC-468A82E97F6C}"/>
    <cellStyle name="Verknüpfte Zelle 17 3" xfId="19336" xr:uid="{45DBB3C2-76B6-46C8-94F7-6F075AC6A53E}"/>
    <cellStyle name="Verknüpfte Zelle 17 3 2" xfId="38769" xr:uid="{9760FEF8-1A81-4780-A9CF-8E6A06E77BC2}"/>
    <cellStyle name="Verknüpfte Zelle 17 4" xfId="38767" xr:uid="{C800AE4C-3D25-4793-A364-D0BE4CB62A75}"/>
    <cellStyle name="Verknüpfte Zelle 18" xfId="19337" xr:uid="{18EED7E3-74E4-4F84-A9E5-C4E1F53F8D4D}"/>
    <cellStyle name="Verknüpfte Zelle 18 2" xfId="19338" xr:uid="{B16D9CAC-A00C-49A2-9D5A-7E37ED5DF7D7}"/>
    <cellStyle name="Verknüpfte Zelle 18 2 2" xfId="38771" xr:uid="{ADDC4CF2-8CE8-4EF0-A4BB-3EFB555BC2D1}"/>
    <cellStyle name="Verknüpfte Zelle 18 3" xfId="19339" xr:uid="{F94F4E4C-2A65-4589-A00C-68EFCF632D57}"/>
    <cellStyle name="Verknüpfte Zelle 18 3 2" xfId="38772" xr:uid="{4A9FC024-57C8-4768-BF5C-1722E5CC22E9}"/>
    <cellStyle name="Verknüpfte Zelle 18 4" xfId="38770" xr:uid="{8D852602-20EB-434D-B7D9-BC788D280F41}"/>
    <cellStyle name="Verknüpfte Zelle 19" xfId="19340" xr:uid="{9E7DFD8E-F234-4E5D-826A-15A552EFB8C8}"/>
    <cellStyle name="Verknüpfte Zelle 19 2" xfId="19341" xr:uid="{A35406E3-3DB8-4628-BC60-1B4CD8A8814B}"/>
    <cellStyle name="Verknüpfte Zelle 19 2 2" xfId="38774" xr:uid="{A221CC7A-7EB5-411E-A762-D1747196B39D}"/>
    <cellStyle name="Verknüpfte Zelle 19 3" xfId="19342" xr:uid="{5F58CA79-D71D-480D-A82A-68242D308331}"/>
    <cellStyle name="Verknüpfte Zelle 19 3 2" xfId="38775" xr:uid="{ACA48DB4-69E1-4FED-97F0-1E3F0A2742F6}"/>
    <cellStyle name="Verknüpfte Zelle 19 4" xfId="38773" xr:uid="{624F5119-C831-447F-AC9A-F90728B2099D}"/>
    <cellStyle name="Verknüpfte Zelle 2" xfId="19343" xr:uid="{F900580B-8CDD-44F5-9FD4-05A878E30676}"/>
    <cellStyle name="Verknüpfte Zelle 2 10" xfId="19344" xr:uid="{E49B991D-5CA7-4EE3-80C3-102780767152}"/>
    <cellStyle name="Verknüpfte Zelle 2 10 2" xfId="38777" xr:uid="{91351E66-8FDA-4AEA-B09D-B259AD76B854}"/>
    <cellStyle name="Verknüpfte Zelle 2 11" xfId="19345" xr:uid="{0E6B66E7-9C62-4FC4-887A-195D17965F0A}"/>
    <cellStyle name="Verknüpfte Zelle 2 11 2" xfId="38778" xr:uid="{491C8BAC-BAF0-4163-90E2-2E239D9B76DC}"/>
    <cellStyle name="Verknüpfte Zelle 2 12" xfId="19346" xr:uid="{399FEF0F-1EF0-4A42-9B8F-0BF38E828B0F}"/>
    <cellStyle name="Verknüpfte Zelle 2 12 2" xfId="38779" xr:uid="{36C1B51E-606A-45C1-AB26-1223DA42A85D}"/>
    <cellStyle name="Verknüpfte Zelle 2 13" xfId="19347" xr:uid="{B25D4C55-7559-4158-9F27-66CB24ECCD8E}"/>
    <cellStyle name="Verknüpfte Zelle 2 13 2" xfId="38780" xr:uid="{E8C90A0D-C729-4A97-86B2-CC23DFCD1CB9}"/>
    <cellStyle name="Verknüpfte Zelle 2 14" xfId="19348" xr:uid="{F2A9079A-8494-47B6-B6A2-022C112EC32D}"/>
    <cellStyle name="Verknüpfte Zelle 2 14 2" xfId="38781" xr:uid="{697F777E-B290-4BE4-B131-DEE1F6681FD9}"/>
    <cellStyle name="Verknüpfte Zelle 2 15" xfId="38776" xr:uid="{1B367734-1377-407F-B739-20971FD3D645}"/>
    <cellStyle name="Verknüpfte Zelle 2 16" xfId="39883" xr:uid="{E5F9C21B-BA45-4F77-99C1-366B95B134C1}"/>
    <cellStyle name="Verknüpfte Zelle 2 2" xfId="19349" xr:uid="{6BF02172-6CD7-4EF0-A3AD-712DFF8853B5}"/>
    <cellStyle name="Verknüpfte Zelle 2 2 10" xfId="19350" xr:uid="{E84BBA41-FE68-4484-9647-CC42F6AF179C}"/>
    <cellStyle name="Verknüpfte Zelle 2 2 10 2" xfId="38783" xr:uid="{5DFC6ECE-5F29-4095-88B8-C972CA1B1257}"/>
    <cellStyle name="Verknüpfte Zelle 2 2 11" xfId="19351" xr:uid="{D4D53C5B-576E-4B7E-8ECE-C451B19A54C5}"/>
    <cellStyle name="Verknüpfte Zelle 2 2 11 2" xfId="38784" xr:uid="{7D46ADED-5A39-4EBA-A727-4478101FC67C}"/>
    <cellStyle name="Verknüpfte Zelle 2 2 12" xfId="19352" xr:uid="{520A0417-C6B5-422B-A855-DDFF2B15FD64}"/>
    <cellStyle name="Verknüpfte Zelle 2 2 12 2" xfId="38785" xr:uid="{79A72D6E-F3B0-4345-B410-949913E0247B}"/>
    <cellStyle name="Verknüpfte Zelle 2 2 13" xfId="38782" xr:uid="{2B716C38-0A0C-4E08-A9D7-86E8FF8A1593}"/>
    <cellStyle name="Verknüpfte Zelle 2 2 14" xfId="39884" xr:uid="{1763758C-BE81-4511-9402-604DE705A068}"/>
    <cellStyle name="Verknüpfte Zelle 2 2 2" xfId="19353" xr:uid="{9D21242E-D1C6-4685-9F8A-0E3E879A65AF}"/>
    <cellStyle name="Verknüpfte Zelle 2 2 2 10" xfId="19354" xr:uid="{8EA7A0C4-78C6-4D6D-8C19-673171515FC5}"/>
    <cellStyle name="Verknüpfte Zelle 2 2 2 10 2" xfId="38787" xr:uid="{1BEFACA8-AE69-40DE-B737-E329D12072C8}"/>
    <cellStyle name="Verknüpfte Zelle 2 2 2 11" xfId="38786" xr:uid="{3F6EE4D0-B57D-40B2-951F-DCC92E538914}"/>
    <cellStyle name="Verknüpfte Zelle 2 2 2 2" xfId="19355" xr:uid="{1DDBB086-B09E-455A-B065-EF880CCFA08A}"/>
    <cellStyle name="Verknüpfte Zelle 2 2 2 2 2" xfId="19356" xr:uid="{FB8E997B-2D7D-4850-A34A-6DBCB2233E7C}"/>
    <cellStyle name="Verknüpfte Zelle 2 2 2 2 2 2" xfId="19357" xr:uid="{5CD33401-3636-4D9F-8341-572AB97C4CAB}"/>
    <cellStyle name="Verknüpfte Zelle 2 2 2 2 2 2 2" xfId="19358" xr:uid="{8A1F8F0A-5C2F-4A0C-B495-01112022FB5B}"/>
    <cellStyle name="Verknüpfte Zelle 2 2 2 2 2 2 2 2" xfId="38791" xr:uid="{10CA58A2-A585-49AA-BC0A-FF486B0BB616}"/>
    <cellStyle name="Verknüpfte Zelle 2 2 2 2 2 2 3" xfId="38790" xr:uid="{83E6BD6D-8696-44B2-A16B-1AD0C804C247}"/>
    <cellStyle name="Verknüpfte Zelle 2 2 2 2 2 3" xfId="19359" xr:uid="{C549A38F-E9CB-4526-A777-11B7C8592DB6}"/>
    <cellStyle name="Verknüpfte Zelle 2 2 2 2 2 3 2" xfId="38792" xr:uid="{EAA2A5BC-CAC4-4A64-B1DD-D024088193E5}"/>
    <cellStyle name="Verknüpfte Zelle 2 2 2 2 2 4" xfId="19360" xr:uid="{77CE516A-3A03-40DC-8BF6-5B47C6230EFB}"/>
    <cellStyle name="Verknüpfte Zelle 2 2 2 2 2 4 2" xfId="38793" xr:uid="{53282D09-BEB3-40D6-BA35-D69F07FAF18F}"/>
    <cellStyle name="Verknüpfte Zelle 2 2 2 2 2 5" xfId="19361" xr:uid="{43951BAD-380D-48B3-BB90-BA535ABCE861}"/>
    <cellStyle name="Verknüpfte Zelle 2 2 2 2 2 5 2" xfId="38794" xr:uid="{FED92C95-A524-47F9-8312-D97B21C88E64}"/>
    <cellStyle name="Verknüpfte Zelle 2 2 2 2 2 6" xfId="19362" xr:uid="{2C880F70-3558-4F77-9297-992B0C222DB3}"/>
    <cellStyle name="Verknüpfte Zelle 2 2 2 2 2 6 2" xfId="38795" xr:uid="{3E556BED-64AC-45D0-B0D2-B309172E8342}"/>
    <cellStyle name="Verknüpfte Zelle 2 2 2 2 2 7" xfId="19363" xr:uid="{3CA994ED-B87A-4F50-8C89-F200628F6654}"/>
    <cellStyle name="Verknüpfte Zelle 2 2 2 2 2 7 2" xfId="38796" xr:uid="{7F1AB99B-5E9C-4747-8542-8F32419C2387}"/>
    <cellStyle name="Verknüpfte Zelle 2 2 2 2 2 8" xfId="19364" xr:uid="{86C99266-209B-48A7-B3D5-6BD8B7E45A53}"/>
    <cellStyle name="Verknüpfte Zelle 2 2 2 2 2 8 2" xfId="38797" xr:uid="{33D5EC30-71B1-4C5D-BA72-AC646481B31B}"/>
    <cellStyle name="Verknüpfte Zelle 2 2 2 2 2 9" xfId="38789" xr:uid="{7B2E4B09-DCF2-4108-89DA-DB2AFA5DAA7D}"/>
    <cellStyle name="Verknüpfte Zelle 2 2 2 2 3" xfId="19365" xr:uid="{A96C45D5-616E-48A2-9F85-2CE9C6BB8939}"/>
    <cellStyle name="Verknüpfte Zelle 2 2 2 2 3 2" xfId="19366" xr:uid="{2A5AA7C8-CB90-4CEC-A382-7D5722E6B39E}"/>
    <cellStyle name="Verknüpfte Zelle 2 2 2 2 3 2 2" xfId="38799" xr:uid="{CEB2ECBB-55D1-4968-B573-D7D701D630C8}"/>
    <cellStyle name="Verknüpfte Zelle 2 2 2 2 3 3" xfId="38798" xr:uid="{8C94742F-B0CD-49E1-BF55-B03924C7707A}"/>
    <cellStyle name="Verknüpfte Zelle 2 2 2 2 4" xfId="19367" xr:uid="{EDB26B56-6C93-4A07-91FE-1F5F2D065A28}"/>
    <cellStyle name="Verknüpfte Zelle 2 2 2 2 4 2" xfId="38800" xr:uid="{F9676B48-101A-4AD2-AD41-21E617489FEF}"/>
    <cellStyle name="Verknüpfte Zelle 2 2 2 2 5" xfId="19368" xr:uid="{3254BDF8-C5BA-4A19-97FA-315B1C79F79E}"/>
    <cellStyle name="Verknüpfte Zelle 2 2 2 2 5 2" xfId="38801" xr:uid="{3A27DF5D-6619-4708-A461-CAB4F375F97A}"/>
    <cellStyle name="Verknüpfte Zelle 2 2 2 2 6" xfId="19369" xr:uid="{25EFDB47-C3B8-441F-9D6D-7D5310161062}"/>
    <cellStyle name="Verknüpfte Zelle 2 2 2 2 6 2" xfId="38802" xr:uid="{77FF2991-E12A-4FA1-A062-61928EEFE1BF}"/>
    <cellStyle name="Verknüpfte Zelle 2 2 2 2 7" xfId="19370" xr:uid="{969D4B76-3CA3-4329-992D-7C18ABDFCD81}"/>
    <cellStyle name="Verknüpfte Zelle 2 2 2 2 7 2" xfId="38803" xr:uid="{557E1F6A-4A69-4D76-83EB-656BD37EB0EB}"/>
    <cellStyle name="Verknüpfte Zelle 2 2 2 2 8" xfId="19371" xr:uid="{6FE50442-D131-47A1-9364-FF90ABB54F48}"/>
    <cellStyle name="Verknüpfte Zelle 2 2 2 2 8 2" xfId="38804" xr:uid="{7476825A-D580-45ED-8DE9-304B9B19566A}"/>
    <cellStyle name="Verknüpfte Zelle 2 2 2 2 9" xfId="38788" xr:uid="{983D8B36-3C19-452A-AB86-808915CD1823}"/>
    <cellStyle name="Verknüpfte Zelle 2 2 2 3" xfId="19372" xr:uid="{9AA0C47C-596A-4AFF-B1B7-9EB660CB88C0}"/>
    <cellStyle name="Verknüpfte Zelle 2 2 2 3 2" xfId="38805" xr:uid="{7CE5CC06-AEF8-47A3-A303-8C2F4303AE10}"/>
    <cellStyle name="Verknüpfte Zelle 2 2 2 4" xfId="19373" xr:uid="{B83897DB-6880-452B-ADA8-F1C1AC7E66F5}"/>
    <cellStyle name="Verknüpfte Zelle 2 2 2 4 2" xfId="38806" xr:uid="{B012D926-6961-4052-A535-ADB31EDFBD6D}"/>
    <cellStyle name="Verknüpfte Zelle 2 2 2 5" xfId="19374" xr:uid="{0C514914-A819-417F-A6F1-6D2FC3CDF8C5}"/>
    <cellStyle name="Verknüpfte Zelle 2 2 2 5 2" xfId="19375" xr:uid="{E74545CD-D51A-4C6D-A09F-97C724EEBFCF}"/>
    <cellStyle name="Verknüpfte Zelle 2 2 2 5 2 2" xfId="38808" xr:uid="{AABD71E9-E0A3-4E15-9B61-AE95A4DC68DF}"/>
    <cellStyle name="Verknüpfte Zelle 2 2 2 5 3" xfId="38807" xr:uid="{AC8CD596-BC43-4612-808B-DDEFF7737BF4}"/>
    <cellStyle name="Verknüpfte Zelle 2 2 2 6" xfId="19376" xr:uid="{2BE7696B-166E-4122-B0B0-5B008A26703F}"/>
    <cellStyle name="Verknüpfte Zelle 2 2 2 6 2" xfId="38809" xr:uid="{F7991DC2-023A-441C-A785-27B78E09A919}"/>
    <cellStyle name="Verknüpfte Zelle 2 2 2 7" xfId="19377" xr:uid="{79FA8DA7-0A3B-4497-956B-344D904EAE09}"/>
    <cellStyle name="Verknüpfte Zelle 2 2 2 7 2" xfId="38810" xr:uid="{764B5C6C-6F0F-45CF-93A3-987A3538C017}"/>
    <cellStyle name="Verknüpfte Zelle 2 2 2 8" xfId="19378" xr:uid="{38D19261-532F-465A-A713-304C15294186}"/>
    <cellStyle name="Verknüpfte Zelle 2 2 2 8 2" xfId="38811" xr:uid="{3F396457-9618-4C63-8C6C-1AAF99B3F39B}"/>
    <cellStyle name="Verknüpfte Zelle 2 2 2 9" xfId="19379" xr:uid="{4711995C-5ABA-48FF-B3C8-EA7C11917782}"/>
    <cellStyle name="Verknüpfte Zelle 2 2 2 9 2" xfId="38812" xr:uid="{73F7E035-1403-4CE2-81D4-A84C5E62F9FA}"/>
    <cellStyle name="Verknüpfte Zelle 2 2 3" xfId="19380" xr:uid="{504B9E53-7B32-47A0-879D-87B5666CEED0}"/>
    <cellStyle name="Verknüpfte Zelle 2 2 3 2" xfId="38813" xr:uid="{5FC8BC39-6A0C-4825-975B-36DEE38368B4}"/>
    <cellStyle name="Verknüpfte Zelle 2 2 4" xfId="19381" xr:uid="{318BD299-0381-4B5F-8A01-2F6C7AE05A8F}"/>
    <cellStyle name="Verknüpfte Zelle 2 2 4 2" xfId="38814" xr:uid="{41E28CD2-2900-42BA-BA9E-824C7FC3559C}"/>
    <cellStyle name="Verknüpfte Zelle 2 2 5" xfId="19382" xr:uid="{92533AE9-4788-4F0D-8883-94312F10CB9C}"/>
    <cellStyle name="Verknüpfte Zelle 2 2 5 2" xfId="19383" xr:uid="{EFF26F54-3E05-4D5D-8858-58E0DEC80DDF}"/>
    <cellStyle name="Verknüpfte Zelle 2 2 5 2 2" xfId="38816" xr:uid="{0258C40A-CEC4-40C5-B253-CADB81028466}"/>
    <cellStyle name="Verknüpfte Zelle 2 2 5 3" xfId="38815" xr:uid="{62F07FE5-13C2-47FB-88D5-80E48C29D830}"/>
    <cellStyle name="Verknüpfte Zelle 2 2 6" xfId="19384" xr:uid="{1CEA41F5-C4A8-469F-BC4E-6C488BBCA91D}"/>
    <cellStyle name="Verknüpfte Zelle 2 2 6 2" xfId="38817" xr:uid="{958C0944-B2E6-4AA2-A4FA-CF858F19F667}"/>
    <cellStyle name="Verknüpfte Zelle 2 2 7" xfId="19385" xr:uid="{6F000AE7-1526-46FB-A055-6913131F1529}"/>
    <cellStyle name="Verknüpfte Zelle 2 2 7 2" xfId="19386" xr:uid="{12E76F68-7861-45E5-B09A-E713982C223B}"/>
    <cellStyle name="Verknüpfte Zelle 2 2 7 2 2" xfId="38819" xr:uid="{74060BA8-6D99-410B-AD74-3DBDF6148C16}"/>
    <cellStyle name="Verknüpfte Zelle 2 2 7 3" xfId="38818" xr:uid="{D3481A7D-9F3A-4C3C-8C73-EB2121105E87}"/>
    <cellStyle name="Verknüpfte Zelle 2 2 8" xfId="19387" xr:uid="{04052A2A-8095-4390-9FD7-D02B1608AD47}"/>
    <cellStyle name="Verknüpfte Zelle 2 2 8 2" xfId="38820" xr:uid="{7433BAEC-5BF1-461A-A65F-1B5171B0F467}"/>
    <cellStyle name="Verknüpfte Zelle 2 2 9" xfId="19388" xr:uid="{347BF86C-5B40-4F4D-A22E-4FE7EBEE282E}"/>
    <cellStyle name="Verknüpfte Zelle 2 2 9 2" xfId="38821" xr:uid="{704CE0B4-2E9A-4578-8D0F-1CD659AAC829}"/>
    <cellStyle name="Verknüpfte Zelle 2 3" xfId="19389" xr:uid="{D6996D38-F5E9-4F1F-A0D0-9059F4B0C295}"/>
    <cellStyle name="Verknüpfte Zelle 2 3 2" xfId="38822" xr:uid="{79C35030-80FC-4763-BF57-247DC161FBE8}"/>
    <cellStyle name="Verknüpfte Zelle 2 4" xfId="19390" xr:uid="{4F01FC38-DDB1-4471-B5AA-775C1BB80858}"/>
    <cellStyle name="Verknüpfte Zelle 2 4 2" xfId="19391" xr:uid="{99A0C4E9-AAA7-4149-BD39-80198F1CFEDE}"/>
    <cellStyle name="Verknüpfte Zelle 2 4 2 2" xfId="19392" xr:uid="{78F0C915-9192-4711-BE93-CED47D4FBAC2}"/>
    <cellStyle name="Verknüpfte Zelle 2 4 2 2 2" xfId="38825" xr:uid="{E08758B3-9600-45AA-B86A-902ED976DD87}"/>
    <cellStyle name="Verknüpfte Zelle 2 4 2 3" xfId="38824" xr:uid="{C262D81B-3457-45E1-9BBE-64C82B827D0D}"/>
    <cellStyle name="Verknüpfte Zelle 2 4 3" xfId="19393" xr:uid="{2E6E8F66-57A1-44D1-85EB-D977187EF5D2}"/>
    <cellStyle name="Verknüpfte Zelle 2 4 3 2" xfId="38826" xr:uid="{B494FCBC-8BA2-40BE-925A-9C666C177412}"/>
    <cellStyle name="Verknüpfte Zelle 2 4 4" xfId="19394" xr:uid="{33F6349F-AE98-423F-88C8-3DFD91337061}"/>
    <cellStyle name="Verknüpfte Zelle 2 4 4 2" xfId="38827" xr:uid="{FFE26AF4-63C8-481D-BBED-7A91E8513C33}"/>
    <cellStyle name="Verknüpfte Zelle 2 4 5" xfId="38823" xr:uid="{3F333FA8-625E-40AE-B9B6-F82D70E78A32}"/>
    <cellStyle name="Verknüpfte Zelle 2 5" xfId="19395" xr:uid="{6957AD40-C0D9-4905-A612-5C5C993959A4}"/>
    <cellStyle name="Verknüpfte Zelle 2 5 2" xfId="38828" xr:uid="{CADBD8E7-90B5-4CE8-A4D2-25130BBDC8D6}"/>
    <cellStyle name="Verknüpfte Zelle 2 6" xfId="19396" xr:uid="{23E6BCF8-CAE6-4AEE-9889-8ECDDDB82F5D}"/>
    <cellStyle name="Verknüpfte Zelle 2 6 2" xfId="19397" xr:uid="{EB02C82E-2D64-47F1-B1B8-C1620BB91DC7}"/>
    <cellStyle name="Verknüpfte Zelle 2 6 2 2" xfId="38830" xr:uid="{07BE31F2-8AC2-4B14-A323-67410E8E891D}"/>
    <cellStyle name="Verknüpfte Zelle 2 6 3" xfId="38829" xr:uid="{856604AE-B33D-4F22-94F2-69629162C660}"/>
    <cellStyle name="Verknüpfte Zelle 2 7" xfId="19398" xr:uid="{5148CA5C-08B7-4C55-BAB0-328E0D24BA07}"/>
    <cellStyle name="Verknüpfte Zelle 2 7 2" xfId="38831" xr:uid="{96D5B3EC-2B2D-48C5-8570-2377581400FE}"/>
    <cellStyle name="Verknüpfte Zelle 2 8" xfId="19399" xr:uid="{88B630E2-F299-4FBA-95A5-937AA288E5EB}"/>
    <cellStyle name="Verknüpfte Zelle 2 8 2" xfId="19400" xr:uid="{79844FB4-ED4F-4C9E-9EF0-3B5C37F10F17}"/>
    <cellStyle name="Verknüpfte Zelle 2 8 2 2" xfId="38833" xr:uid="{04E4AFE9-4EEA-4346-9269-FFD92F7F0C0D}"/>
    <cellStyle name="Verknüpfte Zelle 2 8 3" xfId="38832" xr:uid="{43A9C13B-F28A-4F3B-8562-F119811C42CA}"/>
    <cellStyle name="Verknüpfte Zelle 2 9" xfId="19401" xr:uid="{65E85DD2-231B-48FB-A676-2E38B7631FC7}"/>
    <cellStyle name="Verknüpfte Zelle 2 9 2" xfId="38834" xr:uid="{118B422C-2635-45EE-85D1-A3E652473855}"/>
    <cellStyle name="Verknüpfte Zelle 20" xfId="19402" xr:uid="{29DB2EBC-202C-431A-B5BB-2ED9D3E03B2D}"/>
    <cellStyle name="Verknüpfte Zelle 20 2" xfId="19403" xr:uid="{EF4D882F-C970-420F-9F97-21810383496F}"/>
    <cellStyle name="Verknüpfte Zelle 20 2 2" xfId="38836" xr:uid="{79DEE531-1409-4AE7-A3E6-B0756DC25B1B}"/>
    <cellStyle name="Verknüpfte Zelle 20 3" xfId="19404" xr:uid="{CE9E7CB2-4360-4FF6-BDA0-ABA47DE96B9D}"/>
    <cellStyle name="Verknüpfte Zelle 20 3 2" xfId="38837" xr:uid="{CE585B1A-0260-4B11-A361-173154776181}"/>
    <cellStyle name="Verknüpfte Zelle 20 4" xfId="38835" xr:uid="{DF5BA5E2-927B-4891-ADA4-0F42F9DE51F7}"/>
    <cellStyle name="Verknüpfte Zelle 21" xfId="19405" xr:uid="{AAADCC53-9A2A-4F31-BBBA-83A154D54465}"/>
    <cellStyle name="Verknüpfte Zelle 21 2" xfId="19406" xr:uid="{DBE5E6DE-02B8-4C74-985F-76303BC27E1E}"/>
    <cellStyle name="Verknüpfte Zelle 21 2 2" xfId="38839" xr:uid="{67CDCA30-D4EA-4A08-93B5-E2CFF4C39F12}"/>
    <cellStyle name="Verknüpfte Zelle 21 3" xfId="19407" xr:uid="{A86C3752-32EA-4426-88CD-58BC5B65B00C}"/>
    <cellStyle name="Verknüpfte Zelle 21 3 2" xfId="38840" xr:uid="{78C9F005-B29A-479C-98CC-F3B6A7426C43}"/>
    <cellStyle name="Verknüpfte Zelle 21 4" xfId="38838" xr:uid="{1128DEDF-4081-4C1E-848B-59D5FEFCAFA7}"/>
    <cellStyle name="Verknüpfte Zelle 22" xfId="19408" xr:uid="{2920402E-F257-48AB-B3BE-470539594A20}"/>
    <cellStyle name="Verknüpfte Zelle 22 2" xfId="19409" xr:uid="{AB397AA4-7764-48B1-A125-BE8B0F0BCF57}"/>
    <cellStyle name="Verknüpfte Zelle 22 2 2" xfId="38842" xr:uid="{5CE1C7F8-8CDB-400E-AD98-300FFFDE2C6E}"/>
    <cellStyle name="Verknüpfte Zelle 22 3" xfId="19410" xr:uid="{F51D4612-17D8-4714-8866-77339893C54B}"/>
    <cellStyle name="Verknüpfte Zelle 22 3 2" xfId="38843" xr:uid="{E38EDCD6-E563-4EC2-9AA7-BAAF4D8A6D9C}"/>
    <cellStyle name="Verknüpfte Zelle 22 4" xfId="38841" xr:uid="{F7C237BA-7EEA-44B2-A56D-ADB4880C498B}"/>
    <cellStyle name="Verknüpfte Zelle 23" xfId="19411" xr:uid="{5D5AE336-4AEE-4926-A792-FD44C927B573}"/>
    <cellStyle name="Verknüpfte Zelle 23 2" xfId="19412" xr:uid="{54F127FB-4B04-4F9E-952C-14CCA98C0941}"/>
    <cellStyle name="Verknüpfte Zelle 23 2 2" xfId="38845" xr:uid="{942C1E7E-4CEC-4FAA-AD45-F96ED1C4EC83}"/>
    <cellStyle name="Verknüpfte Zelle 23 3" xfId="19413" xr:uid="{37D12BA5-48BF-460C-B1CA-4DB8DF3B8129}"/>
    <cellStyle name="Verknüpfte Zelle 23 3 2" xfId="38846" xr:uid="{8CDC53C9-80A0-416E-B480-A8D4F79F8686}"/>
    <cellStyle name="Verknüpfte Zelle 23 4" xfId="38844" xr:uid="{211013A4-67C6-449A-ABE1-CA09FE5A76B6}"/>
    <cellStyle name="Verknüpfte Zelle 24" xfId="19414" xr:uid="{90D65822-C963-48D2-B484-4810B024FCD8}"/>
    <cellStyle name="Verknüpfte Zelle 24 2" xfId="19415" xr:uid="{59B8C873-843E-45D9-B18B-17ED3D097F9A}"/>
    <cellStyle name="Verknüpfte Zelle 24 2 2" xfId="38848" xr:uid="{866D5D60-32A2-4F7D-8AAB-C43407895325}"/>
    <cellStyle name="Verknüpfte Zelle 24 3" xfId="19416" xr:uid="{9C900084-E432-4BC6-B35E-ECEF5F2F01A7}"/>
    <cellStyle name="Verknüpfte Zelle 24 3 2" xfId="38849" xr:uid="{CAA61BE2-6B64-4E06-A921-C9E4BBF6D2AA}"/>
    <cellStyle name="Verknüpfte Zelle 24 4" xfId="38847" xr:uid="{E9C8F8A3-021F-4542-BC57-DB17ECAB9419}"/>
    <cellStyle name="Verknüpfte Zelle 25" xfId="19417" xr:uid="{027F4B83-A900-45D7-9414-B068E437FCBB}"/>
    <cellStyle name="Verknüpfte Zelle 25 2" xfId="19418" xr:uid="{0B434EC3-D0F3-436A-A9D6-236E758DD201}"/>
    <cellStyle name="Verknüpfte Zelle 25 2 2" xfId="38851" xr:uid="{3E122913-C1A4-4E4F-9183-9C0E7C67A4B4}"/>
    <cellStyle name="Verknüpfte Zelle 25 3" xfId="19419" xr:uid="{5ED9833C-0EA5-4A01-9ECD-5D4D73DE4FD1}"/>
    <cellStyle name="Verknüpfte Zelle 25 3 2" xfId="38852" xr:uid="{938E46DC-DF6B-43BB-8A40-EB2FCFCF6F97}"/>
    <cellStyle name="Verknüpfte Zelle 25 4" xfId="38850" xr:uid="{CA097656-DBCA-4A2B-AFEA-E8ED08BED6E9}"/>
    <cellStyle name="Verknüpfte Zelle 26" xfId="19420" xr:uid="{C7BB022F-744C-4B08-83AD-60742EEC6198}"/>
    <cellStyle name="Verknüpfte Zelle 26 2" xfId="19421" xr:uid="{A5EDDA94-EE63-41DD-A517-DCD3289957D6}"/>
    <cellStyle name="Verknüpfte Zelle 26 2 2" xfId="38854" xr:uid="{A0CBEA33-5E52-4304-A2E5-3D6666F22F64}"/>
    <cellStyle name="Verknüpfte Zelle 26 3" xfId="19422" xr:uid="{907FDC91-8F1B-4EA1-9A87-2270C727EAB3}"/>
    <cellStyle name="Verknüpfte Zelle 26 3 2" xfId="38855" xr:uid="{90D39DE2-6A33-41D3-83F3-283567D48729}"/>
    <cellStyle name="Verknüpfte Zelle 26 4" xfId="38853" xr:uid="{704FFF42-A2A1-4091-A330-A1934E1D9A48}"/>
    <cellStyle name="Verknüpfte Zelle 27" xfId="19423" xr:uid="{2958B842-D6B9-4714-BAAE-6A345609ED2E}"/>
    <cellStyle name="Verknüpfte Zelle 27 2" xfId="19424" xr:uid="{3E978F00-1C07-4FF5-B58B-13EDB8CCBE28}"/>
    <cellStyle name="Verknüpfte Zelle 27 2 2" xfId="38857" xr:uid="{22D6999C-6875-4E9B-B7B7-6CDC761CC43E}"/>
    <cellStyle name="Verknüpfte Zelle 27 3" xfId="19425" xr:uid="{AF2E1588-3922-478B-A393-8B1B0B21F9E9}"/>
    <cellStyle name="Verknüpfte Zelle 27 3 2" xfId="38858" xr:uid="{1DDBA30F-FEF7-4094-B7AF-AA51A2202459}"/>
    <cellStyle name="Verknüpfte Zelle 27 4" xfId="38856" xr:uid="{3A66E632-9881-4299-8F3D-B148C2D5B821}"/>
    <cellStyle name="Verknüpfte Zelle 28" xfId="19426" xr:uid="{E5720544-55D2-4C5D-80EB-B49BEE811903}"/>
    <cellStyle name="Verknüpfte Zelle 28 2" xfId="19427" xr:uid="{16A7BDDD-44D7-4AA4-A6CB-34109BE90019}"/>
    <cellStyle name="Verknüpfte Zelle 28 2 2" xfId="38860" xr:uid="{0CF27A87-AEBE-4884-9CB8-18BB1CEA6861}"/>
    <cellStyle name="Verknüpfte Zelle 28 3" xfId="19428" xr:uid="{51BE4DF9-752D-468B-8EB6-03D7BD6FAEFE}"/>
    <cellStyle name="Verknüpfte Zelle 28 3 2" xfId="38861" xr:uid="{011E059D-8675-4D84-90B9-85C1A041983E}"/>
    <cellStyle name="Verknüpfte Zelle 28 4" xfId="38859" xr:uid="{FA90AFFE-613B-4620-A755-51C7970036C3}"/>
    <cellStyle name="Verknüpfte Zelle 29" xfId="19429" xr:uid="{0C24430E-FF25-4976-8868-155C14D7DC74}"/>
    <cellStyle name="Verknüpfte Zelle 29 2" xfId="19430" xr:uid="{96DF9827-6EC2-4FE7-97AE-D5646A490220}"/>
    <cellStyle name="Verknüpfte Zelle 29 2 2" xfId="38863" xr:uid="{A0E62E18-7C00-471B-B984-8CB8F34B0B01}"/>
    <cellStyle name="Verknüpfte Zelle 29 3" xfId="19431" xr:uid="{2A2B2956-98CC-43F4-B81E-ABF861E51435}"/>
    <cellStyle name="Verknüpfte Zelle 29 3 2" xfId="38864" xr:uid="{3FCD5465-E5DD-4F41-9ACA-6761CA86F348}"/>
    <cellStyle name="Verknüpfte Zelle 29 4" xfId="38862" xr:uid="{2148ED35-DF06-44A6-9DD3-5CB0D69CF553}"/>
    <cellStyle name="Verknüpfte Zelle 3" xfId="19432" xr:uid="{A43C9365-0B17-4991-8E18-4C25F00C2838}"/>
    <cellStyle name="Verknüpfte Zelle 3 10" xfId="39885" xr:uid="{19FACFED-9B04-4A86-8417-F48CE8128BDA}"/>
    <cellStyle name="Verknüpfte Zelle 3 2" xfId="19433" xr:uid="{9A7DDAC7-3576-43A0-92D7-45A26F0E6E9B}"/>
    <cellStyle name="Verknüpfte Zelle 3 2 2" xfId="19434" xr:uid="{9CC33EC8-5B8C-4AF4-9177-6B82B926A329}"/>
    <cellStyle name="Verknüpfte Zelle 3 2 2 2" xfId="19435" xr:uid="{91E3AE80-40B8-4075-B831-B5CCFF397994}"/>
    <cellStyle name="Verknüpfte Zelle 3 2 2 2 2" xfId="38868" xr:uid="{BD9C6E50-E60D-4DB6-AA18-B2B415EE684B}"/>
    <cellStyle name="Verknüpfte Zelle 3 2 2 3" xfId="38867" xr:uid="{30DC42B3-40C4-4F3D-8AF5-501960779D3A}"/>
    <cellStyle name="Verknüpfte Zelle 3 2 3" xfId="19436" xr:uid="{D1D46602-C903-472F-953A-D8EBFC55BBA4}"/>
    <cellStyle name="Verknüpfte Zelle 3 2 3 2" xfId="38869" xr:uid="{4472D087-B519-4500-9031-91D89F252E5B}"/>
    <cellStyle name="Verknüpfte Zelle 3 2 4" xfId="19437" xr:uid="{13DF02CE-6066-4E64-8682-27056F27F976}"/>
    <cellStyle name="Verknüpfte Zelle 3 2 4 2" xfId="38870" xr:uid="{BD7F7083-B475-4FFF-B22B-FDD67A43C38F}"/>
    <cellStyle name="Verknüpfte Zelle 3 2 5" xfId="38866" xr:uid="{FE6746D4-C404-4673-A97D-166BEE79AD13}"/>
    <cellStyle name="Verknüpfte Zelle 3 2 6" xfId="40397" xr:uid="{21607006-92C2-4287-8D1F-BD77C581B6BF}"/>
    <cellStyle name="Verknüpfte Zelle 3 3" xfId="19438" xr:uid="{08DDC7DC-0270-4C3A-859D-7F4D0D27030E}"/>
    <cellStyle name="Verknüpfte Zelle 3 3 2" xfId="38871" xr:uid="{9B940856-D664-42E5-92D3-59E4369CCCE6}"/>
    <cellStyle name="Verknüpfte Zelle 3 4" xfId="19439" xr:uid="{A528851D-4553-4168-A90D-4D36B236F848}"/>
    <cellStyle name="Verknüpfte Zelle 3 4 2" xfId="38872" xr:uid="{4AC6603D-0331-40FC-B7F2-41EEAE3F62D7}"/>
    <cellStyle name="Verknüpfte Zelle 3 5" xfId="19440" xr:uid="{5FCCEDE1-A5FE-4118-8EA3-F89329ABEE04}"/>
    <cellStyle name="Verknüpfte Zelle 3 5 2" xfId="19441" xr:uid="{D6CC1D28-CC33-4F2E-84C0-48A134D29246}"/>
    <cellStyle name="Verknüpfte Zelle 3 5 2 2" xfId="38874" xr:uid="{950B848F-0F32-43D8-A636-CB9CE3C84811}"/>
    <cellStyle name="Verknüpfte Zelle 3 5 3" xfId="38873" xr:uid="{EB6DAFC3-CAC7-4585-BB72-4E5F8298D5AC}"/>
    <cellStyle name="Verknüpfte Zelle 3 6" xfId="19442" xr:uid="{DE022531-A1A6-400B-9933-4B173CD2B9CF}"/>
    <cellStyle name="Verknüpfte Zelle 3 6 2" xfId="38875" xr:uid="{EDD7086A-DE42-4D0B-B4AB-A5D7B4E104DB}"/>
    <cellStyle name="Verknüpfte Zelle 3 7" xfId="19443" xr:uid="{4F5C3F5A-51F3-4177-80CF-C99EF47F9067}"/>
    <cellStyle name="Verknüpfte Zelle 3 7 2" xfId="38876" xr:uid="{3044D3C5-7CFC-41B1-89EA-A9C0D3630B92}"/>
    <cellStyle name="Verknüpfte Zelle 3 8" xfId="19444" xr:uid="{1F69D257-C9B3-4EE0-BC26-32BEBB55A4EB}"/>
    <cellStyle name="Verknüpfte Zelle 3 8 2" xfId="38877" xr:uid="{8EFE399C-AA03-4CE2-AC31-70AF77D6B361}"/>
    <cellStyle name="Verknüpfte Zelle 3 9" xfId="38865" xr:uid="{5AF5DAAB-089A-42A6-AAA4-C999D1AD3300}"/>
    <cellStyle name="Verknüpfte Zelle 30" xfId="19445" xr:uid="{446F7DBC-05EE-45DB-AD5E-610C703C8E85}"/>
    <cellStyle name="Verknüpfte Zelle 30 2" xfId="19446" xr:uid="{6BC3F750-5E6A-47ED-A51A-78302B05ECDF}"/>
    <cellStyle name="Verknüpfte Zelle 30 2 2" xfId="38879" xr:uid="{66FB49A6-CEAA-451E-AA4E-805B6738945D}"/>
    <cellStyle name="Verknüpfte Zelle 30 3" xfId="19447" xr:uid="{EB938F81-514C-4A39-AC7D-C92A87D0850E}"/>
    <cellStyle name="Verknüpfte Zelle 30 3 2" xfId="38880" xr:uid="{017787BA-2BA8-4FA7-A6C8-B828283D34DE}"/>
    <cellStyle name="Verknüpfte Zelle 30 4" xfId="38878" xr:uid="{0F748868-710D-4981-8188-6A2DE3258F89}"/>
    <cellStyle name="Verknüpfte Zelle 31" xfId="19448" xr:uid="{21DD9883-791A-460A-B1E4-B2CD923C77AB}"/>
    <cellStyle name="Verknüpfte Zelle 31 2" xfId="19449" xr:uid="{2561B218-7AE6-4597-AF68-D3D5D6F1B150}"/>
    <cellStyle name="Verknüpfte Zelle 31 2 2" xfId="38882" xr:uid="{8D2DA1C8-48A5-4F9E-8AEE-327D8271641F}"/>
    <cellStyle name="Verknüpfte Zelle 31 3" xfId="19450" xr:uid="{D841197A-6E89-4349-B887-6E15DBA0AEA8}"/>
    <cellStyle name="Verknüpfte Zelle 31 3 2" xfId="38883" xr:uid="{157DC599-030A-4646-A09F-3CDFF2D3A2F0}"/>
    <cellStyle name="Verknüpfte Zelle 31 4" xfId="38881" xr:uid="{59C5AD66-527C-4CBB-8DA6-9112CBF542B7}"/>
    <cellStyle name="Verknüpfte Zelle 32" xfId="19451" xr:uid="{C44873C6-5763-44C2-AD87-14AB39E32410}"/>
    <cellStyle name="Verknüpfte Zelle 32 2" xfId="19452" xr:uid="{6E9ADB02-4522-4D12-BFDF-066C2AC299FF}"/>
    <cellStyle name="Verknüpfte Zelle 32 2 2" xfId="38885" xr:uid="{6E1D4FEB-E12E-45C6-B988-5E387BC0AD87}"/>
    <cellStyle name="Verknüpfte Zelle 32 3" xfId="19453" xr:uid="{6CABC6BE-1045-444B-83F7-F088D9797C52}"/>
    <cellStyle name="Verknüpfte Zelle 32 3 2" xfId="38886" xr:uid="{5ABA5FDD-B9F0-480B-A167-975001761EE2}"/>
    <cellStyle name="Verknüpfte Zelle 32 4" xfId="38884" xr:uid="{1C503CC9-017C-4FA6-8817-6EF9641759BE}"/>
    <cellStyle name="Verknüpfte Zelle 33" xfId="19454" xr:uid="{62BA9B6D-6844-4470-B584-CA8BBD220E11}"/>
    <cellStyle name="Verknüpfte Zelle 33 2" xfId="19455" xr:uid="{89A2810C-B3AA-4C92-A787-08A7EC8E32B6}"/>
    <cellStyle name="Verknüpfte Zelle 33 2 2" xfId="38888" xr:uid="{BDA24F60-DBAE-4F96-AA19-A91F67CB752C}"/>
    <cellStyle name="Verknüpfte Zelle 33 3" xfId="19456" xr:uid="{5A83A96B-7483-4DCE-B0BB-0F0C152AF99F}"/>
    <cellStyle name="Verknüpfte Zelle 33 3 2" xfId="38889" xr:uid="{781C7259-9383-4318-8A72-9C5959461718}"/>
    <cellStyle name="Verknüpfte Zelle 33 4" xfId="38887" xr:uid="{100F013F-5C9E-4CD9-8AFF-2FAC65AF7DDF}"/>
    <cellStyle name="Verknüpfte Zelle 34" xfId="19457" xr:uid="{84F5AEA8-6C52-4A48-B7B5-C708BCDC97E5}"/>
    <cellStyle name="Verknüpfte Zelle 34 2" xfId="19458" xr:uid="{57AB5682-5F35-4DB1-BE39-71E9B6B23D7D}"/>
    <cellStyle name="Verknüpfte Zelle 34 2 2" xfId="38891" xr:uid="{B0160F94-C292-4229-8C7C-5112FA3E4F95}"/>
    <cellStyle name="Verknüpfte Zelle 34 3" xfId="19459" xr:uid="{732B694B-3E07-48AD-81B4-A158B47A8558}"/>
    <cellStyle name="Verknüpfte Zelle 34 3 2" xfId="38892" xr:uid="{16E0FE07-1075-48AD-9780-08C00AF3BFD9}"/>
    <cellStyle name="Verknüpfte Zelle 34 4" xfId="38890" xr:uid="{CCCE85C8-DCB7-4BA4-BE9A-A737D23D5C7A}"/>
    <cellStyle name="Verknüpfte Zelle 35" xfId="19460" xr:uid="{3FA5375C-D621-42DD-9D9B-775BC8BC05A2}"/>
    <cellStyle name="Verknüpfte Zelle 35 2" xfId="19461" xr:uid="{FEC3D67A-E6FE-48ED-A82F-F11C7AD04934}"/>
    <cellStyle name="Verknüpfte Zelle 35 2 2" xfId="38894" xr:uid="{C4A36842-3544-454D-8545-798B22E16DF5}"/>
    <cellStyle name="Verknüpfte Zelle 35 3" xfId="19462" xr:uid="{BCBA5BF7-998F-405F-8D10-7CE51266C213}"/>
    <cellStyle name="Verknüpfte Zelle 35 3 2" xfId="38895" xr:uid="{B417A725-BD53-4FDE-B07C-EE23CE805834}"/>
    <cellStyle name="Verknüpfte Zelle 35 4" xfId="38893" xr:uid="{99959456-8F27-4347-92E9-82509AA3A366}"/>
    <cellStyle name="Verknüpfte Zelle 36" xfId="19463" xr:uid="{B36AFB14-A589-4B7F-848E-0836964EDCA7}"/>
    <cellStyle name="Verknüpfte Zelle 36 2" xfId="19464" xr:uid="{D15B6D62-83A4-4E0E-B3A2-92706CFD04A2}"/>
    <cellStyle name="Verknüpfte Zelle 36 2 2" xfId="38897" xr:uid="{A03E9E1A-7E74-435D-9A38-4EC13E0D3A1E}"/>
    <cellStyle name="Verknüpfte Zelle 36 3" xfId="19465" xr:uid="{77286BB8-577B-4343-A5C8-339ABFDF554B}"/>
    <cellStyle name="Verknüpfte Zelle 36 3 2" xfId="38898" xr:uid="{0A8850DC-ABA1-493C-BA65-BFCFEC9A9D81}"/>
    <cellStyle name="Verknüpfte Zelle 36 4" xfId="38896" xr:uid="{6F9ACC17-7BC6-4297-AB5F-FE2014C82DFF}"/>
    <cellStyle name="Verknüpfte Zelle 37" xfId="38749" xr:uid="{19D68FC6-7980-403F-BD8A-9CFAD10B40C7}"/>
    <cellStyle name="Verknüpfte Zelle 38" xfId="40413" xr:uid="{EFC5EB76-A635-4032-9C9A-58C409BEC8E7}"/>
    <cellStyle name="Verknüpfte Zelle 39" xfId="19316" xr:uid="{1A3D6B2A-8E4B-44F9-8624-B1FD87ECC539}"/>
    <cellStyle name="Verknüpfte Zelle 4" xfId="19466" xr:uid="{9A60A17B-7ECD-4DE6-8984-4A593C3484C1}"/>
    <cellStyle name="Verknüpfte Zelle 4 2" xfId="19467" xr:uid="{9872DB26-435F-4994-9D1C-D1958702CE2F}"/>
    <cellStyle name="Verknüpfte Zelle 4 2 2" xfId="19468" xr:uid="{59C412C7-28A9-4A74-879E-B1F3F11955EC}"/>
    <cellStyle name="Verknüpfte Zelle 4 2 2 2" xfId="38901" xr:uid="{37A7A8B6-EAE5-4D9C-84E4-8BAB475C2876}"/>
    <cellStyle name="Verknüpfte Zelle 4 2 3" xfId="38900" xr:uid="{78ABF60F-4971-4520-A394-EF200D874772}"/>
    <cellStyle name="Verknüpfte Zelle 4 2 4" xfId="40398" xr:uid="{24742AF5-6E40-4B19-9A45-181F5B107241}"/>
    <cellStyle name="Verknüpfte Zelle 4 3" xfId="19469" xr:uid="{0F337C23-1E6D-4333-B47C-D596B230CBD1}"/>
    <cellStyle name="Verknüpfte Zelle 4 3 2" xfId="38902" xr:uid="{10D685FC-55A2-4B0F-8F94-6FD56100AFDA}"/>
    <cellStyle name="Verknüpfte Zelle 4 4" xfId="19470" xr:uid="{CABD7CA9-70CE-4DCB-BF28-7E82CEB598CB}"/>
    <cellStyle name="Verknüpfte Zelle 4 4 2" xfId="38903" xr:uid="{7CA393EA-E02C-4230-89E0-A07E6CA4AE0F}"/>
    <cellStyle name="Verknüpfte Zelle 4 5" xfId="19471" xr:uid="{E9B47D35-B705-4FCC-9C24-ACA8229002DD}"/>
    <cellStyle name="Verknüpfte Zelle 4 5 2" xfId="38904" xr:uid="{C75D2E44-85EE-44A8-A066-8E65EFC4A26B}"/>
    <cellStyle name="Verknüpfte Zelle 4 6" xfId="19472" xr:uid="{FA911B61-7039-40A5-89CD-3138A93CCDFB}"/>
    <cellStyle name="Verknüpfte Zelle 4 6 2" xfId="38905" xr:uid="{4542917C-008D-49D0-AC73-8D0CFCF5A263}"/>
    <cellStyle name="Verknüpfte Zelle 4 7" xfId="38899" xr:uid="{DC8D3792-9F56-4043-B462-BCEB0A8CC8FE}"/>
    <cellStyle name="Verknüpfte Zelle 4 8" xfId="39886" xr:uid="{B16F1C44-2C6C-4DE5-936B-BCA3F8A34B22}"/>
    <cellStyle name="Verknüpfte Zelle 40" xfId="51" xr:uid="{27554BB2-DDE3-4DFB-9867-8C32466F8083}"/>
    <cellStyle name="Verknüpfte Zelle 5" xfId="19473" xr:uid="{BF593DE5-E368-4D66-B3EC-E8ED41534751}"/>
    <cellStyle name="Verknüpfte Zelle 5 2" xfId="19474" xr:uid="{0C3AB2EF-C970-4B66-AB11-DA579A73DC4E}"/>
    <cellStyle name="Verknüpfte Zelle 5 2 2" xfId="38907" xr:uid="{0AF9D42A-9945-4B68-BC83-F650D51AE311}"/>
    <cellStyle name="Verknüpfte Zelle 5 3" xfId="19475" xr:uid="{D49EB227-DE58-4764-97C4-221C01AFE209}"/>
    <cellStyle name="Verknüpfte Zelle 5 3 2" xfId="38908" xr:uid="{604036F6-4872-4DAC-9BE2-4F32E7DC1AEC}"/>
    <cellStyle name="Verknüpfte Zelle 5 4" xfId="19476" xr:uid="{B6F268D8-1C36-4430-AA2D-5AAD2429D44D}"/>
    <cellStyle name="Verknüpfte Zelle 5 4 2" xfId="38909" xr:uid="{071032A9-9655-491C-8124-5668E8F5898A}"/>
    <cellStyle name="Verknüpfte Zelle 5 5" xfId="19477" xr:uid="{EF6613E1-8317-410F-9AA8-93113FF37554}"/>
    <cellStyle name="Verknüpfte Zelle 5 5 2" xfId="38910" xr:uid="{38337AF9-8619-431F-9047-907ECC852B24}"/>
    <cellStyle name="Verknüpfte Zelle 5 6" xfId="38906" xr:uid="{FB2B49BB-EA92-4EAD-9619-730C0C8F51E8}"/>
    <cellStyle name="Verknüpfte Zelle 5 7" xfId="39887" xr:uid="{76FDFA66-9F11-4976-BD87-CE438D3EEF3F}"/>
    <cellStyle name="Verknüpfte Zelle 6" xfId="19478" xr:uid="{39C96304-06CF-4F2A-B5E6-53EB3F418336}"/>
    <cellStyle name="Verknüpfte Zelle 6 2" xfId="19479" xr:uid="{DE1AE460-2658-4EEF-B466-90BAFF7A4615}"/>
    <cellStyle name="Verknüpfte Zelle 6 2 2" xfId="38912" xr:uid="{F6054688-DD5C-4F2E-B0C2-8D0390772934}"/>
    <cellStyle name="Verknüpfte Zelle 6 3" xfId="19480" xr:uid="{0F32F593-6EE0-48CF-9E49-8E925A756C5C}"/>
    <cellStyle name="Verknüpfte Zelle 6 3 2" xfId="38913" xr:uid="{4917D9E8-06A5-4E85-8B43-04EDB687D0AF}"/>
    <cellStyle name="Verknüpfte Zelle 6 4" xfId="19481" xr:uid="{34A1C90A-8876-4416-A935-0769E2C099E2}"/>
    <cellStyle name="Verknüpfte Zelle 6 4 2" xfId="38914" xr:uid="{2F03758D-EE3D-466B-8E6B-F14BC50400AC}"/>
    <cellStyle name="Verknüpfte Zelle 6 5" xfId="19482" xr:uid="{06A7269B-C7BF-47B5-89F4-0526141661A9}"/>
    <cellStyle name="Verknüpfte Zelle 6 5 2" xfId="38915" xr:uid="{1E1C979C-B52D-431F-8A7A-0EB223DACDCB}"/>
    <cellStyle name="Verknüpfte Zelle 6 6" xfId="38911" xr:uid="{7A174213-538C-41BA-B735-E8FA6DE7F1BA}"/>
    <cellStyle name="Verknüpfte Zelle 6 7" xfId="39882" xr:uid="{CC0FC199-A526-4BD4-BB13-3616A9A85641}"/>
    <cellStyle name="Verknüpfte Zelle 7" xfId="19483" xr:uid="{47B45F5F-901A-4068-9FBE-906DF971919E}"/>
    <cellStyle name="Verknüpfte Zelle 7 2" xfId="19484" xr:uid="{CB6EF7B0-DFEA-4CB6-A90D-C2F2C40C4B5B}"/>
    <cellStyle name="Verknüpfte Zelle 7 2 2" xfId="38917" xr:uid="{1BADEEFC-C233-405B-BE8E-8701D5CBC8E9}"/>
    <cellStyle name="Verknüpfte Zelle 7 3" xfId="38916" xr:uid="{A8DC7456-157A-4D9D-926D-1D76EF45D337}"/>
    <cellStyle name="Verknüpfte Zelle 8" xfId="19485" xr:uid="{0D056C87-FD32-4FC2-B065-8612CAD430C6}"/>
    <cellStyle name="Verknüpfte Zelle 8 2" xfId="19486" xr:uid="{4E7AC0EC-340D-4275-8202-B58EEA8C9574}"/>
    <cellStyle name="Verknüpfte Zelle 8 2 2" xfId="38919" xr:uid="{4B2FD9AA-276E-41D1-8A7A-BB31F5C67EA8}"/>
    <cellStyle name="Verknüpfte Zelle 8 3" xfId="38918" xr:uid="{B2596B9A-2C72-4667-BC56-23FB7F2869F9}"/>
    <cellStyle name="Verknüpfte Zelle 9" xfId="19487" xr:uid="{5B046FBA-166B-4212-B5B8-C3D51F279A07}"/>
    <cellStyle name="Verknüpfte Zelle 9 2" xfId="19488" xr:uid="{C60BCFBD-E838-48B0-889F-4E0A4D630682}"/>
    <cellStyle name="Verknüpfte Zelle 9 2 2" xfId="38921" xr:uid="{2D5C779D-D319-4DB0-93DF-A30C53301CE6}"/>
    <cellStyle name="Verknüpfte Zelle 9 3" xfId="38920" xr:uid="{322F61F5-B66A-4D3A-894D-02779D470BCB}"/>
    <cellStyle name="Warnender Text 10" xfId="19490" xr:uid="{E35172E8-2975-4FFE-994F-494850B7980E}"/>
    <cellStyle name="Warnender Text 10 2" xfId="19491" xr:uid="{60EFE031-1582-442E-9614-1181543DA2D1}"/>
    <cellStyle name="Warnender Text 10 2 2" xfId="38924" xr:uid="{6BBA35BE-037E-483E-884F-BCF1C598F0E8}"/>
    <cellStyle name="Warnender Text 10 3" xfId="38923" xr:uid="{8E0701A2-154D-4D24-BF4A-7448284A2927}"/>
    <cellStyle name="Warnender Text 11" xfId="19492" xr:uid="{6EAAD816-A7B7-4EA3-AA8A-A6A5038EB89A}"/>
    <cellStyle name="Warnender Text 11 2" xfId="19493" xr:uid="{B878164F-C288-4F25-A706-D5E03F2AAA2B}"/>
    <cellStyle name="Warnender Text 11 2 2" xfId="38926" xr:uid="{E0E3AB7C-ACD2-4CDE-B053-F215685B5DDB}"/>
    <cellStyle name="Warnender Text 11 3" xfId="38925" xr:uid="{298AAB89-E903-434C-90BF-07FBE4604EAB}"/>
    <cellStyle name="Warnender Text 12" xfId="19494" xr:uid="{9CE633AC-11EC-45CF-8A45-EE8E3B4E42F2}"/>
    <cellStyle name="Warnender Text 12 2" xfId="19495" xr:uid="{1885506C-934F-4A51-8368-BCF9E88821C5}"/>
    <cellStyle name="Warnender Text 12 2 2" xfId="38928" xr:uid="{F3FC4534-EA1C-495E-ACA1-5A6D321C172B}"/>
    <cellStyle name="Warnender Text 12 3" xfId="38927" xr:uid="{CEDADA86-9CBA-471A-B70A-133C18A01A6D}"/>
    <cellStyle name="Warnender Text 13" xfId="19496" xr:uid="{F47D6A4B-AFB5-41FC-A1A1-9B4123CEFDE6}"/>
    <cellStyle name="Warnender Text 13 2" xfId="19497" xr:uid="{D3EEC89B-F0B9-44C1-B9FC-C3DE8F41D1CD}"/>
    <cellStyle name="Warnender Text 13 2 2" xfId="38930" xr:uid="{FD04E625-0C27-47F7-83EF-2629EB4CD3A1}"/>
    <cellStyle name="Warnender Text 13 3" xfId="38929" xr:uid="{0DB0538C-D5B7-4EB6-B9A3-69D02874E804}"/>
    <cellStyle name="Warnender Text 14" xfId="19498" xr:uid="{AAAD61C8-A87E-40B2-B9B0-631D6ADCA90C}"/>
    <cellStyle name="Warnender Text 14 2" xfId="19499" xr:uid="{60779BEB-B40D-40B6-AC8B-D8E348CF4286}"/>
    <cellStyle name="Warnender Text 14 2 2" xfId="38932" xr:uid="{DB2ADA59-A629-4E64-BCAC-C289920F346F}"/>
    <cellStyle name="Warnender Text 14 3" xfId="19500" xr:uid="{A6169639-6136-456F-951E-F40FC313B369}"/>
    <cellStyle name="Warnender Text 14 3 2" xfId="38933" xr:uid="{F12E593A-7E80-4E1B-9AD7-F2574D16C6A4}"/>
    <cellStyle name="Warnender Text 14 4" xfId="38931" xr:uid="{9CBC4CD7-C63D-47BB-8CE1-AF56BA709FEC}"/>
    <cellStyle name="Warnender Text 15" xfId="19501" xr:uid="{082075CF-478D-4D15-952B-D8C8F778D542}"/>
    <cellStyle name="Warnender Text 15 2" xfId="19502" xr:uid="{AFF79CD3-0B9C-44A7-8630-D338ECFF5934}"/>
    <cellStyle name="Warnender Text 15 2 2" xfId="38935" xr:uid="{12DD910E-77AE-45A8-9510-C350A64EC7ED}"/>
    <cellStyle name="Warnender Text 15 3" xfId="19503" xr:uid="{B1604497-A05E-453C-967E-29AC1FB5B940}"/>
    <cellStyle name="Warnender Text 15 3 2" xfId="38936" xr:uid="{202CCE17-B8BA-49D2-B7D8-8BED7F0A9B67}"/>
    <cellStyle name="Warnender Text 15 4" xfId="38934" xr:uid="{A043F971-8654-41A4-9A1F-A83EC89B9629}"/>
    <cellStyle name="Warnender Text 16" xfId="19504" xr:uid="{47098FEE-C6D7-4E9D-A3E8-3FD5AD38B52D}"/>
    <cellStyle name="Warnender Text 16 2" xfId="19505" xr:uid="{68BCFC61-D2D0-44BC-8163-D93B55C79319}"/>
    <cellStyle name="Warnender Text 16 2 2" xfId="38938" xr:uid="{B3A43A3A-62A2-487D-A60A-12E405DEDBC4}"/>
    <cellStyle name="Warnender Text 16 3" xfId="19506" xr:uid="{9E867CF2-D299-4B87-B65B-2E9743502D1A}"/>
    <cellStyle name="Warnender Text 16 3 2" xfId="38939" xr:uid="{7050FEE3-1EAA-4D32-9035-AAABC2DF0EC1}"/>
    <cellStyle name="Warnender Text 16 4" xfId="38937" xr:uid="{E8EB7D0E-6D04-4DA6-9935-B9FE0644BC30}"/>
    <cellStyle name="Warnender Text 17" xfId="19507" xr:uid="{06641135-C62C-44BC-B3CA-9293F3748E26}"/>
    <cellStyle name="Warnender Text 17 2" xfId="19508" xr:uid="{49829FA4-C1C8-47B9-BAB0-7D02E7C053E7}"/>
    <cellStyle name="Warnender Text 17 2 2" xfId="38941" xr:uid="{58CA64FC-8919-4034-BDD7-B87EF22F3F89}"/>
    <cellStyle name="Warnender Text 17 3" xfId="19509" xr:uid="{055F5EEB-A0B4-4B21-9706-137A891CD8DE}"/>
    <cellStyle name="Warnender Text 17 3 2" xfId="38942" xr:uid="{599E000B-0BC7-41A8-B5AD-5445712ED218}"/>
    <cellStyle name="Warnender Text 17 4" xfId="38940" xr:uid="{80BA259E-A2C8-40A8-BFF6-5F7C38CEFBB3}"/>
    <cellStyle name="Warnender Text 18" xfId="19510" xr:uid="{9C8874A8-4EDE-41A2-86AB-004FD740A2C6}"/>
    <cellStyle name="Warnender Text 18 2" xfId="19511" xr:uid="{374D40B5-AB1E-4653-AF0C-34A47CE631D3}"/>
    <cellStyle name="Warnender Text 18 2 2" xfId="38944" xr:uid="{A634D451-A02B-4220-A42C-0DBC8FA1DCCE}"/>
    <cellStyle name="Warnender Text 18 3" xfId="19512" xr:uid="{D5C3D0D6-181D-4870-B48F-5497909C97FE}"/>
    <cellStyle name="Warnender Text 18 3 2" xfId="38945" xr:uid="{CC58892E-4D42-469A-982D-3ECA189067B5}"/>
    <cellStyle name="Warnender Text 18 4" xfId="38943" xr:uid="{429E409F-F631-44BF-B409-8BBA08B1456F}"/>
    <cellStyle name="Warnender Text 19" xfId="19513" xr:uid="{F264C082-5E29-462A-A039-6C718FB2CE85}"/>
    <cellStyle name="Warnender Text 19 2" xfId="19514" xr:uid="{253611E9-40BF-4197-95E9-D6273B1347E4}"/>
    <cellStyle name="Warnender Text 19 2 2" xfId="38947" xr:uid="{765279CE-0494-436D-8075-3C913D9BABAD}"/>
    <cellStyle name="Warnender Text 19 3" xfId="19515" xr:uid="{71197CE9-ABE3-46CD-94A4-5227043EB306}"/>
    <cellStyle name="Warnender Text 19 3 2" xfId="38948" xr:uid="{92415818-CC79-4592-B447-2ACD79181BA5}"/>
    <cellStyle name="Warnender Text 19 4" xfId="38946" xr:uid="{3128E3FF-872E-4D93-B090-032A4E70809C}"/>
    <cellStyle name="Warnender Text 2" xfId="19516" xr:uid="{F17192DD-E690-4EA4-9280-983CB86D5BDA}"/>
    <cellStyle name="Warnender Text 2 10" xfId="19517" xr:uid="{8C28C8FE-D3BB-448E-A6AD-47CB4F7E4D21}"/>
    <cellStyle name="Warnender Text 2 10 2" xfId="38950" xr:uid="{8691D4A1-649B-4E9A-8504-19DFBAFD9FD6}"/>
    <cellStyle name="Warnender Text 2 11" xfId="19518" xr:uid="{248772B4-A874-4471-A200-0DD00FC22A6A}"/>
    <cellStyle name="Warnender Text 2 11 2" xfId="38951" xr:uid="{8AC68A32-D190-4F51-86C9-6B2F3589F42D}"/>
    <cellStyle name="Warnender Text 2 12" xfId="19519" xr:uid="{5BE499A2-4093-42F4-A78C-53435511CEAF}"/>
    <cellStyle name="Warnender Text 2 12 2" xfId="38952" xr:uid="{4E5F090B-3D52-4771-B06B-0BAAE6BCA229}"/>
    <cellStyle name="Warnender Text 2 13" xfId="19520" xr:uid="{ED891949-82AB-4AFD-BD2D-FEF9CFF69781}"/>
    <cellStyle name="Warnender Text 2 13 2" xfId="38953" xr:uid="{53750EBE-B14D-4346-878C-D5BC5D5412FF}"/>
    <cellStyle name="Warnender Text 2 14" xfId="19521" xr:uid="{94F5DA33-B3F2-45D0-B8B4-9A9C6F8BF73D}"/>
    <cellStyle name="Warnender Text 2 14 2" xfId="38954" xr:uid="{C78155EF-9813-43E2-91C3-3ADCF0416181}"/>
    <cellStyle name="Warnender Text 2 15" xfId="38949" xr:uid="{C737292E-6933-490C-9962-6B19B6678412}"/>
    <cellStyle name="Warnender Text 2 16" xfId="39889" xr:uid="{FD835C4A-8304-40F1-8B19-4C039D0373D6}"/>
    <cellStyle name="Warnender Text 2 2" xfId="19522" xr:uid="{42B1D362-DCEE-41DE-A752-706B1C794BA1}"/>
    <cellStyle name="Warnender Text 2 2 10" xfId="19523" xr:uid="{7C30EAF8-9D3E-4465-88CC-A9A6BCF42273}"/>
    <cellStyle name="Warnender Text 2 2 10 2" xfId="38956" xr:uid="{0453F038-FF8F-463F-A895-A8379EA04697}"/>
    <cellStyle name="Warnender Text 2 2 11" xfId="19524" xr:uid="{93C1E5CE-443A-4B0B-8D9E-EA873805BFB9}"/>
    <cellStyle name="Warnender Text 2 2 11 2" xfId="38957" xr:uid="{C1C1ECE1-7BB6-4518-B27D-F57F92C99FEE}"/>
    <cellStyle name="Warnender Text 2 2 12" xfId="19525" xr:uid="{A6173AF9-0D72-48EB-84D3-05DA458E2191}"/>
    <cellStyle name="Warnender Text 2 2 12 2" xfId="38958" xr:uid="{65C9D92B-C934-4ADD-A682-7078569B4B45}"/>
    <cellStyle name="Warnender Text 2 2 13" xfId="38955" xr:uid="{1F84B0B4-6B8E-4A1E-8CB1-0CCA85B398FF}"/>
    <cellStyle name="Warnender Text 2 2 14" xfId="39890" xr:uid="{97DFC8B8-A5EE-4223-A564-65555D2DC7F1}"/>
    <cellStyle name="Warnender Text 2 2 2" xfId="19526" xr:uid="{B648927B-09C6-4FA3-AF79-48C12F1FFAB5}"/>
    <cellStyle name="Warnender Text 2 2 2 10" xfId="19527" xr:uid="{94DAE0D8-1575-4107-B14A-2400E99F63D6}"/>
    <cellStyle name="Warnender Text 2 2 2 10 2" xfId="38960" xr:uid="{633F17E9-0BEB-4023-9DC8-58B0D33039AD}"/>
    <cellStyle name="Warnender Text 2 2 2 11" xfId="38959" xr:uid="{D585B5A5-C98E-400C-8C3D-7A47B56D5C5E}"/>
    <cellStyle name="Warnender Text 2 2 2 2" xfId="19528" xr:uid="{AF08F48C-0B13-4F67-9167-AC359C5DF153}"/>
    <cellStyle name="Warnender Text 2 2 2 2 2" xfId="19529" xr:uid="{4A66E57D-1594-486B-9C61-2B90B508B426}"/>
    <cellStyle name="Warnender Text 2 2 2 2 2 2" xfId="19530" xr:uid="{7F5916CC-FAC7-4BBA-92AF-E98074356ACC}"/>
    <cellStyle name="Warnender Text 2 2 2 2 2 2 2" xfId="19531" xr:uid="{D1895FEA-54B4-4425-A785-97C3315A4B40}"/>
    <cellStyle name="Warnender Text 2 2 2 2 2 2 2 2" xfId="38964" xr:uid="{B59B51E7-0D5A-4F01-9FCE-87DD65D76D3F}"/>
    <cellStyle name="Warnender Text 2 2 2 2 2 2 3" xfId="38963" xr:uid="{3DF81132-354B-48E7-93D1-C14F9AF17307}"/>
    <cellStyle name="Warnender Text 2 2 2 2 2 3" xfId="19532" xr:uid="{D39A299A-7E0C-440D-94A8-93D16708A786}"/>
    <cellStyle name="Warnender Text 2 2 2 2 2 3 2" xfId="38965" xr:uid="{2690CC40-A184-4007-903A-2B810CFDB653}"/>
    <cellStyle name="Warnender Text 2 2 2 2 2 4" xfId="19533" xr:uid="{996B231F-7EA1-4191-862A-605EF827B955}"/>
    <cellStyle name="Warnender Text 2 2 2 2 2 4 2" xfId="38966" xr:uid="{9B112BC8-E93D-41CE-B9A6-AF42D65B5F0A}"/>
    <cellStyle name="Warnender Text 2 2 2 2 2 5" xfId="19534" xr:uid="{401CD374-C5C5-42A5-B410-0964CDA74915}"/>
    <cellStyle name="Warnender Text 2 2 2 2 2 5 2" xfId="38967" xr:uid="{64A3AB43-3F27-4A33-9B9D-6D8A2664AB16}"/>
    <cellStyle name="Warnender Text 2 2 2 2 2 6" xfId="19535" xr:uid="{EA5A1901-231B-48F8-AD97-C0215D325D03}"/>
    <cellStyle name="Warnender Text 2 2 2 2 2 6 2" xfId="38968" xr:uid="{1EE37EEA-A921-4FE2-AC2A-670F2F1D5467}"/>
    <cellStyle name="Warnender Text 2 2 2 2 2 7" xfId="19536" xr:uid="{BF050571-CC71-4545-B82A-B8F7F8347C9C}"/>
    <cellStyle name="Warnender Text 2 2 2 2 2 7 2" xfId="38969" xr:uid="{2A7DF1D7-8FF5-4A20-BA94-660511371201}"/>
    <cellStyle name="Warnender Text 2 2 2 2 2 8" xfId="19537" xr:uid="{86381471-39CB-4734-B1F8-73521378011E}"/>
    <cellStyle name="Warnender Text 2 2 2 2 2 8 2" xfId="38970" xr:uid="{0E855F57-610D-45CF-9DC2-E3C16099D025}"/>
    <cellStyle name="Warnender Text 2 2 2 2 2 9" xfId="38962" xr:uid="{2E5D3173-3BD2-4A77-B080-60EB22A282CF}"/>
    <cellStyle name="Warnender Text 2 2 2 2 3" xfId="19538" xr:uid="{467C7A86-6CEE-467C-8942-270FD3CB2DF2}"/>
    <cellStyle name="Warnender Text 2 2 2 2 3 2" xfId="19539" xr:uid="{214486DE-53A3-4EC2-8200-B11389C3973C}"/>
    <cellStyle name="Warnender Text 2 2 2 2 3 2 2" xfId="38972" xr:uid="{F207ED3A-7AA5-4E92-BE72-0DD7A30C5E10}"/>
    <cellStyle name="Warnender Text 2 2 2 2 3 3" xfId="38971" xr:uid="{84962AFC-0408-4861-B40D-436141539358}"/>
    <cellStyle name="Warnender Text 2 2 2 2 4" xfId="19540" xr:uid="{1D58C6BF-5ED3-4A1B-9A85-C4A8CE1F81CD}"/>
    <cellStyle name="Warnender Text 2 2 2 2 4 2" xfId="38973" xr:uid="{D6F46E5B-888A-446C-8694-D96CCAD731F2}"/>
    <cellStyle name="Warnender Text 2 2 2 2 5" xfId="19541" xr:uid="{A56345D3-F920-43B0-A8F4-9A9CB510016B}"/>
    <cellStyle name="Warnender Text 2 2 2 2 5 2" xfId="38974" xr:uid="{BD5BC68B-B146-4C97-9265-58A442A29CD5}"/>
    <cellStyle name="Warnender Text 2 2 2 2 6" xfId="19542" xr:uid="{FC5479CD-5CEB-4F26-ADC5-69A2BF241139}"/>
    <cellStyle name="Warnender Text 2 2 2 2 6 2" xfId="38975" xr:uid="{AA20953E-E6F3-4307-BE09-1327A95B0813}"/>
    <cellStyle name="Warnender Text 2 2 2 2 7" xfId="19543" xr:uid="{024B596D-B2CE-4392-9A53-04016B0BA563}"/>
    <cellStyle name="Warnender Text 2 2 2 2 7 2" xfId="38976" xr:uid="{4C7CD60B-E6DC-41A8-BE37-8C27D24CFA60}"/>
    <cellStyle name="Warnender Text 2 2 2 2 8" xfId="19544" xr:uid="{94059EF0-2036-4A38-BC1A-19BD14BD5A54}"/>
    <cellStyle name="Warnender Text 2 2 2 2 8 2" xfId="38977" xr:uid="{A197AAAD-4ACF-4B80-BE78-633115BC5AD8}"/>
    <cellStyle name="Warnender Text 2 2 2 2 9" xfId="38961" xr:uid="{0CBEDBC6-D9B5-4EC2-A6E4-E5DE2262E4C1}"/>
    <cellStyle name="Warnender Text 2 2 2 3" xfId="19545" xr:uid="{9936B94B-17FE-429C-A9D1-2D9538B5F6FA}"/>
    <cellStyle name="Warnender Text 2 2 2 3 2" xfId="38978" xr:uid="{425C7A8D-D41E-4EEB-8D81-B863942C3541}"/>
    <cellStyle name="Warnender Text 2 2 2 4" xfId="19546" xr:uid="{DF73FC63-758D-4D95-BF6A-ACDB5650CED3}"/>
    <cellStyle name="Warnender Text 2 2 2 4 2" xfId="38979" xr:uid="{96DFC4F7-5886-435E-ABD5-6A465E2079CA}"/>
    <cellStyle name="Warnender Text 2 2 2 5" xfId="19547" xr:uid="{E6555461-1CBE-481E-A4A0-5FF406E46D8B}"/>
    <cellStyle name="Warnender Text 2 2 2 5 2" xfId="19548" xr:uid="{F93D778A-5934-4E05-87BC-334FCE6AA15A}"/>
    <cellStyle name="Warnender Text 2 2 2 5 2 2" xfId="38981" xr:uid="{C8953B65-939F-450B-9BB5-82EBE2A876EF}"/>
    <cellStyle name="Warnender Text 2 2 2 5 3" xfId="38980" xr:uid="{A9413791-FD47-44FD-AD19-1DE490BC97D2}"/>
    <cellStyle name="Warnender Text 2 2 2 6" xfId="19549" xr:uid="{F12BDB7F-F07B-45E2-9A77-EFD55214DCD3}"/>
    <cellStyle name="Warnender Text 2 2 2 6 2" xfId="38982" xr:uid="{0079EE84-0E14-495F-9242-AE9C77E4CCB7}"/>
    <cellStyle name="Warnender Text 2 2 2 7" xfId="19550" xr:uid="{1368AEC3-9393-4A08-9B0E-A89A2F4CA23A}"/>
    <cellStyle name="Warnender Text 2 2 2 7 2" xfId="38983" xr:uid="{ADFA8B6A-56F1-475A-B262-245AAA34ABA7}"/>
    <cellStyle name="Warnender Text 2 2 2 8" xfId="19551" xr:uid="{DD5AD932-9105-4A60-BCE0-4C1888815127}"/>
    <cellStyle name="Warnender Text 2 2 2 8 2" xfId="38984" xr:uid="{705B9EBB-01C9-4F01-B339-64AAFBAF68AD}"/>
    <cellStyle name="Warnender Text 2 2 2 9" xfId="19552" xr:uid="{3B5BC814-7E89-4DD7-A790-F0607ACA4485}"/>
    <cellStyle name="Warnender Text 2 2 2 9 2" xfId="38985" xr:uid="{66D35F63-61E6-4595-B66A-A9432B2A3889}"/>
    <cellStyle name="Warnender Text 2 2 3" xfId="19553" xr:uid="{43F8A327-BFF3-4CA1-BAB6-A29BEDE24906}"/>
    <cellStyle name="Warnender Text 2 2 3 2" xfId="38986" xr:uid="{CEE81FF8-AD32-403F-9A78-FDBE2B3885F1}"/>
    <cellStyle name="Warnender Text 2 2 4" xfId="19554" xr:uid="{296C8873-4F5A-4DEB-BBA7-7522C36B7C29}"/>
    <cellStyle name="Warnender Text 2 2 4 2" xfId="38987" xr:uid="{4E163A78-B55C-4E25-A948-43D63A89A304}"/>
    <cellStyle name="Warnender Text 2 2 5" xfId="19555" xr:uid="{6AA49773-0C1D-4BE7-B870-A87D7AC53AD4}"/>
    <cellStyle name="Warnender Text 2 2 5 2" xfId="19556" xr:uid="{D86DEEB1-05BA-4AA1-AE67-E68F947B06FE}"/>
    <cellStyle name="Warnender Text 2 2 5 2 2" xfId="38989" xr:uid="{7EE84C58-6E70-4476-811B-FD333D43D069}"/>
    <cellStyle name="Warnender Text 2 2 5 3" xfId="38988" xr:uid="{691AC83D-6435-4393-9651-47CC86ED255F}"/>
    <cellStyle name="Warnender Text 2 2 6" xfId="19557" xr:uid="{9CC07D98-AB99-4C57-A825-FCF72235B1E4}"/>
    <cellStyle name="Warnender Text 2 2 6 2" xfId="38990" xr:uid="{DCF4019E-4325-4DBB-A5DB-63E5D9948AF4}"/>
    <cellStyle name="Warnender Text 2 2 7" xfId="19558" xr:uid="{821F2D50-3B30-4984-84AC-D711093B0679}"/>
    <cellStyle name="Warnender Text 2 2 7 2" xfId="19559" xr:uid="{D6A337DC-E2F2-4B54-AA71-2069C7374D36}"/>
    <cellStyle name="Warnender Text 2 2 7 2 2" xfId="38992" xr:uid="{C77308EF-96CD-41C1-8AA6-B05477EB9A2A}"/>
    <cellStyle name="Warnender Text 2 2 7 3" xfId="38991" xr:uid="{5CDD58DB-9445-4D36-9324-9368C220DBCA}"/>
    <cellStyle name="Warnender Text 2 2 8" xfId="19560" xr:uid="{BDE4E85F-9150-410A-81D6-4C42C35F0740}"/>
    <cellStyle name="Warnender Text 2 2 8 2" xfId="38993" xr:uid="{244F7BAB-4108-4B81-9267-6AA9CE0D0C8A}"/>
    <cellStyle name="Warnender Text 2 2 9" xfId="19561" xr:uid="{FD5015E8-D830-424C-9FB4-FBF8961F3B34}"/>
    <cellStyle name="Warnender Text 2 2 9 2" xfId="38994" xr:uid="{CBEB5B21-AD4D-44F2-BE28-3E3FD4D45178}"/>
    <cellStyle name="Warnender Text 2 3" xfId="19562" xr:uid="{2846C70A-FB56-43D1-AA35-72767DC4B0F6}"/>
    <cellStyle name="Warnender Text 2 3 2" xfId="38995" xr:uid="{D4042E19-B1A1-4A13-A908-617F912A37F5}"/>
    <cellStyle name="Warnender Text 2 4" xfId="19563" xr:uid="{3D297ACD-73C2-4C54-9764-6A53E7AE563C}"/>
    <cellStyle name="Warnender Text 2 4 2" xfId="19564" xr:uid="{A3054B15-BB69-4EC4-8313-8616C0A8884B}"/>
    <cellStyle name="Warnender Text 2 4 2 2" xfId="19565" xr:uid="{3B1BA4B0-AFD2-4FA8-8596-495F4FB7A347}"/>
    <cellStyle name="Warnender Text 2 4 2 2 2" xfId="38998" xr:uid="{0EB66ED9-3B4E-4574-B523-A8481BF204C7}"/>
    <cellStyle name="Warnender Text 2 4 2 3" xfId="38997" xr:uid="{0CAFEFCE-2D9E-485A-8509-CE50D283AEC9}"/>
    <cellStyle name="Warnender Text 2 4 3" xfId="19566" xr:uid="{6A08AD23-3B1F-416C-A727-AE00258E6DF5}"/>
    <cellStyle name="Warnender Text 2 4 3 2" xfId="38999" xr:uid="{1DAE041D-C522-4524-B94E-E102F830A972}"/>
    <cellStyle name="Warnender Text 2 4 4" xfId="19567" xr:uid="{3689F53D-9F11-47E8-8B66-12059EF9D97C}"/>
    <cellStyle name="Warnender Text 2 4 4 2" xfId="39000" xr:uid="{0D0887D1-4BA4-45A8-A7F1-3182E64D527C}"/>
    <cellStyle name="Warnender Text 2 4 5" xfId="38996" xr:uid="{569D2BCB-C807-4319-AE44-8DB68AFF3AEC}"/>
    <cellStyle name="Warnender Text 2 5" xfId="19568" xr:uid="{3232A08F-C025-4629-8919-F25C73C705C0}"/>
    <cellStyle name="Warnender Text 2 5 2" xfId="39001" xr:uid="{7689ABC3-386B-4C12-A603-56C6BF663191}"/>
    <cellStyle name="Warnender Text 2 6" xfId="19569" xr:uid="{6A46CF25-8D89-49EA-8E80-07B64A8427D3}"/>
    <cellStyle name="Warnender Text 2 6 2" xfId="19570" xr:uid="{7AEAA5FE-8D28-4ACB-9D63-397B32E79A24}"/>
    <cellStyle name="Warnender Text 2 6 2 2" xfId="39003" xr:uid="{BB9C88A5-BBFD-41DF-829E-F3C7C91879BA}"/>
    <cellStyle name="Warnender Text 2 6 3" xfId="39002" xr:uid="{F7AFCC48-2183-44B4-AF72-579DA44A9489}"/>
    <cellStyle name="Warnender Text 2 7" xfId="19571" xr:uid="{22814885-E601-46F0-A80C-0802AA9EB3EF}"/>
    <cellStyle name="Warnender Text 2 7 2" xfId="39004" xr:uid="{1EEC6F5F-EB60-4DB3-91CE-268E79225321}"/>
    <cellStyle name="Warnender Text 2 8" xfId="19572" xr:uid="{A4B1B974-A708-47B2-852A-82D96AD0BD13}"/>
    <cellStyle name="Warnender Text 2 8 2" xfId="19573" xr:uid="{C22D3656-CFBE-4FA1-B8D4-0828E6043B9F}"/>
    <cellStyle name="Warnender Text 2 8 2 2" xfId="39006" xr:uid="{3FF8B34C-BE88-4A17-92B9-FBC4BF426710}"/>
    <cellStyle name="Warnender Text 2 8 3" xfId="39005" xr:uid="{76E8F0C1-F100-4AAA-9952-87CE0415DCE3}"/>
    <cellStyle name="Warnender Text 2 9" xfId="19574" xr:uid="{36F6D3F8-A17B-4ADB-B403-5BC52ACF51E9}"/>
    <cellStyle name="Warnender Text 2 9 2" xfId="39007" xr:uid="{CBEC6CE9-7691-43B5-A47D-B2A122475A91}"/>
    <cellStyle name="Warnender Text 20" xfId="19575" xr:uid="{E4385DF3-D004-462D-91C2-0BF409DD3E8C}"/>
    <cellStyle name="Warnender Text 20 2" xfId="19576" xr:uid="{4ECCDF73-6FCD-4F50-AEE5-28C3AB0ED0CD}"/>
    <cellStyle name="Warnender Text 20 2 2" xfId="39009" xr:uid="{24EC1434-3867-49CF-A286-BE212AAD887C}"/>
    <cellStyle name="Warnender Text 20 3" xfId="19577" xr:uid="{A81195F3-9F9A-4A7F-B783-3E425A191A23}"/>
    <cellStyle name="Warnender Text 20 3 2" xfId="39010" xr:uid="{DF2C01E8-6898-488B-AF3C-A40BA0F7B54D}"/>
    <cellStyle name="Warnender Text 20 4" xfId="39008" xr:uid="{9F0734BA-A5BB-4AC7-B501-1F4AC388342F}"/>
    <cellStyle name="Warnender Text 21" xfId="19578" xr:uid="{E341D7FF-C0DA-4C5B-9D56-662BC776D148}"/>
    <cellStyle name="Warnender Text 21 2" xfId="19579" xr:uid="{3E66BBC1-A492-4A02-B900-49B9961AD4E6}"/>
    <cellStyle name="Warnender Text 21 2 2" xfId="39012" xr:uid="{1359438D-3717-4267-85DC-018F94A58322}"/>
    <cellStyle name="Warnender Text 21 3" xfId="19580" xr:uid="{529D0E09-1EDA-42CA-B06F-009603582ADF}"/>
    <cellStyle name="Warnender Text 21 3 2" xfId="39013" xr:uid="{035AAE82-34FE-41B0-97C7-DEAD13478B98}"/>
    <cellStyle name="Warnender Text 21 4" xfId="39011" xr:uid="{E6A0AC3F-7C7A-4614-B153-62C9387A71C1}"/>
    <cellStyle name="Warnender Text 22" xfId="19581" xr:uid="{2FF83ECC-1754-4CDB-AAB5-8D6A166F0BF6}"/>
    <cellStyle name="Warnender Text 22 2" xfId="19582" xr:uid="{47475F34-87AB-47B4-9CFB-0583DFEA9D06}"/>
    <cellStyle name="Warnender Text 22 2 2" xfId="39015" xr:uid="{3D02387B-C508-4D4F-855B-32D3C9D2B378}"/>
    <cellStyle name="Warnender Text 22 3" xfId="19583" xr:uid="{5D2053B6-5BA5-4459-8073-FD1B60572436}"/>
    <cellStyle name="Warnender Text 22 3 2" xfId="39016" xr:uid="{EE38BAC0-1EBD-4807-A345-7EEFCCBE78CC}"/>
    <cellStyle name="Warnender Text 22 4" xfId="39014" xr:uid="{8A53178D-326A-4BCC-A66E-04B6D38D89F1}"/>
    <cellStyle name="Warnender Text 23" xfId="19584" xr:uid="{4E9D0A48-A56A-4DF7-B4B6-62C412505231}"/>
    <cellStyle name="Warnender Text 23 2" xfId="19585" xr:uid="{9AFCE7D1-DA86-4ACE-B364-C9C5A1C7E172}"/>
    <cellStyle name="Warnender Text 23 2 2" xfId="39018" xr:uid="{BAB3772A-8079-417C-9C03-5B0BEDB5F9ED}"/>
    <cellStyle name="Warnender Text 23 3" xfId="19586" xr:uid="{1F4F125C-2AC9-49C2-85FA-322D5876A4B4}"/>
    <cellStyle name="Warnender Text 23 3 2" xfId="39019" xr:uid="{11DDBA01-8735-474B-8E26-B55E6B3F30F8}"/>
    <cellStyle name="Warnender Text 23 4" xfId="39017" xr:uid="{D326CD7B-0475-4F40-9A78-F95F711CE419}"/>
    <cellStyle name="Warnender Text 24" xfId="19587" xr:uid="{2B887FC8-3B45-4DAE-9592-72A883FD54CE}"/>
    <cellStyle name="Warnender Text 24 2" xfId="19588" xr:uid="{A772ACE1-56D5-488D-AEDE-89917D82617F}"/>
    <cellStyle name="Warnender Text 24 2 2" xfId="39021" xr:uid="{8183937E-CA88-4C48-A63B-16ADF6A36D1B}"/>
    <cellStyle name="Warnender Text 24 3" xfId="19589" xr:uid="{C758C38A-8D75-4EC2-91B2-4B2F314F2EC1}"/>
    <cellStyle name="Warnender Text 24 3 2" xfId="39022" xr:uid="{E643B9D4-DEAC-4CA8-B9F0-E910C0D0FEB0}"/>
    <cellStyle name="Warnender Text 24 4" xfId="39020" xr:uid="{7796A487-AF2D-42C5-81FA-EAEE7F22CEBB}"/>
    <cellStyle name="Warnender Text 25" xfId="19590" xr:uid="{81E5A8CA-C41F-4206-8082-0CF44DE84C62}"/>
    <cellStyle name="Warnender Text 25 2" xfId="19591" xr:uid="{4E42C8FB-C166-4750-9B39-CA82A3D507EF}"/>
    <cellStyle name="Warnender Text 25 2 2" xfId="39024" xr:uid="{A2D6967E-E7A6-412B-9C75-F0BF46C10067}"/>
    <cellStyle name="Warnender Text 25 3" xfId="19592" xr:uid="{2F41CA0D-37FC-40F1-99F2-8CBB3118C6FB}"/>
    <cellStyle name="Warnender Text 25 3 2" xfId="39025" xr:uid="{C0B006DA-255F-4FBA-845A-D7B2EEC7D26E}"/>
    <cellStyle name="Warnender Text 25 4" xfId="39023" xr:uid="{2245D641-47E9-484E-BB3E-21A687DAD21D}"/>
    <cellStyle name="Warnender Text 26" xfId="19593" xr:uid="{C4751170-A15E-4222-83BC-27AB1F3DB28E}"/>
    <cellStyle name="Warnender Text 26 2" xfId="19594" xr:uid="{15AD587D-7EE1-4006-82FA-829D42CCE600}"/>
    <cellStyle name="Warnender Text 26 2 2" xfId="39027" xr:uid="{B2E38266-D861-4BAE-A61F-201254483FDD}"/>
    <cellStyle name="Warnender Text 26 3" xfId="19595" xr:uid="{18E05C05-E73C-472E-B1EF-F66E9F69B97A}"/>
    <cellStyle name="Warnender Text 26 3 2" xfId="39028" xr:uid="{3701F20E-DFE8-47D1-BE44-01E4CB58A9C2}"/>
    <cellStyle name="Warnender Text 26 4" xfId="39026" xr:uid="{622BF40A-5406-475E-A8ED-A331D086CCC3}"/>
    <cellStyle name="Warnender Text 27" xfId="19596" xr:uid="{296160B1-C284-4E46-8150-E818261AB611}"/>
    <cellStyle name="Warnender Text 27 2" xfId="19597" xr:uid="{F7DCD364-5D0E-40AE-85DF-4790471232F7}"/>
    <cellStyle name="Warnender Text 27 2 2" xfId="39030" xr:uid="{EFA0306D-5A28-44E5-B2A8-7CE01F09F875}"/>
    <cellStyle name="Warnender Text 27 3" xfId="19598" xr:uid="{5D99E543-CE15-4B0F-A2CC-B5193C08D764}"/>
    <cellStyle name="Warnender Text 27 3 2" xfId="39031" xr:uid="{CD634C07-9E37-4034-87D8-91D9C2007937}"/>
    <cellStyle name="Warnender Text 27 4" xfId="39029" xr:uid="{AB0C0001-B15A-4486-9116-3D74B699C76F}"/>
    <cellStyle name="Warnender Text 28" xfId="19599" xr:uid="{2CC8BAFF-65F9-46A8-8102-8588978CB653}"/>
    <cellStyle name="Warnender Text 28 2" xfId="19600" xr:uid="{9E707B09-39E0-4959-B12F-C91E2E255554}"/>
    <cellStyle name="Warnender Text 28 2 2" xfId="39033" xr:uid="{6AF2B634-A2A9-4438-8B23-44AB2A385908}"/>
    <cellStyle name="Warnender Text 28 3" xfId="19601" xr:uid="{BA3439D4-B092-41E0-9232-793CF0D7FE42}"/>
    <cellStyle name="Warnender Text 28 3 2" xfId="39034" xr:uid="{83D12EAB-C499-4E49-B094-0AFAA7733013}"/>
    <cellStyle name="Warnender Text 28 4" xfId="39032" xr:uid="{A58CFF38-2C4E-44FE-9AFD-CCA49B8EF660}"/>
    <cellStyle name="Warnender Text 29" xfId="19602" xr:uid="{E0809FB5-5FD0-4034-B275-7C39CD95565F}"/>
    <cellStyle name="Warnender Text 29 2" xfId="19603" xr:uid="{59AFD8C9-3656-4274-85EC-B244B8F9F49E}"/>
    <cellStyle name="Warnender Text 29 2 2" xfId="39036" xr:uid="{953CF6A8-F8F5-4D30-8780-11339904D66B}"/>
    <cellStyle name="Warnender Text 29 3" xfId="19604" xr:uid="{7F7AA36C-5A83-4C87-A77F-D9072CEAAF3C}"/>
    <cellStyle name="Warnender Text 29 3 2" xfId="39037" xr:uid="{83B0B3F6-D510-46DA-8849-FA9FFF6B95CF}"/>
    <cellStyle name="Warnender Text 29 4" xfId="39035" xr:uid="{5D33471E-0BCE-408D-94C1-D39252BACF62}"/>
    <cellStyle name="Warnender Text 3" xfId="19605" xr:uid="{C9E9C330-E28B-4803-8F51-8BAA3039DED4}"/>
    <cellStyle name="Warnender Text 3 10" xfId="39891" xr:uid="{47C3C5AD-E6AA-40F2-A8CE-C709F45B630E}"/>
    <cellStyle name="Warnender Text 3 2" xfId="19606" xr:uid="{2DCD19AC-0489-476D-9288-A4FF570B93D1}"/>
    <cellStyle name="Warnender Text 3 2 2" xfId="19607" xr:uid="{2E437D0C-BF3C-4EC6-A798-9B421AE5C401}"/>
    <cellStyle name="Warnender Text 3 2 2 2" xfId="19608" xr:uid="{AE519AD6-A43A-4B07-96C8-518F4429AAD9}"/>
    <cellStyle name="Warnender Text 3 2 2 2 2" xfId="39041" xr:uid="{0D0EC595-B05C-4062-8A82-80E64718484D}"/>
    <cellStyle name="Warnender Text 3 2 2 3" xfId="39040" xr:uid="{8D262261-4FC8-449C-8428-914969886409}"/>
    <cellStyle name="Warnender Text 3 2 3" xfId="19609" xr:uid="{84921E7A-C22F-4878-ACD0-92D9FB904C50}"/>
    <cellStyle name="Warnender Text 3 2 3 2" xfId="39042" xr:uid="{8C39806E-E3BB-4CEE-B303-96E3E68F18D3}"/>
    <cellStyle name="Warnender Text 3 2 4" xfId="19610" xr:uid="{7419595D-8158-4D6E-9668-E9CA47DCEE5F}"/>
    <cellStyle name="Warnender Text 3 2 4 2" xfId="39043" xr:uid="{486C7F4D-AB98-415C-9C81-BB9DCA04BE95}"/>
    <cellStyle name="Warnender Text 3 2 5" xfId="39039" xr:uid="{29320A14-672D-462D-B951-4B6C26B9A99A}"/>
    <cellStyle name="Warnender Text 3 2 6" xfId="40399" xr:uid="{7A4A41D0-85D8-4604-A3CC-2F8DB6EA9FF5}"/>
    <cellStyle name="Warnender Text 3 3" xfId="19611" xr:uid="{B0268840-BA86-4691-A81D-9543D583595E}"/>
    <cellStyle name="Warnender Text 3 3 2" xfId="39044" xr:uid="{A33B6463-E52C-4B74-8A7B-0D6DE8DDB08A}"/>
    <cellStyle name="Warnender Text 3 4" xfId="19612" xr:uid="{4F1BA7EB-4111-4158-9913-29507E7BCBC8}"/>
    <cellStyle name="Warnender Text 3 4 2" xfId="39045" xr:uid="{55785AE2-4F47-41AD-90A5-A40F7BB2302B}"/>
    <cellStyle name="Warnender Text 3 5" xfId="19613" xr:uid="{9CE7C00E-0303-475E-93A0-73096632D187}"/>
    <cellStyle name="Warnender Text 3 5 2" xfId="19614" xr:uid="{1B40009A-680D-40D1-9389-FAF218496F2D}"/>
    <cellStyle name="Warnender Text 3 5 2 2" xfId="39047" xr:uid="{6E75ABE0-EB28-4BCB-BD7A-1D43AA944A6E}"/>
    <cellStyle name="Warnender Text 3 5 3" xfId="39046" xr:uid="{BF897C65-0F7D-4470-B060-64E263E2973B}"/>
    <cellStyle name="Warnender Text 3 6" xfId="19615" xr:uid="{26770005-51A7-477E-A8E7-CFCA4222A017}"/>
    <cellStyle name="Warnender Text 3 6 2" xfId="39048" xr:uid="{229980F6-E657-4147-BE5B-2FA8AFBEC323}"/>
    <cellStyle name="Warnender Text 3 7" xfId="19616" xr:uid="{50C3A303-8D3F-4793-9ECC-83CF3A8D794C}"/>
    <cellStyle name="Warnender Text 3 7 2" xfId="39049" xr:uid="{BFB566E1-F6CB-4DC1-B2A4-E526953C4B03}"/>
    <cellStyle name="Warnender Text 3 8" xfId="19617" xr:uid="{A8169CBC-EFE3-4B9B-8074-DCD1976B0625}"/>
    <cellStyle name="Warnender Text 3 8 2" xfId="39050" xr:uid="{FD57048A-9B69-4E2F-B5D2-C0B9965116E6}"/>
    <cellStyle name="Warnender Text 3 9" xfId="39038" xr:uid="{D57A00E6-A46A-4270-8812-B3B1D1AA7C75}"/>
    <cellStyle name="Warnender Text 30" xfId="19618" xr:uid="{0B11330A-4EFE-4E80-8ACC-90BF860379CC}"/>
    <cellStyle name="Warnender Text 30 2" xfId="19619" xr:uid="{BB8D2DAD-E1D4-4CD7-BC20-A7DE90F64E7F}"/>
    <cellStyle name="Warnender Text 30 2 2" xfId="39052" xr:uid="{4FF119B4-32A8-4DD6-83DD-0D0818C05BC6}"/>
    <cellStyle name="Warnender Text 30 3" xfId="19620" xr:uid="{96081AB8-F320-433D-BF21-F3A0A7D4D88D}"/>
    <cellStyle name="Warnender Text 30 3 2" xfId="39053" xr:uid="{9C44F9C0-C583-49CD-B42A-1D97BFBB7EE2}"/>
    <cellStyle name="Warnender Text 30 4" xfId="39051" xr:uid="{F9E8F158-E8B6-4635-A943-C8A45E829367}"/>
    <cellStyle name="Warnender Text 31" xfId="19621" xr:uid="{CE204BC7-3B53-447C-8D5E-8DB3BEA89455}"/>
    <cellStyle name="Warnender Text 31 2" xfId="19622" xr:uid="{7AEE9E04-C279-4133-A73D-AAA54AD08CC7}"/>
    <cellStyle name="Warnender Text 31 2 2" xfId="39055" xr:uid="{83F0D5EC-2DBD-4779-BD05-D003FB1841BD}"/>
    <cellStyle name="Warnender Text 31 3" xfId="19623" xr:uid="{598751C9-1A79-4F3D-9141-D74B82669AC9}"/>
    <cellStyle name="Warnender Text 31 3 2" xfId="39056" xr:uid="{F9486EE2-9F9C-4F8F-91EA-C23E1D04D48E}"/>
    <cellStyle name="Warnender Text 31 4" xfId="39054" xr:uid="{0943610B-7C52-4715-A67F-24EB6E172A7C}"/>
    <cellStyle name="Warnender Text 32" xfId="19624" xr:uid="{7198A261-E82B-4382-A58D-2E59507D36EA}"/>
    <cellStyle name="Warnender Text 32 2" xfId="19625" xr:uid="{A93D4E35-5016-4C8F-8DD5-789ADB0670CA}"/>
    <cellStyle name="Warnender Text 32 2 2" xfId="39058" xr:uid="{72B890C1-E4A3-4636-B1CC-4E92B4827FD8}"/>
    <cellStyle name="Warnender Text 32 3" xfId="19626" xr:uid="{029695A1-03B0-4C30-9295-360872A88FB3}"/>
    <cellStyle name="Warnender Text 32 3 2" xfId="39059" xr:uid="{0FCEE436-7D78-40DF-A249-F12443E31D06}"/>
    <cellStyle name="Warnender Text 32 4" xfId="39057" xr:uid="{E585D9CE-E8C5-41B8-9067-02FD7C091C41}"/>
    <cellStyle name="Warnender Text 33" xfId="19627" xr:uid="{8F0F7C9E-DBD6-4541-AA43-26143BD27E00}"/>
    <cellStyle name="Warnender Text 33 2" xfId="19628" xr:uid="{C5532835-9FDC-477F-A537-5500ADA9AED6}"/>
    <cellStyle name="Warnender Text 33 2 2" xfId="39061" xr:uid="{378F6EE3-6440-42F7-8AE0-B5E6431C9B0F}"/>
    <cellStyle name="Warnender Text 33 3" xfId="19629" xr:uid="{AC07FAE6-6C39-41AF-988A-457CDEB7C4EB}"/>
    <cellStyle name="Warnender Text 33 3 2" xfId="39062" xr:uid="{9E682989-8CF0-48AF-9D84-3DEB52EA2738}"/>
    <cellStyle name="Warnender Text 33 4" xfId="39060" xr:uid="{3494B093-929E-409A-9A47-56D010D6967C}"/>
    <cellStyle name="Warnender Text 34" xfId="19630" xr:uid="{02825C3C-03FF-4E99-9F1A-99DB7F1C32A7}"/>
    <cellStyle name="Warnender Text 34 2" xfId="19631" xr:uid="{4FEFCE80-1994-432A-A0BE-92F98C50D229}"/>
    <cellStyle name="Warnender Text 34 2 2" xfId="39064" xr:uid="{532D71CA-7554-416F-B697-E1CBE08FB5BE}"/>
    <cellStyle name="Warnender Text 34 3" xfId="19632" xr:uid="{4D4F12BE-648B-4147-9727-AAA72286CACE}"/>
    <cellStyle name="Warnender Text 34 3 2" xfId="39065" xr:uid="{14608E4E-0E88-4E05-922E-EDEC8D45FA03}"/>
    <cellStyle name="Warnender Text 34 4" xfId="39063" xr:uid="{6F83CC2C-CBD0-4E47-A962-E9430FF0C271}"/>
    <cellStyle name="Warnender Text 35" xfId="19633" xr:uid="{7B0CFB59-611F-417B-837C-BE127F155395}"/>
    <cellStyle name="Warnender Text 35 2" xfId="19634" xr:uid="{49D3C75A-6737-4676-9C3E-79251F2D852E}"/>
    <cellStyle name="Warnender Text 35 2 2" xfId="39067" xr:uid="{B717B191-D159-4C4B-BA82-9E83124EAA1F}"/>
    <cellStyle name="Warnender Text 35 3" xfId="19635" xr:uid="{E3A4FD4F-F32E-411E-9CDD-A3328175646B}"/>
    <cellStyle name="Warnender Text 35 3 2" xfId="39068" xr:uid="{CF3EA8F2-5ED9-44D8-AEF5-E2CADCBE282C}"/>
    <cellStyle name="Warnender Text 35 4" xfId="39066" xr:uid="{6B2A1E66-17B5-4B5D-985E-FB8B723CA893}"/>
    <cellStyle name="Warnender Text 36" xfId="19636" xr:uid="{DB2DF85A-4AB7-44E4-8922-C4AD4C0D4727}"/>
    <cellStyle name="Warnender Text 36 2" xfId="19637" xr:uid="{46C78272-FD16-4B8B-9FDB-3697F38CC3FC}"/>
    <cellStyle name="Warnender Text 36 2 2" xfId="39070" xr:uid="{F7A1C00D-A982-45EF-A5C1-5948691D8A0F}"/>
    <cellStyle name="Warnender Text 36 3" xfId="19638" xr:uid="{929AAEA6-9E73-479D-95B6-88EF9CD46378}"/>
    <cellStyle name="Warnender Text 36 3 2" xfId="39071" xr:uid="{E6C8370D-C826-4AA5-B4CE-CC333C2B5CDC}"/>
    <cellStyle name="Warnender Text 36 4" xfId="39069" xr:uid="{88987C43-0958-45B0-9EAF-78F424ADC1CE}"/>
    <cellStyle name="Warnender Text 37" xfId="38922" xr:uid="{E4F7BFC7-B08E-4114-B39A-A7B99BE732FA}"/>
    <cellStyle name="Warnender Text 38" xfId="40415" xr:uid="{065A7604-125E-4987-BE36-6AC93E5DEF6D}"/>
    <cellStyle name="Warnender Text 39" xfId="19489" xr:uid="{06D27596-BEBD-47C8-B07F-C4BAA32C3A5F}"/>
    <cellStyle name="Warnender Text 4" xfId="19639" xr:uid="{47E4D79F-9535-4F12-B09C-1CF0BC4AC210}"/>
    <cellStyle name="Warnender Text 4 2" xfId="19640" xr:uid="{69BD88E8-D5A7-40AC-A2CC-505A19E474DA}"/>
    <cellStyle name="Warnender Text 4 2 2" xfId="19641" xr:uid="{3BA6E649-9965-432D-88A7-E59F6A6D0530}"/>
    <cellStyle name="Warnender Text 4 2 2 2" xfId="39074" xr:uid="{B55C7BED-C8DB-4FDB-B30E-43238E831FB3}"/>
    <cellStyle name="Warnender Text 4 2 3" xfId="39073" xr:uid="{ACE11446-95D4-4089-B892-D5C04241A64B}"/>
    <cellStyle name="Warnender Text 4 2 4" xfId="40400" xr:uid="{E12B3BFF-7131-444E-9319-619132C4F933}"/>
    <cellStyle name="Warnender Text 4 3" xfId="19642" xr:uid="{5DEA399F-98EC-42F3-B978-5DE292B66228}"/>
    <cellStyle name="Warnender Text 4 3 2" xfId="39075" xr:uid="{9FBBF356-1BEF-4603-B103-EF7BFED4812D}"/>
    <cellStyle name="Warnender Text 4 4" xfId="19643" xr:uid="{2C2BB238-4125-4516-A80E-464EBEBA8C73}"/>
    <cellStyle name="Warnender Text 4 4 2" xfId="39076" xr:uid="{8E1DD43D-A45B-451E-B69D-F3E8797EFE73}"/>
    <cellStyle name="Warnender Text 4 5" xfId="19644" xr:uid="{C0E75D29-FFBB-4993-AD45-016EF30A69F6}"/>
    <cellStyle name="Warnender Text 4 5 2" xfId="39077" xr:uid="{626454AD-9F57-4D48-B39B-376BF0EBC413}"/>
    <cellStyle name="Warnender Text 4 6" xfId="19645" xr:uid="{470CF921-AE49-4AF5-A2D7-B14512A5CE7E}"/>
    <cellStyle name="Warnender Text 4 6 2" xfId="39078" xr:uid="{7719C517-CD01-412E-88B8-6DFE8E669D30}"/>
    <cellStyle name="Warnender Text 4 7" xfId="39072" xr:uid="{7941A37C-FD8A-4FF4-8225-94BDC4887870}"/>
    <cellStyle name="Warnender Text 4 8" xfId="39892" xr:uid="{C131E9DF-05FC-4130-8414-A0DE363ACC36}"/>
    <cellStyle name="Warnender Text 40" xfId="53" xr:uid="{ECA6A825-E84D-4DFC-9E24-88EFC291C213}"/>
    <cellStyle name="Warnender Text 5" xfId="19646" xr:uid="{1B60C25D-AD33-475D-913C-89C880A7D867}"/>
    <cellStyle name="Warnender Text 5 2" xfId="19647" xr:uid="{59E3E122-081D-4892-8ADB-DA3C5EF9BE36}"/>
    <cellStyle name="Warnender Text 5 2 2" xfId="39080" xr:uid="{D6A4F268-AC36-430A-B0BF-A4A0082B527E}"/>
    <cellStyle name="Warnender Text 5 3" xfId="19648" xr:uid="{EA1C10CF-11B3-49D7-8EAE-5E39D6D49C50}"/>
    <cellStyle name="Warnender Text 5 3 2" xfId="39081" xr:uid="{D10E1933-FA14-4104-AF23-5B8C4E7A33F5}"/>
    <cellStyle name="Warnender Text 5 4" xfId="19649" xr:uid="{AB488C54-93A6-4182-896E-C23BFD5181A9}"/>
    <cellStyle name="Warnender Text 5 4 2" xfId="39082" xr:uid="{9D2D2FD9-E54F-4F05-979D-8D50C60ACF38}"/>
    <cellStyle name="Warnender Text 5 5" xfId="19650" xr:uid="{4AF72760-43B9-46F5-9E06-E6F34AE432E0}"/>
    <cellStyle name="Warnender Text 5 5 2" xfId="39083" xr:uid="{BA1FBC7B-FBEB-4A8D-9E4D-61C0291F3E12}"/>
    <cellStyle name="Warnender Text 5 6" xfId="39079" xr:uid="{99E1DCA5-C9A3-4D3D-8622-37C5CDC7ADE6}"/>
    <cellStyle name="Warnender Text 5 7" xfId="39893" xr:uid="{949A331B-103F-4C80-8D39-EFB91C96AD3B}"/>
    <cellStyle name="Warnender Text 6" xfId="19651" xr:uid="{F1385C1A-9558-41F6-A34C-BF0338BCEE81}"/>
    <cellStyle name="Warnender Text 6 2" xfId="19652" xr:uid="{0E098249-3FA9-47C1-B032-EC092362017F}"/>
    <cellStyle name="Warnender Text 6 2 2" xfId="39085" xr:uid="{CFF7E730-82EC-432C-8B8C-384436D1C6BF}"/>
    <cellStyle name="Warnender Text 6 3" xfId="19653" xr:uid="{0D8C124E-8FB2-429D-BCC6-EF4420393E2F}"/>
    <cellStyle name="Warnender Text 6 3 2" xfId="39086" xr:uid="{36DC3E0A-05EB-40A2-B9EA-4FAC23D887C9}"/>
    <cellStyle name="Warnender Text 6 4" xfId="19654" xr:uid="{21ACF6B1-5E43-4107-95C3-4A87118261E2}"/>
    <cellStyle name="Warnender Text 6 4 2" xfId="39087" xr:uid="{549431A3-34B0-4E4A-9332-FF3DE962804E}"/>
    <cellStyle name="Warnender Text 6 5" xfId="19655" xr:uid="{4E038BC8-B704-43EA-8E48-FBE7BDE44233}"/>
    <cellStyle name="Warnender Text 6 5 2" xfId="39088" xr:uid="{4673FCFA-20D6-4BAC-AA5F-30CC608E17E2}"/>
    <cellStyle name="Warnender Text 6 6" xfId="39084" xr:uid="{B38221B0-2C9A-4316-A3F2-B4B092040EF2}"/>
    <cellStyle name="Warnender Text 6 7" xfId="39888" xr:uid="{662B5398-9B02-4978-BCC2-D27D13DB58E2}"/>
    <cellStyle name="Warnender Text 7" xfId="19656" xr:uid="{74F10670-CB47-48CF-BDA4-2CBA70ED9E28}"/>
    <cellStyle name="Warnender Text 7 2" xfId="19657" xr:uid="{D343A05A-1446-443E-B8E9-18B0E15564E6}"/>
    <cellStyle name="Warnender Text 7 2 2" xfId="39090" xr:uid="{DB464D51-1FE3-42EA-B5E3-96CCE801CF13}"/>
    <cellStyle name="Warnender Text 7 3" xfId="39089" xr:uid="{30D6C41F-4700-42A0-9A5C-8ECFC2D091D5}"/>
    <cellStyle name="Warnender Text 8" xfId="19658" xr:uid="{1147D983-D024-4B8A-9638-8D039717C61C}"/>
    <cellStyle name="Warnender Text 8 2" xfId="19659" xr:uid="{BF5242AE-31CB-4164-B918-EACA7F488349}"/>
    <cellStyle name="Warnender Text 8 2 2" xfId="39092" xr:uid="{970FB969-9C1C-4894-A560-F3FCA11E6757}"/>
    <cellStyle name="Warnender Text 8 3" xfId="39091" xr:uid="{C7C24555-845A-4AA0-983D-5E1C4F9DD861}"/>
    <cellStyle name="Warnender Text 9" xfId="19660" xr:uid="{F95E719E-6E0E-4100-B912-B6B7D2FF0A69}"/>
    <cellStyle name="Warnender Text 9 2" xfId="19661" xr:uid="{92B8EA3D-7B1A-4289-8110-D74F9EE66F5F}"/>
    <cellStyle name="Warnender Text 9 2 2" xfId="39094" xr:uid="{84FF450B-9DA6-4AF3-A406-277CA9E4F0D7}"/>
    <cellStyle name="Warnender Text 9 3" xfId="39093" xr:uid="{8F459B05-77C7-413D-97F5-2D227E9CA569}"/>
    <cellStyle name="Zelle überprüfen 10" xfId="19663" xr:uid="{81B04F28-E548-4914-B86F-4A03433C127C}"/>
    <cellStyle name="Zelle überprüfen 10 2" xfId="19664" xr:uid="{A4C83F87-2299-4909-865F-260FBFA577C9}"/>
    <cellStyle name="Zelle überprüfen 10 2 2" xfId="39097" xr:uid="{F452249E-EA9A-458B-996A-44DCF54649A4}"/>
    <cellStyle name="Zelle überprüfen 10 3" xfId="39096" xr:uid="{C857ACBC-0AB6-46A2-925A-6743283E024A}"/>
    <cellStyle name="Zelle überprüfen 11" xfId="19665" xr:uid="{99B81029-D008-4BE1-ADAC-1B21E7309260}"/>
    <cellStyle name="Zelle überprüfen 11 2" xfId="19666" xr:uid="{929609A2-93A4-496A-8D76-005E47DBED96}"/>
    <cellStyle name="Zelle überprüfen 11 2 2" xfId="39099" xr:uid="{B14521F3-C143-4A4A-97C6-A4CC0531E0F1}"/>
    <cellStyle name="Zelle überprüfen 11 3" xfId="39098" xr:uid="{14D449CA-82B5-4489-9286-297C5C52C585}"/>
    <cellStyle name="Zelle überprüfen 12" xfId="19667" xr:uid="{FD8C1C8A-954B-46A6-A4EC-66DEE1DFD582}"/>
    <cellStyle name="Zelle überprüfen 12 2" xfId="19668" xr:uid="{EDAC0A94-CC6E-4992-AEB1-B952F086D887}"/>
    <cellStyle name="Zelle überprüfen 12 2 2" xfId="39101" xr:uid="{891C7AD1-77EB-4904-BE3D-3AB9497EA703}"/>
    <cellStyle name="Zelle überprüfen 12 3" xfId="39100" xr:uid="{A089FB6A-7855-4F24-A2C6-F2DC10F414D7}"/>
    <cellStyle name="Zelle überprüfen 13" xfId="19669" xr:uid="{930CC15D-5C9E-4552-B507-12B17FCA9BB8}"/>
    <cellStyle name="Zelle überprüfen 13 2" xfId="19670" xr:uid="{10BF4D0A-FDF7-46DA-A9FD-41E7F971E749}"/>
    <cellStyle name="Zelle überprüfen 13 2 2" xfId="39103" xr:uid="{06A7DAC2-D955-4C84-B5C9-A966A573AF7D}"/>
    <cellStyle name="Zelle überprüfen 13 3" xfId="39102" xr:uid="{59B3618D-DA6E-4D64-B1A4-FA374FA89FDF}"/>
    <cellStyle name="Zelle überprüfen 14" xfId="19671" xr:uid="{5CF23520-0329-4FA9-AAD5-19E56683DBEC}"/>
    <cellStyle name="Zelle überprüfen 14 2" xfId="19672" xr:uid="{CF352EDC-C6C8-4470-8BFD-F2D7A6D7EA30}"/>
    <cellStyle name="Zelle überprüfen 14 2 2" xfId="39105" xr:uid="{E3D45250-109B-4DC3-82E6-A5FFD8EC4050}"/>
    <cellStyle name="Zelle überprüfen 14 3" xfId="19673" xr:uid="{81EDB0A5-2B96-4AE5-8814-F0DA4ADAC68D}"/>
    <cellStyle name="Zelle überprüfen 14 3 2" xfId="39106" xr:uid="{1FF0F70D-8DDA-4B4D-AADB-8F7AC75BB1E2}"/>
    <cellStyle name="Zelle überprüfen 14 4" xfId="39104" xr:uid="{A91EF4E5-36D9-4421-94A9-33B477920379}"/>
    <cellStyle name="Zelle überprüfen 15" xfId="19674" xr:uid="{23C5F2B9-23D8-42BE-A1FE-7EF531325155}"/>
    <cellStyle name="Zelle überprüfen 15 2" xfId="19675" xr:uid="{4AB94CC5-78F5-4C55-A6F4-EA88E0331C91}"/>
    <cellStyle name="Zelle überprüfen 15 2 2" xfId="39108" xr:uid="{8DBD5DC3-4A0F-4680-8A0D-BAE23D145304}"/>
    <cellStyle name="Zelle überprüfen 15 3" xfId="19676" xr:uid="{280D6BC0-85F6-4EBC-9D5E-3814E86ABF9C}"/>
    <cellStyle name="Zelle überprüfen 15 3 2" xfId="39109" xr:uid="{1503FA18-0720-4560-AD1E-7D6F87DF6484}"/>
    <cellStyle name="Zelle überprüfen 15 4" xfId="39107" xr:uid="{D3213D79-B259-4CF5-B9FC-9D33AC3B4DCA}"/>
    <cellStyle name="Zelle überprüfen 16" xfId="19677" xr:uid="{3E294D25-9E99-419B-99C5-8EC57825DF4D}"/>
    <cellStyle name="Zelle überprüfen 16 2" xfId="19678" xr:uid="{FDFDDEA6-8FAD-4FC1-8E0D-13BD9733A9E5}"/>
    <cellStyle name="Zelle überprüfen 16 2 2" xfId="39111" xr:uid="{8F264919-CAD2-4713-A5A3-38D1D7822AEE}"/>
    <cellStyle name="Zelle überprüfen 16 3" xfId="19679" xr:uid="{44478A43-4D58-495E-9245-DF352CC4B931}"/>
    <cellStyle name="Zelle überprüfen 16 3 2" xfId="39112" xr:uid="{DB8937C1-F07A-42C5-A1C3-0359AE2BAE9E}"/>
    <cellStyle name="Zelle überprüfen 16 4" xfId="39110" xr:uid="{416FA4AD-2F9A-49E7-AC61-AFEAA617699D}"/>
    <cellStyle name="Zelle überprüfen 17" xfId="19680" xr:uid="{4E3F759B-F132-4CD5-AEE5-CE911D90E9F5}"/>
    <cellStyle name="Zelle überprüfen 17 2" xfId="19681" xr:uid="{689CFB45-67EB-4275-946E-1AA4A5E45742}"/>
    <cellStyle name="Zelle überprüfen 17 2 2" xfId="39114" xr:uid="{A17C0F96-52A4-40D3-B3BD-CF71B631E092}"/>
    <cellStyle name="Zelle überprüfen 17 3" xfId="19682" xr:uid="{1AF830AB-CD8C-48C9-AD03-2E317E87D164}"/>
    <cellStyle name="Zelle überprüfen 17 3 2" xfId="39115" xr:uid="{92B87E8A-63BB-4D6A-9E2C-4865C2043C9C}"/>
    <cellStyle name="Zelle überprüfen 17 4" xfId="39113" xr:uid="{CB8386D9-37F2-498F-8CFF-80DF027732DD}"/>
    <cellStyle name="Zelle überprüfen 18" xfId="19683" xr:uid="{5C2F421F-0E8A-44AD-97E5-E457F86C00C4}"/>
    <cellStyle name="Zelle überprüfen 18 2" xfId="19684" xr:uid="{0965BDCD-7D7C-4544-BCEB-0A49F6092974}"/>
    <cellStyle name="Zelle überprüfen 18 2 2" xfId="39117" xr:uid="{13DBAE91-4A94-4322-A09A-A11225F32BF5}"/>
    <cellStyle name="Zelle überprüfen 18 3" xfId="19685" xr:uid="{4BEA0D33-C3CA-43A9-A595-38F510D49051}"/>
    <cellStyle name="Zelle überprüfen 18 3 2" xfId="39118" xr:uid="{F28E3828-1BFF-4E24-A04A-56A575545BD2}"/>
    <cellStyle name="Zelle überprüfen 18 4" xfId="39116" xr:uid="{B58A5226-548C-4362-AF5B-569D7867685D}"/>
    <cellStyle name="Zelle überprüfen 19" xfId="19686" xr:uid="{3EB8DEDC-3042-4C60-B918-A4732936C21E}"/>
    <cellStyle name="Zelle überprüfen 19 2" xfId="19687" xr:uid="{68FDA88C-E0F0-4AA6-9258-16D4BBA7A6E0}"/>
    <cellStyle name="Zelle überprüfen 19 2 2" xfId="39120" xr:uid="{42EA1554-45B5-46D2-BE48-D13EC8C0074E}"/>
    <cellStyle name="Zelle überprüfen 19 3" xfId="19688" xr:uid="{8DC72D5D-183D-41DE-97E7-64E0081EFD22}"/>
    <cellStyle name="Zelle überprüfen 19 3 2" xfId="39121" xr:uid="{13AE4E31-3DAF-482B-93A8-F7C2C8C68D40}"/>
    <cellStyle name="Zelle überprüfen 19 4" xfId="39119" xr:uid="{A2F3978C-57DD-4A50-83F8-EB8DC70C0B58}"/>
    <cellStyle name="Zelle überprüfen 2" xfId="19689" xr:uid="{08E1E3E9-7310-4A17-A294-212159933F3E}"/>
    <cellStyle name="Zelle überprüfen 2 10" xfId="19690" xr:uid="{839C896C-FD56-4456-A1C5-E0D15809A15B}"/>
    <cellStyle name="Zelle überprüfen 2 10 2" xfId="39123" xr:uid="{794BDDF1-A1F2-4FF3-9D37-C2E05DD64350}"/>
    <cellStyle name="Zelle überprüfen 2 11" xfId="19691" xr:uid="{5CFABB30-5250-4D42-9BAE-AD71767B3901}"/>
    <cellStyle name="Zelle überprüfen 2 11 2" xfId="39124" xr:uid="{DC47B21F-FE7B-4306-878E-112A728B44B2}"/>
    <cellStyle name="Zelle überprüfen 2 12" xfId="19692" xr:uid="{61A04197-A72C-4B95-AFC9-518C2EF38AB9}"/>
    <cellStyle name="Zelle überprüfen 2 12 2" xfId="39125" xr:uid="{651AB5A7-0AB5-4590-BC68-C61FCA14E3E2}"/>
    <cellStyle name="Zelle überprüfen 2 13" xfId="19693" xr:uid="{C24BE593-8265-4075-9F0E-F40999D677D2}"/>
    <cellStyle name="Zelle überprüfen 2 13 2" xfId="39126" xr:uid="{A0F5EF30-BEF3-4091-8913-E0D8639040C0}"/>
    <cellStyle name="Zelle überprüfen 2 14" xfId="19694" xr:uid="{5862C023-00B0-4415-ABBC-C2AD12DF8EB6}"/>
    <cellStyle name="Zelle überprüfen 2 14 2" xfId="39127" xr:uid="{5354599E-FE20-461B-B010-7503EAAC0D4B}"/>
    <cellStyle name="Zelle überprüfen 2 15" xfId="39122" xr:uid="{C6C77A02-7FAB-424C-9ACA-C6CD18DEB1D7}"/>
    <cellStyle name="Zelle überprüfen 2 16" xfId="39895" xr:uid="{CCB38E28-923C-4D77-8E7F-D47F330AD3F4}"/>
    <cellStyle name="Zelle überprüfen 2 2" xfId="19695" xr:uid="{8872D19C-D5F6-42F2-803D-676F1D007C12}"/>
    <cellStyle name="Zelle überprüfen 2 2 10" xfId="19696" xr:uid="{762381CD-6DE4-439D-A762-F671588CB259}"/>
    <cellStyle name="Zelle überprüfen 2 2 10 2" xfId="39129" xr:uid="{7840A005-240C-485C-B588-A491374949E5}"/>
    <cellStyle name="Zelle überprüfen 2 2 11" xfId="19697" xr:uid="{9CCBAC50-9008-449D-852A-E4B4F233882F}"/>
    <cellStyle name="Zelle überprüfen 2 2 11 2" xfId="39130" xr:uid="{92823CB7-78E1-4900-B0AF-236538BC9DD7}"/>
    <cellStyle name="Zelle überprüfen 2 2 12" xfId="19698" xr:uid="{D216D35A-F280-431A-9994-5D51E4FF3679}"/>
    <cellStyle name="Zelle überprüfen 2 2 12 2" xfId="39131" xr:uid="{66FFEBCE-D5D4-457D-9721-5FD95ECE2D39}"/>
    <cellStyle name="Zelle überprüfen 2 2 13" xfId="39128" xr:uid="{DAE85699-4F72-4D82-8E6A-0E792CC2673B}"/>
    <cellStyle name="Zelle überprüfen 2 2 14" xfId="39896" xr:uid="{0324C255-D5AB-452D-919B-7510C37A969A}"/>
    <cellStyle name="Zelle überprüfen 2 2 2" xfId="19699" xr:uid="{EF0FBA4D-D6DA-47B9-B099-7DC3F99FBB0C}"/>
    <cellStyle name="Zelle überprüfen 2 2 2 10" xfId="19700" xr:uid="{D0A3EB24-18CF-4134-BF70-E431A2D1BDCD}"/>
    <cellStyle name="Zelle überprüfen 2 2 2 10 2" xfId="39133" xr:uid="{2F1BA3B5-D99F-4765-BE40-8033F1952840}"/>
    <cellStyle name="Zelle überprüfen 2 2 2 11" xfId="39132" xr:uid="{B9F1815F-E5E9-4C9D-86F4-61173E6BB973}"/>
    <cellStyle name="Zelle überprüfen 2 2 2 2" xfId="19701" xr:uid="{61571BA6-016F-46F9-A4AD-15704B0AD50D}"/>
    <cellStyle name="Zelle überprüfen 2 2 2 2 2" xfId="19702" xr:uid="{6A1AB821-089F-470F-8115-2F97A0AB2279}"/>
    <cellStyle name="Zelle überprüfen 2 2 2 2 2 2" xfId="19703" xr:uid="{E09FD8DA-11F6-4ABC-8BD2-31C638CEB267}"/>
    <cellStyle name="Zelle überprüfen 2 2 2 2 2 2 2" xfId="19704" xr:uid="{9AD88A9A-80DD-4263-8DDE-2B0CB5FF9B43}"/>
    <cellStyle name="Zelle überprüfen 2 2 2 2 2 2 2 2" xfId="39137" xr:uid="{7D0AD542-82F7-42BA-8AA0-EF6A3531E9E4}"/>
    <cellStyle name="Zelle überprüfen 2 2 2 2 2 2 3" xfId="39136" xr:uid="{60057A2E-4B09-444A-9CC2-C737FB8DE50D}"/>
    <cellStyle name="Zelle überprüfen 2 2 2 2 2 3" xfId="19705" xr:uid="{EA59EF89-C88D-407F-A867-8E1D377BC169}"/>
    <cellStyle name="Zelle überprüfen 2 2 2 2 2 3 2" xfId="39138" xr:uid="{F5318493-D54C-4B97-A645-45615F79109B}"/>
    <cellStyle name="Zelle überprüfen 2 2 2 2 2 4" xfId="19706" xr:uid="{89138609-B225-4EC6-B190-C6205A445E42}"/>
    <cellStyle name="Zelle überprüfen 2 2 2 2 2 4 2" xfId="39139" xr:uid="{5266180E-19D2-414F-88DA-18F1B98D9F0D}"/>
    <cellStyle name="Zelle überprüfen 2 2 2 2 2 5" xfId="19707" xr:uid="{7EB2ACD9-AEFC-49F2-B555-42142D9022C9}"/>
    <cellStyle name="Zelle überprüfen 2 2 2 2 2 5 2" xfId="39140" xr:uid="{2FB156D6-DA2C-4743-9FCF-CA78734A2F0B}"/>
    <cellStyle name="Zelle überprüfen 2 2 2 2 2 6" xfId="19708" xr:uid="{902FCB6A-3EEA-4133-867D-0D6088714AAF}"/>
    <cellStyle name="Zelle überprüfen 2 2 2 2 2 6 2" xfId="39141" xr:uid="{87834945-518D-400B-970B-6D710F1F6C3B}"/>
    <cellStyle name="Zelle überprüfen 2 2 2 2 2 7" xfId="19709" xr:uid="{282FE818-BEB2-4A75-950D-289DD8C7000C}"/>
    <cellStyle name="Zelle überprüfen 2 2 2 2 2 7 2" xfId="39142" xr:uid="{A760BD1A-5CF3-4D40-9916-88CDC4194D56}"/>
    <cellStyle name="Zelle überprüfen 2 2 2 2 2 8" xfId="19710" xr:uid="{DC2C938F-0441-4D92-8216-5036EDDCA408}"/>
    <cellStyle name="Zelle überprüfen 2 2 2 2 2 8 2" xfId="39143" xr:uid="{039B622A-3641-45BF-9403-656FB9EBD7B3}"/>
    <cellStyle name="Zelle überprüfen 2 2 2 2 2 9" xfId="39135" xr:uid="{4ACC9809-A2F0-4CCD-BB44-8F294D619C9B}"/>
    <cellStyle name="Zelle überprüfen 2 2 2 2 3" xfId="19711" xr:uid="{971B22D2-248A-49CC-A674-912189782726}"/>
    <cellStyle name="Zelle überprüfen 2 2 2 2 3 2" xfId="19712" xr:uid="{2BC6B7FC-D772-4756-BDFF-A3727ECCF5D4}"/>
    <cellStyle name="Zelle überprüfen 2 2 2 2 3 2 2" xfId="39145" xr:uid="{50977618-B499-4EDB-B103-EAB312BF11CA}"/>
    <cellStyle name="Zelle überprüfen 2 2 2 2 3 3" xfId="39144" xr:uid="{D8D546E5-A06B-4D2D-A876-E6890347CCB5}"/>
    <cellStyle name="Zelle überprüfen 2 2 2 2 4" xfId="19713" xr:uid="{D0108B28-E831-4B10-9A85-019D1A9A5736}"/>
    <cellStyle name="Zelle überprüfen 2 2 2 2 4 2" xfId="39146" xr:uid="{5622CD75-834F-40D6-B836-0A796146303E}"/>
    <cellStyle name="Zelle überprüfen 2 2 2 2 5" xfId="19714" xr:uid="{4909C466-80D3-4BFA-91F9-322544F91A98}"/>
    <cellStyle name="Zelle überprüfen 2 2 2 2 5 2" xfId="39147" xr:uid="{5F8A3524-E045-4D21-882F-0D4032823C1B}"/>
    <cellStyle name="Zelle überprüfen 2 2 2 2 6" xfId="19715" xr:uid="{B7686EA4-F712-477D-8BD3-291FA4F55C4C}"/>
    <cellStyle name="Zelle überprüfen 2 2 2 2 6 2" xfId="39148" xr:uid="{1CDBA400-30F2-4A71-8E4F-528C7BF00945}"/>
    <cellStyle name="Zelle überprüfen 2 2 2 2 7" xfId="19716" xr:uid="{E00B0F9C-D7A8-4440-BEEE-8852BC1D6B7C}"/>
    <cellStyle name="Zelle überprüfen 2 2 2 2 7 2" xfId="39149" xr:uid="{B92D6D95-67CE-4821-97AC-99A46B121198}"/>
    <cellStyle name="Zelle überprüfen 2 2 2 2 8" xfId="19717" xr:uid="{6DA29DCE-450E-4589-A90A-BB54E10DAB6C}"/>
    <cellStyle name="Zelle überprüfen 2 2 2 2 8 2" xfId="39150" xr:uid="{84D91B52-D11B-4D2E-BC61-BBAB562F6942}"/>
    <cellStyle name="Zelle überprüfen 2 2 2 2 9" xfId="39134" xr:uid="{1FB163A7-39BB-4E04-8910-3018B112C2DE}"/>
    <cellStyle name="Zelle überprüfen 2 2 2 3" xfId="19718" xr:uid="{A8AD4F1F-CD24-4409-8F97-1F2FF48BE667}"/>
    <cellStyle name="Zelle überprüfen 2 2 2 3 2" xfId="39151" xr:uid="{26224A93-AEAB-4BB1-8592-73B4B21F80D8}"/>
    <cellStyle name="Zelle überprüfen 2 2 2 4" xfId="19719" xr:uid="{C58667E7-7029-4B6A-A366-DB291B172101}"/>
    <cellStyle name="Zelle überprüfen 2 2 2 4 2" xfId="39152" xr:uid="{C5EEB7A5-2CB9-4D67-87E9-BE032F457B00}"/>
    <cellStyle name="Zelle überprüfen 2 2 2 5" xfId="19720" xr:uid="{5A2D1D7F-6634-4B18-9623-DD6D2681825A}"/>
    <cellStyle name="Zelle überprüfen 2 2 2 5 2" xfId="19721" xr:uid="{115E367C-8CDE-4CBB-8E44-5FC536EC3A65}"/>
    <cellStyle name="Zelle überprüfen 2 2 2 5 2 2" xfId="39154" xr:uid="{21F37818-CFF0-4187-8DB1-7FACC874E500}"/>
    <cellStyle name="Zelle überprüfen 2 2 2 5 3" xfId="39153" xr:uid="{16EEDE7A-FED8-45CD-AF08-DB7B44E1DD76}"/>
    <cellStyle name="Zelle überprüfen 2 2 2 6" xfId="19722" xr:uid="{17519F26-A3CF-4648-97EA-A50A0D53664A}"/>
    <cellStyle name="Zelle überprüfen 2 2 2 6 2" xfId="39155" xr:uid="{03552761-BD4D-4535-A9B9-42888A5E6710}"/>
    <cellStyle name="Zelle überprüfen 2 2 2 7" xfId="19723" xr:uid="{508C6883-1014-435F-A5C8-5E9B688D1456}"/>
    <cellStyle name="Zelle überprüfen 2 2 2 7 2" xfId="39156" xr:uid="{1779982E-BEE1-445E-924A-1530957942FE}"/>
    <cellStyle name="Zelle überprüfen 2 2 2 8" xfId="19724" xr:uid="{FE8BCDE1-98F0-415D-B46B-2FECB1EB8CC1}"/>
    <cellStyle name="Zelle überprüfen 2 2 2 8 2" xfId="39157" xr:uid="{D99546B5-64CB-4680-99B2-2DD865963146}"/>
    <cellStyle name="Zelle überprüfen 2 2 2 9" xfId="19725" xr:uid="{DD68698E-A0E7-4D08-95F5-5654123455B2}"/>
    <cellStyle name="Zelle überprüfen 2 2 2 9 2" xfId="39158" xr:uid="{7CDD9E93-3CB1-4266-93B5-EA691472FE4E}"/>
    <cellStyle name="Zelle überprüfen 2 2 3" xfId="19726" xr:uid="{BBFD2B89-49CC-417D-8C9D-E561A69A8546}"/>
    <cellStyle name="Zelle überprüfen 2 2 3 2" xfId="39159" xr:uid="{DA51D060-CF15-43E9-8C28-04296FEFFE7A}"/>
    <cellStyle name="Zelle überprüfen 2 2 4" xfId="19727" xr:uid="{F8FD7887-0E56-4430-B55D-1C1521BDE7B7}"/>
    <cellStyle name="Zelle überprüfen 2 2 4 2" xfId="39160" xr:uid="{CC96887C-E915-4BD0-A1DB-4EBDC6F4B06C}"/>
    <cellStyle name="Zelle überprüfen 2 2 5" xfId="19728" xr:uid="{D8A406DA-A80D-469A-97B7-34026361FDF5}"/>
    <cellStyle name="Zelle überprüfen 2 2 5 2" xfId="19729" xr:uid="{031E3260-1E3B-404A-9797-B4FB3AA0899A}"/>
    <cellStyle name="Zelle überprüfen 2 2 5 2 2" xfId="39162" xr:uid="{5ACBA7AC-254F-4481-9A90-993E4EFE323E}"/>
    <cellStyle name="Zelle überprüfen 2 2 5 3" xfId="39161" xr:uid="{57FFF48C-D93D-49D5-8267-C3867595D067}"/>
    <cellStyle name="Zelle überprüfen 2 2 6" xfId="19730" xr:uid="{CD02BC0B-076F-4B0C-B82C-101BBD11D352}"/>
    <cellStyle name="Zelle überprüfen 2 2 6 2" xfId="39163" xr:uid="{D2F518DA-A507-4EAA-9203-BCDE99A05989}"/>
    <cellStyle name="Zelle überprüfen 2 2 7" xfId="19731" xr:uid="{082E51C9-E8E6-44A3-9FEC-B49DCCDD65D0}"/>
    <cellStyle name="Zelle überprüfen 2 2 7 2" xfId="19732" xr:uid="{39E4434A-C791-46AC-8CEF-8B9F3F8BA2E7}"/>
    <cellStyle name="Zelle überprüfen 2 2 7 2 2" xfId="39165" xr:uid="{3F328B48-54E9-4BC4-B4A6-4893D8092E5E}"/>
    <cellStyle name="Zelle überprüfen 2 2 7 3" xfId="39164" xr:uid="{9A2BA08D-795E-43E3-8768-E72478A3FFF6}"/>
    <cellStyle name="Zelle überprüfen 2 2 8" xfId="19733" xr:uid="{2A21D216-6E69-48C1-A325-251F1B7AB727}"/>
    <cellStyle name="Zelle überprüfen 2 2 8 2" xfId="39166" xr:uid="{710B7ED1-2D2F-448E-A875-6E6EA9839630}"/>
    <cellStyle name="Zelle überprüfen 2 2 9" xfId="19734" xr:uid="{302AC8D8-C8B7-47F7-B725-018352922045}"/>
    <cellStyle name="Zelle überprüfen 2 2 9 2" xfId="39167" xr:uid="{CE89003F-F681-44CA-8183-429DB67EA2D4}"/>
    <cellStyle name="Zelle überprüfen 2 3" xfId="19735" xr:uid="{44820B18-10D5-473E-A187-258AA5DEB93B}"/>
    <cellStyle name="Zelle überprüfen 2 3 2" xfId="39168" xr:uid="{D6C809BE-4BBB-4236-BBEE-A48A9F56C206}"/>
    <cellStyle name="Zelle überprüfen 2 4" xfId="19736" xr:uid="{C7CEB21B-E3C0-4B76-A979-C3DC86F06EAA}"/>
    <cellStyle name="Zelle überprüfen 2 4 2" xfId="19737" xr:uid="{AD725C77-891F-4F65-A24E-9B3A840FEF64}"/>
    <cellStyle name="Zelle überprüfen 2 4 2 2" xfId="19738" xr:uid="{597BCC68-BFDB-4812-A01C-8D1BFB09049C}"/>
    <cellStyle name="Zelle überprüfen 2 4 2 2 2" xfId="39171" xr:uid="{6B0C967B-FD5B-4A3A-925D-374DB1EA0DE3}"/>
    <cellStyle name="Zelle überprüfen 2 4 2 3" xfId="39170" xr:uid="{7D353C56-576D-498E-8423-F6FFC2BCD746}"/>
    <cellStyle name="Zelle überprüfen 2 4 3" xfId="19739" xr:uid="{37A31796-2F77-433A-B385-928FD30B6597}"/>
    <cellStyle name="Zelle überprüfen 2 4 3 2" xfId="39172" xr:uid="{13E187E0-5204-4E1B-8E36-777EED097CE7}"/>
    <cellStyle name="Zelle überprüfen 2 4 4" xfId="19740" xr:uid="{884C590D-C4D7-4020-A9FF-D4C7CD48B963}"/>
    <cellStyle name="Zelle überprüfen 2 4 4 2" xfId="39173" xr:uid="{31F719A8-14AF-4D3F-87CD-DA9446CAEB2D}"/>
    <cellStyle name="Zelle überprüfen 2 4 5" xfId="39169" xr:uid="{3316D54C-4F0C-4350-9ADD-660A12A4D86C}"/>
    <cellStyle name="Zelle überprüfen 2 5" xfId="19741" xr:uid="{C46A8100-5936-4591-8FE8-18BCE0984EA8}"/>
    <cellStyle name="Zelle überprüfen 2 5 2" xfId="39174" xr:uid="{4429AA17-25D4-4C27-9B6D-509DFE8DF12E}"/>
    <cellStyle name="Zelle überprüfen 2 6" xfId="19742" xr:uid="{A4CAD172-A3D4-4769-B9F9-1B9AA4190DAD}"/>
    <cellStyle name="Zelle überprüfen 2 6 2" xfId="19743" xr:uid="{96A8F9C8-4413-4281-BABA-D0EBC124B1CF}"/>
    <cellStyle name="Zelle überprüfen 2 6 2 2" xfId="39176" xr:uid="{C814C9B6-3F56-45B5-9D98-4227DC2DE477}"/>
    <cellStyle name="Zelle überprüfen 2 6 3" xfId="39175" xr:uid="{6D96BF9D-41A9-47A9-8504-3623427E64E3}"/>
    <cellStyle name="Zelle überprüfen 2 7" xfId="19744" xr:uid="{F7C82C5D-BDE5-4412-9F6B-88A9DAF5B37D}"/>
    <cellStyle name="Zelle überprüfen 2 7 2" xfId="39177" xr:uid="{584695F6-C9F1-4BEE-B9D9-B704C47C94CE}"/>
    <cellStyle name="Zelle überprüfen 2 8" xfId="19745" xr:uid="{39E8654D-BF11-4C58-826C-31457275E1F7}"/>
    <cellStyle name="Zelle überprüfen 2 8 2" xfId="19746" xr:uid="{6C794924-35F5-4094-BF21-9D6B734FB2C2}"/>
    <cellStyle name="Zelle überprüfen 2 8 2 2" xfId="39179" xr:uid="{ED118BDF-604F-40D5-98D8-80B4406B5068}"/>
    <cellStyle name="Zelle überprüfen 2 8 3" xfId="39178" xr:uid="{6D03A574-8381-4CAA-9DAA-466F6D72496A}"/>
    <cellStyle name="Zelle überprüfen 2 9" xfId="19747" xr:uid="{026678D3-A1DC-4267-9D47-8D7921C79B92}"/>
    <cellStyle name="Zelle überprüfen 2 9 2" xfId="39180" xr:uid="{779581B0-0820-4CBB-BDFC-0580C53B7E72}"/>
    <cellStyle name="Zelle überprüfen 20" xfId="19748" xr:uid="{02214C21-D53E-48A3-B5CA-3BFA987BC9E0}"/>
    <cellStyle name="Zelle überprüfen 20 2" xfId="19749" xr:uid="{3CB31D30-7B3F-4C8B-BFBD-E49556FF11F9}"/>
    <cellStyle name="Zelle überprüfen 20 2 2" xfId="39182" xr:uid="{76B57203-2629-4389-A528-CAAC5DC12E32}"/>
    <cellStyle name="Zelle überprüfen 20 3" xfId="19750" xr:uid="{3797E328-87F1-44D4-AD51-B8DCCD41B634}"/>
    <cellStyle name="Zelle überprüfen 20 3 2" xfId="39183" xr:uid="{9507B4EC-E3C6-4AF5-A2E4-E249A8B839C3}"/>
    <cellStyle name="Zelle überprüfen 20 4" xfId="39181" xr:uid="{0E91574C-1146-46E7-B533-8B79DF2B2352}"/>
    <cellStyle name="Zelle überprüfen 21" xfId="19751" xr:uid="{E059619B-04E1-4922-A22D-84CDE4B0B0B9}"/>
    <cellStyle name="Zelle überprüfen 21 2" xfId="19752" xr:uid="{4DA1DC73-EF4F-4FF3-917F-D172622E3EBC}"/>
    <cellStyle name="Zelle überprüfen 21 2 2" xfId="39185" xr:uid="{B40E7891-A2CE-4525-8558-CC3332B403A1}"/>
    <cellStyle name="Zelle überprüfen 21 3" xfId="19753" xr:uid="{AE673F71-074F-4B07-984B-0112DE5D869B}"/>
    <cellStyle name="Zelle überprüfen 21 3 2" xfId="39186" xr:uid="{FEBA6D8B-A6B6-4271-B97D-1BB161F419AB}"/>
    <cellStyle name="Zelle überprüfen 21 4" xfId="39184" xr:uid="{576F05A8-BEC4-4218-BB93-9F814C172701}"/>
    <cellStyle name="Zelle überprüfen 22" xfId="19754" xr:uid="{0AFB896D-19AA-46EA-9219-5B0CBD8F3F92}"/>
    <cellStyle name="Zelle überprüfen 22 2" xfId="19755" xr:uid="{6AD50F60-8DF4-4C9D-9AAE-894880CF2D48}"/>
    <cellStyle name="Zelle überprüfen 22 2 2" xfId="39188" xr:uid="{C89F4EC5-25BC-4976-8CC0-A0529D51F645}"/>
    <cellStyle name="Zelle überprüfen 22 3" xfId="19756" xr:uid="{44DD5DE9-005B-4475-B952-0990D8D2B56D}"/>
    <cellStyle name="Zelle überprüfen 22 3 2" xfId="39189" xr:uid="{6CBB70C8-C739-447D-AB09-2087263DAC14}"/>
    <cellStyle name="Zelle überprüfen 22 4" xfId="39187" xr:uid="{143517FB-F60A-4D4C-858A-462C2AA03F12}"/>
    <cellStyle name="Zelle überprüfen 23" xfId="19757" xr:uid="{C26E36A0-5F4D-434D-BE75-76DB406E2C6F}"/>
    <cellStyle name="Zelle überprüfen 23 2" xfId="19758" xr:uid="{CD579986-B040-4610-92AD-A3E74BC29EE6}"/>
    <cellStyle name="Zelle überprüfen 23 2 2" xfId="39191" xr:uid="{3514C8FE-5783-4DC4-9DCA-59F49F970C84}"/>
    <cellStyle name="Zelle überprüfen 23 3" xfId="19759" xr:uid="{C71435DF-94A8-4A68-9555-1AF57BC6CF15}"/>
    <cellStyle name="Zelle überprüfen 23 3 2" xfId="39192" xr:uid="{68DC589A-97EE-4910-8419-D2F255BFDE1E}"/>
    <cellStyle name="Zelle überprüfen 23 4" xfId="39190" xr:uid="{5FCD5C2E-702F-4ECA-91DE-1DB3D69853DB}"/>
    <cellStyle name="Zelle überprüfen 24" xfId="19760" xr:uid="{3D792E89-2CF3-4FD3-90D7-69A87830CD44}"/>
    <cellStyle name="Zelle überprüfen 24 2" xfId="19761" xr:uid="{8C439B70-3080-4E68-A52A-C1310EA9EF0F}"/>
    <cellStyle name="Zelle überprüfen 24 2 2" xfId="39194" xr:uid="{509A6D7B-F8B8-4661-ABD1-626FEE3E4536}"/>
    <cellStyle name="Zelle überprüfen 24 3" xfId="19762" xr:uid="{B6EAC9F4-57FE-4544-96CD-B18F80217CB8}"/>
    <cellStyle name="Zelle überprüfen 24 3 2" xfId="39195" xr:uid="{5AA323F6-4CA4-420D-ACA6-278FEAF92E47}"/>
    <cellStyle name="Zelle überprüfen 24 4" xfId="39193" xr:uid="{FE3B7C91-71AD-48E4-BF3E-7608E8939294}"/>
    <cellStyle name="Zelle überprüfen 25" xfId="19763" xr:uid="{C1D275A8-FA79-46AB-A958-F2C8D942BE6E}"/>
    <cellStyle name="Zelle überprüfen 25 2" xfId="19764" xr:uid="{26A45FF0-453B-4EBE-96C3-0CDA467DC74B}"/>
    <cellStyle name="Zelle überprüfen 25 2 2" xfId="39197" xr:uid="{5BF5A0D9-193F-4371-9EE7-94824D7416A6}"/>
    <cellStyle name="Zelle überprüfen 25 3" xfId="19765" xr:uid="{68A23750-7FF9-4C2A-95FF-7C8A3BA5EFD5}"/>
    <cellStyle name="Zelle überprüfen 25 3 2" xfId="39198" xr:uid="{C1A6A017-D784-429D-9E1F-FB68B229C155}"/>
    <cellStyle name="Zelle überprüfen 25 4" xfId="39196" xr:uid="{20FC67FF-1971-498D-BCAD-92D30A0AEF5B}"/>
    <cellStyle name="Zelle überprüfen 26" xfId="19766" xr:uid="{B4D328A6-7536-4160-851C-8EBBCB45CDEA}"/>
    <cellStyle name="Zelle überprüfen 26 2" xfId="19767" xr:uid="{0639F82F-8D75-47E1-9B19-92E415AD5292}"/>
    <cellStyle name="Zelle überprüfen 26 2 2" xfId="39200" xr:uid="{4FA2A033-A7A3-48B2-B813-9CD66FE40D8C}"/>
    <cellStyle name="Zelle überprüfen 26 3" xfId="19768" xr:uid="{A4F881E9-36F0-40E5-80C8-02BC3E4B6D12}"/>
    <cellStyle name="Zelle überprüfen 26 3 2" xfId="39201" xr:uid="{C6E16A78-D821-4BCC-BD4D-ACB97E574E16}"/>
    <cellStyle name="Zelle überprüfen 26 4" xfId="39199" xr:uid="{A1D31FE4-DA0A-459F-86B7-690DD43FC4C1}"/>
    <cellStyle name="Zelle überprüfen 27" xfId="19769" xr:uid="{967E66DB-D935-4983-8404-F16B4B84308D}"/>
    <cellStyle name="Zelle überprüfen 27 2" xfId="19770" xr:uid="{839D9E8A-4F60-4067-A018-0468DB2433AD}"/>
    <cellStyle name="Zelle überprüfen 27 2 2" xfId="39203" xr:uid="{B0D244AD-0C4C-4934-9886-D4AE3F345CDD}"/>
    <cellStyle name="Zelle überprüfen 27 3" xfId="19771" xr:uid="{9C6AA0CF-F550-483D-BB08-611320B035A6}"/>
    <cellStyle name="Zelle überprüfen 27 3 2" xfId="39204" xr:uid="{265A650C-AF89-45ED-932D-59A48B52A659}"/>
    <cellStyle name="Zelle überprüfen 27 4" xfId="39202" xr:uid="{D293D641-5584-4805-9C86-192D716951A2}"/>
    <cellStyle name="Zelle überprüfen 28" xfId="19772" xr:uid="{7FED0CC2-908E-4321-B2EA-BE73C98176C2}"/>
    <cellStyle name="Zelle überprüfen 28 2" xfId="19773" xr:uid="{7524708B-82AA-466D-996E-5BED1176C8C9}"/>
    <cellStyle name="Zelle überprüfen 28 2 2" xfId="39206" xr:uid="{923DE1C9-01C9-4587-9833-BCFD8953E542}"/>
    <cellStyle name="Zelle überprüfen 28 3" xfId="19774" xr:uid="{F06F3A9D-61D6-41A0-80F4-F9BB924C61F1}"/>
    <cellStyle name="Zelle überprüfen 28 3 2" xfId="39207" xr:uid="{C834D236-317F-45BE-89B1-6FADA44F8743}"/>
    <cellStyle name="Zelle überprüfen 28 4" xfId="39205" xr:uid="{6FEB3E50-C152-4AE7-816E-4F17BD089AC7}"/>
    <cellStyle name="Zelle überprüfen 29" xfId="19775" xr:uid="{3BC501C6-BA06-4518-AB5D-3747F38DB281}"/>
    <cellStyle name="Zelle überprüfen 29 2" xfId="19776" xr:uid="{E6FF0EC0-152F-4078-BE2E-72E904189E11}"/>
    <cellStyle name="Zelle überprüfen 29 2 2" xfId="39209" xr:uid="{1D91A351-1F20-4305-9D0E-9B071D8A1040}"/>
    <cellStyle name="Zelle überprüfen 29 3" xfId="19777" xr:uid="{81FEF986-C51F-49BF-A5B9-18A1D81FD7BF}"/>
    <cellStyle name="Zelle überprüfen 29 3 2" xfId="39210" xr:uid="{3FF81212-5A1E-4BAD-B8AC-CDD45E6ED4AA}"/>
    <cellStyle name="Zelle überprüfen 29 4" xfId="39208" xr:uid="{8AD49696-4112-4BC2-AF9E-51FA98D2B78E}"/>
    <cellStyle name="Zelle überprüfen 3" xfId="19778" xr:uid="{A795C642-0351-46F8-B857-751906B39547}"/>
    <cellStyle name="Zelle überprüfen 3 10" xfId="39897" xr:uid="{4104E48B-F689-4B8B-BF60-51A37396E9AD}"/>
    <cellStyle name="Zelle überprüfen 3 2" xfId="19779" xr:uid="{1A3666A0-E803-4279-86F9-43187A8E8F9F}"/>
    <cellStyle name="Zelle überprüfen 3 2 2" xfId="19780" xr:uid="{8AEB9DEB-3D0B-474C-BA6E-65F149477A4E}"/>
    <cellStyle name="Zelle überprüfen 3 2 2 2" xfId="19781" xr:uid="{12C8C501-E73C-4E21-ADE5-077757F2B85F}"/>
    <cellStyle name="Zelle überprüfen 3 2 2 2 2" xfId="39214" xr:uid="{C95498B2-3A16-4651-8604-06188B6103CC}"/>
    <cellStyle name="Zelle überprüfen 3 2 2 3" xfId="39213" xr:uid="{C6739986-1671-4375-9D87-B1F5999B782A}"/>
    <cellStyle name="Zelle überprüfen 3 2 3" xfId="19782" xr:uid="{182E446E-9053-4299-B3BC-BD9480EEE6B0}"/>
    <cellStyle name="Zelle überprüfen 3 2 3 2" xfId="39215" xr:uid="{0D3067D3-FBCC-419D-907E-77B4034CAA9D}"/>
    <cellStyle name="Zelle überprüfen 3 2 4" xfId="19783" xr:uid="{A7542F91-8F99-46DD-8FA8-007EA95D7A16}"/>
    <cellStyle name="Zelle überprüfen 3 2 4 2" xfId="39216" xr:uid="{787FBAB6-FF9B-494F-A270-650C33BC8B48}"/>
    <cellStyle name="Zelle überprüfen 3 2 5" xfId="39212" xr:uid="{EC1DB03F-8051-4B58-939E-EAEC907298CA}"/>
    <cellStyle name="Zelle überprüfen 3 2 6" xfId="40401" xr:uid="{0CD3E310-FF25-41BB-8BD9-364E4F4AB44A}"/>
    <cellStyle name="Zelle überprüfen 3 3" xfId="19784" xr:uid="{6483839B-0533-4119-AD0E-BD2FE6745565}"/>
    <cellStyle name="Zelle überprüfen 3 3 2" xfId="39217" xr:uid="{EDA71130-7D6A-4D8A-BE3E-816A784179CB}"/>
    <cellStyle name="Zelle überprüfen 3 4" xfId="19785" xr:uid="{F9E103B6-F210-4BED-A1E0-81A6ADB83523}"/>
    <cellStyle name="Zelle überprüfen 3 4 2" xfId="39218" xr:uid="{880B17BF-C23E-4543-B327-B683FEF2A491}"/>
    <cellStyle name="Zelle überprüfen 3 5" xfId="19786" xr:uid="{FF69259A-1B23-4F0E-A6CB-1755196B9A9F}"/>
    <cellStyle name="Zelle überprüfen 3 5 2" xfId="19787" xr:uid="{82DF6F5A-E052-483B-848D-078925B8A2CC}"/>
    <cellStyle name="Zelle überprüfen 3 5 2 2" xfId="39220" xr:uid="{0B5D9D44-7D14-464E-98BF-C3EAEF4E9684}"/>
    <cellStyle name="Zelle überprüfen 3 5 3" xfId="39219" xr:uid="{432842FD-1AC9-4D39-BB6C-A5A8CD07A908}"/>
    <cellStyle name="Zelle überprüfen 3 6" xfId="19788" xr:uid="{BD6F3000-7F7B-42B7-B99D-6E0368586448}"/>
    <cellStyle name="Zelle überprüfen 3 6 2" xfId="39221" xr:uid="{8CFB4D3A-32C0-4A8C-B739-F5E8785D703C}"/>
    <cellStyle name="Zelle überprüfen 3 7" xfId="19789" xr:uid="{13202FC3-859B-42EB-B6EC-D85713B2336F}"/>
    <cellStyle name="Zelle überprüfen 3 7 2" xfId="39222" xr:uid="{0FA774F7-531E-47F8-ADE2-5D94BBA5EE48}"/>
    <cellStyle name="Zelle überprüfen 3 8" xfId="19790" xr:uid="{963DD959-547F-4B3A-BF3F-595B1300B015}"/>
    <cellStyle name="Zelle überprüfen 3 8 2" xfId="39223" xr:uid="{F72D01E8-92CC-4364-8189-F018AEF2FC8D}"/>
    <cellStyle name="Zelle überprüfen 3 9" xfId="39211" xr:uid="{AED251B3-6563-418B-9CA9-E1B0B3525CFB}"/>
    <cellStyle name="Zelle überprüfen 30" xfId="19791" xr:uid="{AA3F2FD7-591D-4217-ADEE-CCD110A70A8B}"/>
    <cellStyle name="Zelle überprüfen 30 2" xfId="19792" xr:uid="{4A8E99F8-654D-416D-969E-682594A1C744}"/>
    <cellStyle name="Zelle überprüfen 30 2 2" xfId="39225" xr:uid="{02D0E46E-6A1F-453E-95FE-AEE2BEA19EBB}"/>
    <cellStyle name="Zelle überprüfen 30 3" xfId="19793" xr:uid="{320763DC-0709-41AA-BBA9-0C66B0434FED}"/>
    <cellStyle name="Zelle überprüfen 30 3 2" xfId="39226" xr:uid="{3C3DA019-67B5-482E-9E3F-8CDCAB3376A6}"/>
    <cellStyle name="Zelle überprüfen 30 4" xfId="39224" xr:uid="{F4DC7BBA-5C35-45D6-A60C-573DE5B0D10A}"/>
    <cellStyle name="Zelle überprüfen 31" xfId="19794" xr:uid="{C0C79EBA-E216-4895-AF8F-F8FB6536F1F1}"/>
    <cellStyle name="Zelle überprüfen 31 2" xfId="19795" xr:uid="{6E54DA2E-1C89-4056-BDB7-9C4679E0035B}"/>
    <cellStyle name="Zelle überprüfen 31 2 2" xfId="39228" xr:uid="{AE34860F-BCC0-4FD8-9DC3-D46D944E61EB}"/>
    <cellStyle name="Zelle überprüfen 31 3" xfId="19796" xr:uid="{5975341E-EDBC-4721-B7C5-7EFDDE85B889}"/>
    <cellStyle name="Zelle überprüfen 31 3 2" xfId="39229" xr:uid="{378CF3F0-01D7-432E-9922-AB6696302091}"/>
    <cellStyle name="Zelle überprüfen 31 4" xfId="39227" xr:uid="{AEFB384E-4D04-4C16-9CB7-FE42275731FA}"/>
    <cellStyle name="Zelle überprüfen 32" xfId="19797" xr:uid="{4E5FE946-846C-451F-AE21-A585B275BAD2}"/>
    <cellStyle name="Zelle überprüfen 32 2" xfId="19798" xr:uid="{D5A0F7B0-AD05-449A-AD4F-C7D9BC3DFA99}"/>
    <cellStyle name="Zelle überprüfen 32 2 2" xfId="39231" xr:uid="{F8BCAD79-C431-4A4A-AD55-AB37E1FF90EF}"/>
    <cellStyle name="Zelle überprüfen 32 3" xfId="19799" xr:uid="{FB6FC722-854E-4237-9A32-522FB115EAD3}"/>
    <cellStyle name="Zelle überprüfen 32 3 2" xfId="39232" xr:uid="{CE7A21CA-C9C0-4DE0-B2BE-824997599917}"/>
    <cellStyle name="Zelle überprüfen 32 4" xfId="39230" xr:uid="{364FFBA9-6009-409E-986C-168C62944DB0}"/>
    <cellStyle name="Zelle überprüfen 33" xfId="19800" xr:uid="{E8025073-914F-4220-97C1-4F8F900C3914}"/>
    <cellStyle name="Zelle überprüfen 33 2" xfId="19801" xr:uid="{FE0242DC-36DE-4886-B1D5-9DBAC815767A}"/>
    <cellStyle name="Zelle überprüfen 33 2 2" xfId="39234" xr:uid="{F9BE492B-0480-466F-8E19-FEA29C5B4849}"/>
    <cellStyle name="Zelle überprüfen 33 3" xfId="19802" xr:uid="{454FB332-96F2-4D97-8392-906F7D208DBA}"/>
    <cellStyle name="Zelle überprüfen 33 3 2" xfId="39235" xr:uid="{387F5505-5B6A-4D62-ABA7-63D97A4696FC}"/>
    <cellStyle name="Zelle überprüfen 33 4" xfId="39233" xr:uid="{205E22D1-06E3-492B-8545-27A8A39F2498}"/>
    <cellStyle name="Zelle überprüfen 34" xfId="19803" xr:uid="{DA633180-7EB2-4150-9812-83E1C6E69091}"/>
    <cellStyle name="Zelle überprüfen 34 2" xfId="19804" xr:uid="{B8F9D8CE-F4D3-4EDE-9C44-34D7EC4228CB}"/>
    <cellStyle name="Zelle überprüfen 34 2 2" xfId="39237" xr:uid="{F93A519D-B19B-4479-BF54-AD79FC0EDA78}"/>
    <cellStyle name="Zelle überprüfen 34 3" xfId="19805" xr:uid="{89A6C485-1B1B-411D-B486-5FB6C1AE1C8A}"/>
    <cellStyle name="Zelle überprüfen 34 3 2" xfId="39238" xr:uid="{9FF3BCEC-7557-4417-BD21-39FB22BB9E0D}"/>
    <cellStyle name="Zelle überprüfen 34 4" xfId="39236" xr:uid="{08AC7824-0AE5-45AF-B920-59DFC3F313A2}"/>
    <cellStyle name="Zelle überprüfen 35" xfId="19806" xr:uid="{36A9ABDC-C4C0-410A-852B-6A3B67B4DA08}"/>
    <cellStyle name="Zelle überprüfen 35 2" xfId="19807" xr:uid="{6A74E3C1-0E43-4FE2-ABCC-77D36B416F1B}"/>
    <cellStyle name="Zelle überprüfen 35 2 2" xfId="39240" xr:uid="{53C7FA01-632D-42D2-9A3E-765096CFB90E}"/>
    <cellStyle name="Zelle überprüfen 35 3" xfId="19808" xr:uid="{B4620242-3BB7-47B3-BBEB-7E79C6B89BC2}"/>
    <cellStyle name="Zelle überprüfen 35 3 2" xfId="39241" xr:uid="{D6BB9939-72A8-4619-BFDA-55A2075492BD}"/>
    <cellStyle name="Zelle überprüfen 35 4" xfId="39239" xr:uid="{EB67B0F8-EEB4-41FA-83FC-15D4A0C12565}"/>
    <cellStyle name="Zelle überprüfen 36" xfId="19809" xr:uid="{1D71983D-2065-4EF9-80D9-A0703ACDC72C}"/>
    <cellStyle name="Zelle überprüfen 36 2" xfId="19810" xr:uid="{7895CB05-6425-49FE-8839-77C49F0AE33D}"/>
    <cellStyle name="Zelle überprüfen 36 2 2" xfId="39243" xr:uid="{270E8984-8F62-4CDD-A6FD-80368BC72D8C}"/>
    <cellStyle name="Zelle überprüfen 36 3" xfId="19811" xr:uid="{1DCEC048-AD0D-49EA-AA66-74AD54B08942}"/>
    <cellStyle name="Zelle überprüfen 36 3 2" xfId="39244" xr:uid="{24BC61ED-2A17-4BD0-A58F-E40A092F7CA2}"/>
    <cellStyle name="Zelle überprüfen 36 4" xfId="39242" xr:uid="{E5DFF0AA-7846-42B8-8E7E-8B0782102AC8}"/>
    <cellStyle name="Zelle überprüfen 37" xfId="39095" xr:uid="{FEFC250A-2BF4-4915-B063-AE4ED53A30D4}"/>
    <cellStyle name="Zelle überprüfen 38" xfId="40414" xr:uid="{0C185F03-5E9C-48D5-ACB1-79E0CF636795}"/>
    <cellStyle name="Zelle überprüfen 39" xfId="19662" xr:uid="{AE489AD9-1205-4A8C-AC82-74FC0E8F3B73}"/>
    <cellStyle name="Zelle überprüfen 4" xfId="19812" xr:uid="{B95B29F6-AC8D-4DBB-A4E5-222E21C0A578}"/>
    <cellStyle name="Zelle überprüfen 4 2" xfId="19813" xr:uid="{DD032336-BA52-4E0C-B224-52678C0D87CE}"/>
    <cellStyle name="Zelle überprüfen 4 2 2" xfId="19814" xr:uid="{EC217F0A-D27A-4E65-9945-F79C8921F7E3}"/>
    <cellStyle name="Zelle überprüfen 4 2 2 2" xfId="39247" xr:uid="{874035C1-352E-452B-A32C-C3A4568FB174}"/>
    <cellStyle name="Zelle überprüfen 4 2 3" xfId="39246" xr:uid="{B335E52A-FA29-47E6-91FE-55489F4F2375}"/>
    <cellStyle name="Zelle überprüfen 4 2 4" xfId="40402" xr:uid="{0C4B831E-3683-4D64-B025-0D3906A5FA44}"/>
    <cellStyle name="Zelle überprüfen 4 3" xfId="19815" xr:uid="{EF8938F7-B201-40FF-9992-F4BB5A920B45}"/>
    <cellStyle name="Zelle überprüfen 4 3 2" xfId="39248" xr:uid="{3857B3B8-E223-47A9-97DE-77A129930931}"/>
    <cellStyle name="Zelle überprüfen 4 4" xfId="19816" xr:uid="{9BA32ADA-F85D-4405-8963-23A74129F209}"/>
    <cellStyle name="Zelle überprüfen 4 4 2" xfId="39249" xr:uid="{FA387492-C747-4ADE-B3CA-43831BFE401C}"/>
    <cellStyle name="Zelle überprüfen 4 5" xfId="19817" xr:uid="{1F63A9D1-5265-4BD6-8275-FE82200A7124}"/>
    <cellStyle name="Zelle überprüfen 4 5 2" xfId="39250" xr:uid="{A8215882-5476-4C09-AC0A-00CDF1236F5B}"/>
    <cellStyle name="Zelle überprüfen 4 6" xfId="19818" xr:uid="{9B6357D0-FCD4-4A3F-9514-BB3EDE94F809}"/>
    <cellStyle name="Zelle überprüfen 4 6 2" xfId="39251" xr:uid="{534B2F41-4CBF-489E-97EB-997A0089A282}"/>
    <cellStyle name="Zelle überprüfen 4 7" xfId="39245" xr:uid="{4E94DA61-B89B-4942-8D21-6D8B80B78CBD}"/>
    <cellStyle name="Zelle überprüfen 4 8" xfId="39898" xr:uid="{650ED559-2EB4-483C-9C6E-BBF1DCCE2707}"/>
    <cellStyle name="Zelle überprüfen 40" xfId="52" xr:uid="{E659CB60-9C57-47F8-B6BA-DDB669F93AFB}"/>
    <cellStyle name="Zelle überprüfen 5" xfId="19819" xr:uid="{9E7331B4-DE52-4161-A5E2-A79EE7F080E3}"/>
    <cellStyle name="Zelle überprüfen 5 2" xfId="19820" xr:uid="{9EFB799E-EAD5-47BA-83DC-2F2254F5D307}"/>
    <cellStyle name="Zelle überprüfen 5 2 2" xfId="39253" xr:uid="{9BB9C132-1D81-4D8C-BAA9-FF266850060A}"/>
    <cellStyle name="Zelle überprüfen 5 3" xfId="19821" xr:uid="{9DE926B2-D02F-4B49-A414-ADE423C48FB0}"/>
    <cellStyle name="Zelle überprüfen 5 3 2" xfId="39254" xr:uid="{B196208D-9B3C-4AFC-91A6-7D06FB0043DB}"/>
    <cellStyle name="Zelle überprüfen 5 4" xfId="19822" xr:uid="{92689606-92A2-42F9-816F-7B7FEE2FDD0C}"/>
    <cellStyle name="Zelle überprüfen 5 4 2" xfId="39255" xr:uid="{B8AC8F76-96FE-4F00-A4A3-DE9EE6EAE264}"/>
    <cellStyle name="Zelle überprüfen 5 5" xfId="19823" xr:uid="{E6D14799-0EBC-46E9-ABFA-CF532B9F31A3}"/>
    <cellStyle name="Zelle überprüfen 5 5 2" xfId="39256" xr:uid="{3129D021-22E2-4BD4-AA93-892071089C8A}"/>
    <cellStyle name="Zelle überprüfen 5 6" xfId="39252" xr:uid="{34620B81-BB94-4AAB-BA5E-61F34453871A}"/>
    <cellStyle name="Zelle überprüfen 5 7" xfId="39899" xr:uid="{EDDE1FED-8384-455C-868E-4EA03C626404}"/>
    <cellStyle name="Zelle überprüfen 6" xfId="19824" xr:uid="{10215423-D3AE-45F6-97DF-8DAA31CF0C1A}"/>
    <cellStyle name="Zelle überprüfen 6 2" xfId="19825" xr:uid="{BB7DF602-5314-4853-8336-DDEDD35A8194}"/>
    <cellStyle name="Zelle überprüfen 6 2 2" xfId="39258" xr:uid="{48044A63-8D80-4E2F-BFA5-34FC3A472AAB}"/>
    <cellStyle name="Zelle überprüfen 6 3" xfId="19826" xr:uid="{E8C16765-089E-43D2-8B8F-C3B494BFCEAA}"/>
    <cellStyle name="Zelle überprüfen 6 3 2" xfId="39259" xr:uid="{4E8856D5-816E-4403-997A-BA1A434E9FC1}"/>
    <cellStyle name="Zelle überprüfen 6 4" xfId="19827" xr:uid="{8B61AB59-A55D-49D3-95B8-15BC465F3C54}"/>
    <cellStyle name="Zelle überprüfen 6 4 2" xfId="39260" xr:uid="{F5FA7FFC-798E-47BA-ABA9-C8E792613BE5}"/>
    <cellStyle name="Zelle überprüfen 6 5" xfId="19828" xr:uid="{03E2E730-20AA-4766-AA56-A143CE9E860C}"/>
    <cellStyle name="Zelle überprüfen 6 5 2" xfId="39261" xr:uid="{D61367BA-CA7E-4973-955B-C6A3D1369875}"/>
    <cellStyle name="Zelle überprüfen 6 6" xfId="39257" xr:uid="{022C47F1-A00C-4BCA-BA1B-7E0C10AEA6D4}"/>
    <cellStyle name="Zelle überprüfen 6 7" xfId="39894" xr:uid="{A873CD7F-2F48-4332-926F-7CC9FE63FA51}"/>
    <cellStyle name="Zelle überprüfen 7" xfId="19829" xr:uid="{047BEAEC-96A5-4ACE-9E08-6110080853FE}"/>
    <cellStyle name="Zelle überprüfen 7 2" xfId="19830" xr:uid="{65A9B086-99C1-44C4-B063-37028908D4EB}"/>
    <cellStyle name="Zelle überprüfen 7 2 2" xfId="39263" xr:uid="{63146E89-C903-43EF-8B65-C50D614C3792}"/>
    <cellStyle name="Zelle überprüfen 7 3" xfId="39262" xr:uid="{E4BACC35-0D13-42E3-97E9-B46BF46CC09E}"/>
    <cellStyle name="Zelle überprüfen 8" xfId="19831" xr:uid="{CA541C5D-95D1-4992-8C54-BD83B6FC4A53}"/>
    <cellStyle name="Zelle überprüfen 8 2" xfId="19832" xr:uid="{0A9A08AD-2B97-4C48-998E-63848F3B6084}"/>
    <cellStyle name="Zelle überprüfen 8 2 2" xfId="39265" xr:uid="{947ABA28-2D97-458D-B7A1-E45DBAA8D6A9}"/>
    <cellStyle name="Zelle überprüfen 8 3" xfId="39264" xr:uid="{2C79508A-C380-42C8-A6C5-DA5D53A3C7B3}"/>
    <cellStyle name="Zelle überprüfen 9" xfId="19833" xr:uid="{9FCB4B0C-8B82-47AF-87F0-DFC6D216A479}"/>
    <cellStyle name="Zelle überprüfen 9 2" xfId="19834" xr:uid="{A481BE5B-F27F-40E1-B89A-F8908CA530E8}"/>
    <cellStyle name="Zelle überprüfen 9 2 2" xfId="39267" xr:uid="{13571572-611A-47EC-8004-64901D882EA5}"/>
    <cellStyle name="Zelle überprüfen 9 3" xfId="39266" xr:uid="{633DF2A6-75ED-4A63-82DD-02FD8B8C9547}"/>
  </cellStyles>
  <dxfs count="1644">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4" formatCode="#,##0.00"/>
    </dxf>
    <dxf>
      <numFmt numFmtId="3" formatCode="#,##0"/>
    </dxf>
    <dxf>
      <numFmt numFmtId="167" formatCode="#,##0.0"/>
    </dxf>
    <dxf>
      <numFmt numFmtId="3" formatCode="#,##0"/>
    </dxf>
    <dxf>
      <fill>
        <patternFill>
          <bgColor theme="2" tint="0.59996337778862885"/>
        </patternFill>
      </fill>
    </dxf>
    <dxf>
      <numFmt numFmtId="4" formatCode="#,##0.00"/>
    </dxf>
    <dxf>
      <numFmt numFmtId="3" formatCode="#,##0"/>
    </dxf>
    <dxf>
      <numFmt numFmtId="167" formatCode="#,##0.0"/>
    </dxf>
    <dxf>
      <numFmt numFmtId="3" formatCode="#,##0"/>
    </dxf>
    <dxf>
      <fill>
        <patternFill>
          <bgColor theme="2" tint="0.59996337778862885"/>
        </patternFill>
      </fill>
    </dxf>
    <dxf>
      <numFmt numFmtId="3" formatCode="#,##0"/>
    </dxf>
    <dxf>
      <numFmt numFmtId="167" formatCode="#,##0.0"/>
    </dxf>
    <dxf>
      <numFmt numFmtId="3" formatCode="#,##0"/>
    </dxf>
    <dxf>
      <fill>
        <patternFill>
          <bgColor theme="2" tint="0.59996337778862885"/>
        </patternFill>
      </fill>
    </dxf>
    <dxf>
      <numFmt numFmtId="3" formatCode="#,##0"/>
    </dxf>
    <dxf>
      <numFmt numFmtId="167" formatCode="#,##0.0"/>
    </dxf>
    <dxf>
      <numFmt numFmtId="3" formatCode="#,##0"/>
    </dxf>
    <dxf>
      <fill>
        <patternFill>
          <bgColor theme="2" tint="0.59996337778862885"/>
        </patternFill>
      </fill>
    </dxf>
    <dxf>
      <numFmt numFmtId="3" formatCode="#,##0"/>
    </dxf>
    <dxf>
      <numFmt numFmtId="167" formatCode="#,##0.0"/>
    </dxf>
    <dxf>
      <numFmt numFmtId="3" formatCode="#,##0"/>
    </dxf>
    <dxf>
      <fill>
        <patternFill>
          <bgColor theme="2" tint="0.59996337778862885"/>
        </patternFill>
      </fill>
    </dxf>
    <dxf>
      <numFmt numFmtId="3" formatCode="#,##0"/>
    </dxf>
    <dxf>
      <numFmt numFmtId="167" formatCode="#,##0.0"/>
    </dxf>
    <dxf>
      <numFmt numFmtId="3" formatCode="#,##0"/>
    </dxf>
    <dxf>
      <fill>
        <patternFill>
          <bgColor theme="2" tint="0.59996337778862885"/>
        </patternFill>
      </fill>
    </dxf>
    <dxf>
      <numFmt numFmtId="4" formatCode="#,##0.00"/>
    </dxf>
    <dxf>
      <numFmt numFmtId="3" formatCode="#,##0"/>
    </dxf>
    <dxf>
      <numFmt numFmtId="167" formatCode="#,##0.0"/>
    </dxf>
    <dxf>
      <numFmt numFmtId="3" formatCode="#,##0"/>
    </dxf>
    <dxf>
      <fill>
        <patternFill>
          <bgColor theme="2" tint="0.59996337778862885"/>
        </patternFill>
      </fill>
    </dxf>
    <dxf>
      <numFmt numFmtId="4" formatCode="#,##0.00"/>
    </dxf>
    <dxf>
      <numFmt numFmtId="3" formatCode="#,##0"/>
    </dxf>
    <dxf>
      <numFmt numFmtId="167" formatCode="#,##0.0"/>
    </dxf>
    <dxf>
      <numFmt numFmtId="3" formatCode="#,##0"/>
    </dxf>
    <dxf>
      <fill>
        <patternFill>
          <bgColor theme="2" tint="0.59996337778862885"/>
        </patternFill>
      </fill>
    </dxf>
    <dxf>
      <numFmt numFmtId="4" formatCode="#,##0.00"/>
    </dxf>
    <dxf>
      <numFmt numFmtId="3" formatCode="#,##0"/>
    </dxf>
    <dxf>
      <numFmt numFmtId="167" formatCode="#,##0.0"/>
    </dxf>
    <dxf>
      <numFmt numFmtId="3" formatCode="#,##0"/>
    </dxf>
    <dxf>
      <fill>
        <patternFill>
          <bgColor theme="2" tint="0.59996337778862885"/>
        </patternFill>
      </fill>
    </dxf>
    <dxf>
      <numFmt numFmtId="3" formatCode="#,##0"/>
    </dxf>
    <dxf>
      <numFmt numFmtId="167" formatCode="#,##0.0"/>
    </dxf>
    <dxf>
      <numFmt numFmtId="3" formatCode="#,##0"/>
    </dxf>
    <dxf>
      <fill>
        <patternFill>
          <bgColor theme="2" tint="0.59996337778862885"/>
        </patternFill>
      </fill>
    </dxf>
    <dxf>
      <numFmt numFmtId="3" formatCode="#,##0"/>
    </dxf>
    <dxf>
      <numFmt numFmtId="167" formatCode="#,##0.0"/>
    </dxf>
    <dxf>
      <numFmt numFmtId="3" formatCode="#,##0"/>
    </dxf>
    <dxf>
      <fill>
        <patternFill>
          <bgColor theme="2" tint="0.59996337778862885"/>
        </patternFill>
      </fill>
    </dxf>
    <dxf>
      <numFmt numFmtId="3" formatCode="#,##0"/>
    </dxf>
    <dxf>
      <numFmt numFmtId="167" formatCode="#,##0.0"/>
    </dxf>
    <dxf>
      <numFmt numFmtId="3" formatCode="#,##0"/>
    </dxf>
    <dxf>
      <fill>
        <patternFill>
          <bgColor theme="2" tint="0.59996337778862885"/>
        </patternFill>
      </fill>
    </dxf>
    <dxf>
      <numFmt numFmtId="3" formatCode="#,##0"/>
    </dxf>
    <dxf>
      <numFmt numFmtId="167" formatCode="#,##0.0"/>
    </dxf>
    <dxf>
      <numFmt numFmtId="3" formatCode="#,##0"/>
    </dxf>
    <dxf>
      <fill>
        <patternFill>
          <bgColor theme="2" tint="0.59996337778862885"/>
        </patternFill>
      </fill>
    </dxf>
    <dxf>
      <numFmt numFmtId="4" formatCode="#,##0.00"/>
    </dxf>
    <dxf>
      <numFmt numFmtId="3" formatCode="#,##0"/>
    </dxf>
    <dxf>
      <numFmt numFmtId="167" formatCode="#,##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4" formatCode="#,##0.00"/>
    </dxf>
    <dxf>
      <numFmt numFmtId="167" formatCode="#,##0.0"/>
    </dxf>
    <dxf>
      <numFmt numFmtId="3" formatCode="#,##0"/>
    </dxf>
    <dxf>
      <numFmt numFmtId="3" formatCode="#,##0"/>
    </dxf>
    <dxf>
      <numFmt numFmtId="4" formatCode="#,##0.00"/>
    </dxf>
    <dxf>
      <numFmt numFmtId="167" formatCode="#,##0.0"/>
    </dxf>
    <dxf>
      <numFmt numFmtId="3" formatCode="#,##0"/>
    </dxf>
    <dxf>
      <fill>
        <patternFill>
          <bgColor theme="2" tint="0.59996337778862885"/>
        </patternFill>
      </fill>
    </dxf>
    <dxf>
      <numFmt numFmtId="3" formatCode="#,##0"/>
    </dxf>
    <dxf>
      <numFmt numFmtId="167" formatCode="#,##0.0"/>
    </dxf>
    <dxf>
      <numFmt numFmtId="3" formatCode="#,##0"/>
    </dxf>
    <dxf>
      <numFmt numFmtId="167" formatCode="#,##0.0"/>
    </dxf>
    <dxf>
      <numFmt numFmtId="167" formatCode="#,##0.0"/>
    </dxf>
    <dxf>
      <numFmt numFmtId="3" formatCode="#,##0"/>
    </dxf>
    <dxf>
      <numFmt numFmtId="4" formatCode="#,##0.00"/>
    </dxf>
    <dxf>
      <numFmt numFmtId="167" formatCode="#,##0.0"/>
    </dxf>
    <dxf>
      <numFmt numFmtId="3" formatCode="#,##0"/>
    </dxf>
    <dxf>
      <fill>
        <patternFill>
          <bgColor theme="2" tint="0.59996337778862885"/>
        </patternFill>
      </fill>
    </dxf>
    <dxf>
      <numFmt numFmtId="167" formatCode="#,##0.0"/>
    </dxf>
    <dxf>
      <numFmt numFmtId="167" formatCode="#,##0.0"/>
    </dxf>
    <dxf>
      <numFmt numFmtId="3" formatCode="#,##0"/>
    </dxf>
    <dxf>
      <numFmt numFmtId="4" formatCode="#,##0.00"/>
    </dxf>
    <dxf>
      <numFmt numFmtId="167" formatCode="#,##0.0"/>
    </dxf>
    <dxf>
      <numFmt numFmtId="3" formatCode="#,##0"/>
    </dxf>
    <dxf>
      <numFmt numFmtId="3" formatCode="#,##0"/>
    </dxf>
    <dxf>
      <numFmt numFmtId="4" formatCode="#,##0.00"/>
    </dxf>
    <dxf>
      <numFmt numFmtId="167" formatCode="#,##0.0"/>
    </dxf>
    <dxf>
      <numFmt numFmtId="3" formatCode="#,##0"/>
    </dxf>
    <dxf>
      <fill>
        <patternFill>
          <bgColor theme="2" tint="0.59996337778862885"/>
        </patternFill>
      </fill>
    </dxf>
    <dxf>
      <numFmt numFmtId="167" formatCode="#,##0.0"/>
    </dxf>
    <dxf>
      <numFmt numFmtId="3" formatCode="#,##0"/>
    </dxf>
    <dxf>
      <numFmt numFmtId="4" formatCode="#,##0.00"/>
    </dxf>
    <dxf>
      <numFmt numFmtId="167" formatCode="#,##0.0"/>
    </dxf>
    <dxf>
      <numFmt numFmtId="3" formatCode="#,##0"/>
    </dxf>
    <dxf>
      <fill>
        <patternFill>
          <bgColor theme="2" tint="0.59996337778862885"/>
        </patternFill>
      </fill>
    </dxf>
    <dxf>
      <numFmt numFmtId="3" formatCode="#,##0"/>
    </dxf>
    <dxf>
      <numFmt numFmtId="4" formatCode="#,##0.00"/>
    </dxf>
    <dxf>
      <numFmt numFmtId="167" formatCode="#,##0.0"/>
    </dxf>
    <dxf>
      <numFmt numFmtId="3" formatCode="#,##0"/>
    </dxf>
    <dxf>
      <fill>
        <patternFill>
          <bgColor theme="2" tint="0.59996337778862885"/>
        </patternFill>
      </fill>
    </dxf>
    <dxf>
      <numFmt numFmtId="3" formatCode="#,##0"/>
    </dxf>
    <dxf>
      <numFmt numFmtId="4" formatCode="#,##0.00"/>
    </dxf>
    <dxf>
      <numFmt numFmtId="167" formatCode="#,##0.0"/>
    </dxf>
    <dxf>
      <numFmt numFmtId="3" formatCode="#,##0"/>
    </dxf>
    <dxf>
      <fill>
        <patternFill>
          <bgColor theme="2" tint="0.59996337778862885"/>
        </patternFill>
      </fill>
    </dxf>
    <dxf>
      <numFmt numFmtId="3" formatCode="#,##0"/>
    </dxf>
    <dxf>
      <numFmt numFmtId="4" formatCode="#,##0.00"/>
    </dxf>
    <dxf>
      <numFmt numFmtId="167" formatCode="#,##0.0"/>
    </dxf>
    <dxf>
      <numFmt numFmtId="3" formatCode="#,##0"/>
    </dxf>
    <dxf>
      <fill>
        <patternFill>
          <bgColor theme="2" tint="0.59996337778862885"/>
        </patternFill>
      </fill>
    </dxf>
    <dxf>
      <numFmt numFmtId="167" formatCode="#,##0.0"/>
    </dxf>
    <dxf>
      <numFmt numFmtId="3" formatCode="#,##0"/>
    </dxf>
    <dxf>
      <numFmt numFmtId="4" formatCode="#,##0.00"/>
    </dxf>
    <dxf>
      <numFmt numFmtId="167" formatCode="#,##0.0"/>
    </dxf>
    <dxf>
      <numFmt numFmtId="3" formatCode="#,##0"/>
    </dxf>
    <dxf>
      <fill>
        <patternFill>
          <bgColor theme="2" tint="0.59996337778862885"/>
        </patternFill>
      </fill>
    </dxf>
    <dxf>
      <numFmt numFmtId="167" formatCode="#,##0.0"/>
    </dxf>
    <dxf>
      <numFmt numFmtId="3" formatCode="#,##0"/>
    </dxf>
    <dxf>
      <numFmt numFmtId="4" formatCode="#,##0.00"/>
    </dxf>
    <dxf>
      <numFmt numFmtId="167" formatCode="#,##0.0"/>
    </dxf>
    <dxf>
      <numFmt numFmtId="3" formatCode="#,##0"/>
    </dxf>
    <dxf>
      <fill>
        <patternFill>
          <bgColor theme="2" tint="0.59996337778862885"/>
        </patternFill>
      </fill>
    </dxf>
    <dxf>
      <numFmt numFmtId="3" formatCode="#,##0"/>
    </dxf>
    <dxf>
      <numFmt numFmtId="4" formatCode="#,##0.00"/>
    </dxf>
    <dxf>
      <numFmt numFmtId="167" formatCode="#,##0.0"/>
    </dxf>
    <dxf>
      <numFmt numFmtId="3" formatCode="#,##0"/>
    </dxf>
    <dxf>
      <fill>
        <patternFill>
          <bgColor theme="2" tint="0.59996337778862885"/>
        </patternFill>
      </fill>
    </dxf>
    <dxf>
      <numFmt numFmtId="3" formatCode="#,##0"/>
    </dxf>
    <dxf>
      <numFmt numFmtId="4" formatCode="#,##0.00"/>
    </dxf>
    <dxf>
      <numFmt numFmtId="167" formatCode="#,##0.0"/>
    </dxf>
    <dxf>
      <numFmt numFmtId="3" formatCode="#,##0"/>
    </dxf>
    <dxf>
      <fill>
        <patternFill>
          <bgColor theme="2" tint="0.59996337778862885"/>
        </patternFill>
      </fill>
    </dxf>
    <dxf>
      <numFmt numFmtId="3" formatCode="#,##0"/>
    </dxf>
    <dxf>
      <numFmt numFmtId="4" formatCode="#,##0.00"/>
    </dxf>
    <dxf>
      <numFmt numFmtId="167" formatCode="#,##0.0"/>
    </dxf>
    <dxf>
      <numFmt numFmtId="3" formatCode="#,##0"/>
    </dxf>
    <dxf>
      <numFmt numFmtId="3" formatCode="#,##0"/>
    </dxf>
    <dxf>
      <numFmt numFmtId="4" formatCode="#,##0.00"/>
    </dxf>
    <dxf>
      <numFmt numFmtId="167" formatCode="#,##0.0"/>
    </dxf>
    <dxf>
      <numFmt numFmtId="3" formatCode="#,##0"/>
    </dxf>
    <dxf>
      <fill>
        <patternFill>
          <bgColor theme="2" tint="0.59996337778862885"/>
        </patternFill>
      </fill>
    </dxf>
    <dxf>
      <numFmt numFmtId="3" formatCode="#,##0"/>
    </dxf>
    <dxf>
      <numFmt numFmtId="167" formatCode="#,##0.0"/>
    </dxf>
    <dxf>
      <numFmt numFmtId="3" formatCode="#,##0"/>
    </dxf>
    <dxf>
      <numFmt numFmtId="167" formatCode="#,##0.0"/>
    </dxf>
    <dxf>
      <numFmt numFmtId="167" formatCode="#,##0.0"/>
    </dxf>
    <dxf>
      <numFmt numFmtId="3" formatCode="#,##0"/>
    </dxf>
    <dxf>
      <numFmt numFmtId="4" formatCode="#,##0.00"/>
    </dxf>
    <dxf>
      <numFmt numFmtId="167" formatCode="#,##0.0"/>
    </dxf>
    <dxf>
      <numFmt numFmtId="3" formatCode="#,##0"/>
    </dxf>
    <dxf>
      <fill>
        <patternFill>
          <bgColor theme="2" tint="0.59996337778862885"/>
        </patternFill>
      </fill>
    </dxf>
    <dxf>
      <numFmt numFmtId="167" formatCode="#,##0.0"/>
    </dxf>
    <dxf>
      <numFmt numFmtId="167" formatCode="#,##0.0"/>
    </dxf>
    <dxf>
      <numFmt numFmtId="3" formatCode="#,##0"/>
    </dxf>
    <dxf>
      <numFmt numFmtId="4" formatCode="#,##0.00"/>
    </dxf>
    <dxf>
      <numFmt numFmtId="167" formatCode="#,##0.0"/>
    </dxf>
    <dxf>
      <numFmt numFmtId="3" formatCode="#,##0"/>
    </dxf>
    <dxf>
      <numFmt numFmtId="3" formatCode="#,##0"/>
    </dxf>
    <dxf>
      <numFmt numFmtId="4" formatCode="#,##0.00"/>
    </dxf>
    <dxf>
      <numFmt numFmtId="167" formatCode="#,##0.0"/>
    </dxf>
    <dxf>
      <numFmt numFmtId="3" formatCode="#,##0"/>
    </dxf>
    <dxf>
      <fill>
        <patternFill>
          <bgColor theme="2" tint="0.59996337778862885"/>
        </patternFill>
      </fill>
    </dxf>
    <dxf>
      <numFmt numFmtId="167" formatCode="#,##0.0"/>
    </dxf>
    <dxf>
      <numFmt numFmtId="3" formatCode="#,##0"/>
    </dxf>
    <dxf>
      <numFmt numFmtId="4" formatCode="#,##0.00"/>
    </dxf>
    <dxf>
      <numFmt numFmtId="167" formatCode="#,##0.0"/>
    </dxf>
    <dxf>
      <numFmt numFmtId="3" formatCode="#,##0"/>
    </dxf>
    <dxf>
      <fill>
        <patternFill>
          <bgColor theme="2" tint="0.59996337778862885"/>
        </patternFill>
      </fill>
    </dxf>
    <dxf>
      <numFmt numFmtId="3" formatCode="#,##0"/>
    </dxf>
    <dxf>
      <numFmt numFmtId="4" formatCode="#,##0.00"/>
    </dxf>
    <dxf>
      <numFmt numFmtId="167" formatCode="#,##0.0"/>
    </dxf>
    <dxf>
      <numFmt numFmtId="3" formatCode="#,##0"/>
    </dxf>
    <dxf>
      <fill>
        <patternFill>
          <bgColor theme="2" tint="0.59996337778862885"/>
        </patternFill>
      </fill>
    </dxf>
    <dxf>
      <numFmt numFmtId="3" formatCode="#,##0"/>
    </dxf>
    <dxf>
      <numFmt numFmtId="4" formatCode="#,##0.00"/>
    </dxf>
    <dxf>
      <numFmt numFmtId="167" formatCode="#,##0.0"/>
    </dxf>
    <dxf>
      <numFmt numFmtId="3" formatCode="#,##0"/>
    </dxf>
    <dxf>
      <fill>
        <patternFill>
          <bgColor theme="2" tint="0.59996337778862885"/>
        </patternFill>
      </fill>
    </dxf>
    <dxf>
      <numFmt numFmtId="3" formatCode="#,##0"/>
    </dxf>
    <dxf>
      <numFmt numFmtId="4" formatCode="#,##0.00"/>
    </dxf>
    <dxf>
      <numFmt numFmtId="167" formatCode="#,##0.0"/>
    </dxf>
    <dxf>
      <numFmt numFmtId="3" formatCode="#,##0"/>
    </dxf>
    <dxf>
      <fill>
        <patternFill>
          <bgColor theme="2" tint="0.59996337778862885"/>
        </patternFill>
      </fill>
    </dxf>
    <dxf>
      <numFmt numFmtId="167" formatCode="#,##0.0"/>
    </dxf>
    <dxf>
      <numFmt numFmtId="3" formatCode="#,##0"/>
    </dxf>
    <dxf>
      <numFmt numFmtId="4" formatCode="#,##0.00"/>
    </dxf>
    <dxf>
      <numFmt numFmtId="167" formatCode="#,##0.0"/>
    </dxf>
    <dxf>
      <numFmt numFmtId="3" formatCode="#,##0"/>
    </dxf>
    <dxf>
      <fill>
        <patternFill>
          <bgColor theme="2" tint="0.59996337778862885"/>
        </patternFill>
      </fill>
    </dxf>
    <dxf>
      <numFmt numFmtId="167" formatCode="#,##0.0"/>
    </dxf>
    <dxf>
      <numFmt numFmtId="167" formatCode="#,##0.0"/>
    </dxf>
    <dxf>
      <numFmt numFmtId="3" formatCode="#,##0"/>
    </dxf>
    <dxf>
      <numFmt numFmtId="167" formatCode="#,##0.0"/>
    </dxf>
    <dxf>
      <numFmt numFmtId="167" formatCode="#,##0.0"/>
    </dxf>
    <dxf>
      <numFmt numFmtId="3" formatCode="#,##0"/>
    </dxf>
    <dxf>
      <numFmt numFmtId="167" formatCode="#,##0.0"/>
    </dxf>
    <dxf>
      <numFmt numFmtId="167" formatCode="#,##0.0"/>
    </dxf>
    <dxf>
      <numFmt numFmtId="167" formatCode="#,##0.0"/>
    </dxf>
    <dxf>
      <numFmt numFmtId="167" formatCode="#,##0.0"/>
    </dxf>
    <dxf>
      <numFmt numFmtId="167" formatCode="#,##0.0"/>
    </dxf>
    <dxf>
      <numFmt numFmtId="167" formatCode="#,##0.0"/>
    </dxf>
    <dxf>
      <numFmt numFmtId="167" formatCode="#,##0.0"/>
    </dxf>
    <dxf>
      <numFmt numFmtId="3" formatCode="#,##0"/>
    </dxf>
    <dxf>
      <numFmt numFmtId="4" formatCode="#,##0.00"/>
    </dxf>
    <dxf>
      <numFmt numFmtId="167" formatCode="#,##0.0"/>
    </dxf>
    <dxf>
      <numFmt numFmtId="3" formatCode="#,##0"/>
    </dxf>
    <dxf>
      <fill>
        <patternFill>
          <bgColor theme="2" tint="0.59996337778862885"/>
        </patternFill>
      </fill>
    </dxf>
    <dxf>
      <numFmt numFmtId="167" formatCode="#,##0.0"/>
    </dxf>
    <dxf>
      <numFmt numFmtId="3" formatCode="#,##0"/>
    </dxf>
    <dxf>
      <numFmt numFmtId="4" formatCode="#,##0.00"/>
    </dxf>
    <dxf>
      <numFmt numFmtId="167" formatCode="#,##0.0"/>
    </dxf>
    <dxf>
      <numFmt numFmtId="3" formatCode="#,##0"/>
    </dxf>
    <dxf>
      <fill>
        <patternFill>
          <bgColor theme="2" tint="0.59996337778862885"/>
        </patternFill>
      </fill>
    </dxf>
    <dxf>
      <numFmt numFmtId="3" formatCode="#,##0"/>
    </dxf>
    <dxf>
      <numFmt numFmtId="4" formatCode="#,##0.00"/>
    </dxf>
    <dxf>
      <numFmt numFmtId="167" formatCode="#,##0.0"/>
    </dxf>
    <dxf>
      <numFmt numFmtId="3" formatCode="#,##0"/>
    </dxf>
    <dxf>
      <fill>
        <patternFill>
          <bgColor theme="2" tint="0.59996337778862885"/>
        </patternFill>
      </fill>
    </dxf>
    <dxf>
      <numFmt numFmtId="3" formatCode="#,##0"/>
    </dxf>
    <dxf>
      <numFmt numFmtId="4" formatCode="#,##0.00"/>
    </dxf>
    <dxf>
      <numFmt numFmtId="167" formatCode="#,##0.0"/>
    </dxf>
    <dxf>
      <numFmt numFmtId="3" formatCode="#,##0"/>
    </dxf>
    <dxf>
      <fill>
        <patternFill>
          <bgColor theme="2" tint="0.59996337778862885"/>
        </patternFill>
      </fill>
    </dxf>
    <dxf>
      <numFmt numFmtId="3" formatCode="#,##0"/>
    </dxf>
    <dxf>
      <numFmt numFmtId="4" formatCode="#,##0.00"/>
    </dxf>
    <dxf>
      <numFmt numFmtId="167" formatCode="#,##0.0"/>
    </dxf>
    <dxf>
      <numFmt numFmtId="3" formatCode="#,##0"/>
    </dxf>
    <dxf>
      <numFmt numFmtId="167" formatCode="#,##0.0"/>
    </dxf>
    <dxf>
      <numFmt numFmtId="167" formatCode="#,##0.0"/>
    </dxf>
    <dxf>
      <numFmt numFmtId="3" formatCode="#,##0"/>
    </dxf>
    <dxf>
      <numFmt numFmtId="167" formatCode="#,##0.0"/>
    </dxf>
    <dxf>
      <numFmt numFmtId="167" formatCode="#,##0.0"/>
    </dxf>
    <dxf>
      <numFmt numFmtId="167" formatCode="#,##0.0"/>
    </dxf>
    <dxf>
      <numFmt numFmtId="167" formatCode="#,##0.0"/>
    </dxf>
    <dxf>
      <numFmt numFmtId="3" formatCode="#,##0"/>
    </dxf>
    <dxf>
      <numFmt numFmtId="4" formatCode="#,##0.00"/>
    </dxf>
    <dxf>
      <numFmt numFmtId="167" formatCode="#,##0.0"/>
    </dxf>
    <dxf>
      <numFmt numFmtId="3" formatCode="#,##0"/>
    </dxf>
    <dxf>
      <fill>
        <patternFill>
          <bgColor theme="2" tint="0.59996337778862885"/>
        </patternFill>
      </fill>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s>
  <tableStyles count="0" defaultTableStyle="TableStyleMedium2" defaultPivotStyle="PivotStyleLight16"/>
  <colors>
    <mruColors>
      <color rgb="FF99CCFF"/>
      <color rgb="FF99D5D2"/>
      <color rgb="FFD8AAAC"/>
      <color rgb="FFBAADC9"/>
      <color rgb="FF99B6C8"/>
      <color rgb="FF004976"/>
      <color rgb="FF66C0BC"/>
      <color rgb="FF006D68"/>
      <color rgb="FF523178"/>
      <color rgb="FF9E2A2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customXml" Target="../customXml/item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2000000}" name="Textbausteine_Menu" displayName="Textbausteine_Menu" ref="A1:E67" totalsRowShown="0" headerRowDxfId="85" dataDxfId="84">
  <autoFilter ref="A1:E67" xr:uid="{00000000-0009-0000-0100-000001000000}"/>
  <tableColumns count="5">
    <tableColumn id="1" xr3:uid="{00000000-0010-0000-0200-000001000000}" name="Text ID" dataDxfId="83">
      <calculatedColumnFormula>ROW()-1</calculatedColumnFormula>
    </tableColumn>
    <tableColumn id="2" xr3:uid="{00000000-0010-0000-0200-000002000000}" name="De" dataDxfId="82"/>
    <tableColumn id="3" xr3:uid="{00000000-0010-0000-0200-000003000000}" name="Fr" dataDxfId="81"/>
    <tableColumn id="4" xr3:uid="{00000000-0010-0000-0200-000004000000}" name="It" dataDxfId="80"/>
    <tableColumn id="5" xr3:uid="{00000000-0010-0000-0200-000005000000}" name="En" dataDxfId="79"/>
  </tableColumns>
  <tableStyleInfo name="TableStyleMedium4"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0B000000}" name="Textbausteine_403" displayName="Textbausteine_403" ref="BC1:BH151" totalsRowShown="0" headerRowDxfId="21" dataDxfId="20">
  <autoFilter ref="BC1:BH151" xr:uid="{00000000-0009-0000-0100-00000E000000}"/>
  <tableColumns count="6">
    <tableColumn id="1" xr3:uid="{00000000-0010-0000-0B00-000001000000}" name="Text ID" dataDxfId="19">
      <calculatedColumnFormula>ROW()-1</calculatedColumnFormula>
    </tableColumn>
    <tableColumn id="2" xr3:uid="{00000000-0010-0000-0B00-000002000000}" name="De" dataDxfId="18"/>
    <tableColumn id="3" xr3:uid="{00000000-0010-0000-0B00-000003000000}" name="Fr" dataDxfId="17"/>
    <tableColumn id="4" xr3:uid="{00000000-0010-0000-0B00-000004000000}" name="It" dataDxfId="16"/>
    <tableColumn id="5" xr3:uid="{00000000-0010-0000-0B00-000005000000}" name="En" dataDxfId="15"/>
    <tableColumn id="6" xr3:uid="{00000000-0010-0000-0B00-000006000000}" name="Spalte1" dataDxfId="14"/>
  </tableColumns>
  <tableStyleInfo name="TableStyleMedium4"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0C000000}" name="Textbausteine_405" displayName="Textbausteine_405" ref="BP1:BT151" totalsRowShown="0" headerRowDxfId="13" dataDxfId="12">
  <autoFilter ref="BP1:BT151" xr:uid="{00000000-0009-0000-0100-00000F000000}"/>
  <tableColumns count="5">
    <tableColumn id="1" xr3:uid="{00000000-0010-0000-0C00-000001000000}" name="Text ID" dataDxfId="11">
      <calculatedColumnFormula>ROW()-1</calculatedColumnFormula>
    </tableColumn>
    <tableColumn id="2" xr3:uid="{00000000-0010-0000-0C00-000002000000}" name="De" dataDxfId="10"/>
    <tableColumn id="3" xr3:uid="{00000000-0010-0000-0C00-000003000000}" name="Fr" dataDxfId="9"/>
    <tableColumn id="4" xr3:uid="{00000000-0010-0000-0C00-000004000000}" name="It" dataDxfId="8"/>
    <tableColumn id="5" xr3:uid="{00000000-0010-0000-0C00-000005000000}" name="En" dataDxfId="7"/>
  </tableColumns>
  <tableStyleInfo name="TableStyleMedium4"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D000000}" name="Textbausteine_404_" displayName="Textbausteine_404_" ref="BJ1:BN151" totalsRowShown="0" headerRowDxfId="6" dataDxfId="5">
  <autoFilter ref="BJ1:BN151" xr:uid="{00000000-0009-0000-0100-000008000000}"/>
  <tableColumns count="5">
    <tableColumn id="1" xr3:uid="{00000000-0010-0000-0D00-000001000000}" name="Text ID" dataDxfId="4">
      <calculatedColumnFormula>ROW()-1</calculatedColumnFormula>
    </tableColumn>
    <tableColumn id="2" xr3:uid="{00000000-0010-0000-0D00-000002000000}" name="De" dataDxfId="3"/>
    <tableColumn id="3" xr3:uid="{00000000-0010-0000-0D00-000003000000}" name="Fr" dataDxfId="2"/>
    <tableColumn id="4" xr3:uid="{00000000-0010-0000-0D00-000004000000}" name="It" dataDxfId="1"/>
    <tableColumn id="5" xr3:uid="{00000000-0010-0000-0D00-000005000000}" name="En" dataDxfId="0"/>
  </tableColumns>
  <tableStyleInfo name="TableStyleMedium4"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Sprachen" displayName="Sprachen" ref="A1:B5" totalsRowShown="0">
  <autoFilter ref="A1:B5" xr:uid="{00000000-0009-0000-0100-000003000000}"/>
  <tableColumns count="2">
    <tableColumn id="1" xr3:uid="{00000000-0010-0000-0000-000001000000}" name="Sprache"/>
    <tableColumn id="2" xr3:uid="{00000000-0010-0000-0000-000002000000}" name="Sprache ID"/>
  </tableColumns>
  <tableStyleInfo name="TableStyleMedium4"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1000000}" name="Gewählte_Sprache" displayName="Gewählte_Sprache" ref="D1:D2" totalsRowShown="0">
  <autoFilter ref="D1:D2" xr:uid="{00000000-0009-0000-0100-000004000000}"/>
  <tableColumns count="1">
    <tableColumn id="1" xr3:uid="{00000000-0010-0000-0100-000001000000}" name="Gewählte_Sprache">
      <calculatedColumnFormula>VLOOKUP(Inhaltsverzeichnis!$F$2,Sprachen[],2,FALSE)</calculatedColumnFormula>
    </tableColumn>
  </tableColumns>
  <tableStyleInfo name="TableStyleMedium4"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3000000}" name="Textbausteine_Inhalt" displayName="Textbausteine_Inhalt" ref="G1:K20" totalsRowShown="0" headerRowDxfId="78" dataDxfId="77">
  <autoFilter ref="G1:K20" xr:uid="{00000000-0009-0000-0100-000002000000}"/>
  <tableColumns count="5">
    <tableColumn id="1" xr3:uid="{00000000-0010-0000-0300-000001000000}" name="Text ID" dataDxfId="76">
      <calculatedColumnFormula>ROW()-1</calculatedColumnFormula>
    </tableColumn>
    <tableColumn id="2" xr3:uid="{00000000-0010-0000-0300-000002000000}" name="De" dataDxfId="75"/>
    <tableColumn id="3" xr3:uid="{00000000-0010-0000-0300-000003000000}" name="Fr" dataDxfId="74"/>
    <tableColumn id="4" xr3:uid="{00000000-0010-0000-0300-000004000000}" name="It" dataDxfId="73"/>
    <tableColumn id="5" xr3:uid="{00000000-0010-0000-0300-000005000000}" name="En" dataDxfId="72"/>
  </tableColumns>
  <tableStyleInfo name="TableStyleMedium4"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4000000}" name="Textbausteine_201" displayName="Textbausteine_201" ref="S1:W160" totalsRowShown="0" headerRowDxfId="71" dataDxfId="70">
  <autoFilter ref="S1:W160" xr:uid="{00000000-0009-0000-0100-000005000000}"/>
  <tableColumns count="5">
    <tableColumn id="1" xr3:uid="{00000000-0010-0000-0400-000001000000}" name="Text ID" dataDxfId="69">
      <calculatedColumnFormula>ROW()-1</calculatedColumnFormula>
    </tableColumn>
    <tableColumn id="2" xr3:uid="{00000000-0010-0000-0400-000002000000}" name="De" dataDxfId="68"/>
    <tableColumn id="3" xr3:uid="{00000000-0010-0000-0400-000003000000}" name="Fr" dataDxfId="67"/>
    <tableColumn id="4" xr3:uid="{00000000-0010-0000-0400-000004000000}" name="It" dataDxfId="66"/>
    <tableColumn id="5" xr3:uid="{00000000-0010-0000-0400-000005000000}" name="En" dataDxfId="65"/>
  </tableColumns>
  <tableStyleInfo name="TableStyleMedium4"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5000000}" name="Textbausteine_202" displayName="Textbausteine_202" ref="Y1:AC151" totalsRowShown="0" headerRowDxfId="64" dataDxfId="63">
  <autoFilter ref="Y1:AC151" xr:uid="{00000000-0009-0000-0100-000006000000}"/>
  <tableColumns count="5">
    <tableColumn id="1" xr3:uid="{00000000-0010-0000-0500-000001000000}" name="Text ID" dataDxfId="62">
      <calculatedColumnFormula>ROW()-1</calculatedColumnFormula>
    </tableColumn>
    <tableColumn id="2" xr3:uid="{00000000-0010-0000-0500-000002000000}" name="De" dataDxfId="61"/>
    <tableColumn id="3" xr3:uid="{00000000-0010-0000-0500-000003000000}" name="Fr" dataDxfId="60"/>
    <tableColumn id="4" xr3:uid="{00000000-0010-0000-0500-000004000000}" name="It" dataDxfId="59"/>
    <tableColumn id="5" xr3:uid="{00000000-0010-0000-0500-000005000000}" name="En" dataDxfId="58"/>
  </tableColumns>
  <tableStyleInfo name="TableStyleMedium4"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6000000}" name="Textbausteine_203" displayName="Textbausteine_203" ref="AE1:AI254" totalsRowShown="0" headerRowDxfId="57" dataDxfId="56">
  <autoFilter ref="AE1:AI254" xr:uid="{00000000-0009-0000-0100-000007000000}"/>
  <tableColumns count="5">
    <tableColumn id="1" xr3:uid="{00000000-0010-0000-0600-000001000000}" name="Text ID" dataDxfId="55">
      <calculatedColumnFormula>ROW()-1</calculatedColumnFormula>
    </tableColumn>
    <tableColumn id="2" xr3:uid="{00000000-0010-0000-0600-000002000000}" name="De" dataDxfId="54"/>
    <tableColumn id="3" xr3:uid="{00000000-0010-0000-0600-000003000000}" name="Fr" dataDxfId="53"/>
    <tableColumn id="4" xr3:uid="{00000000-0010-0000-0600-000004000000}" name="It" dataDxfId="52"/>
    <tableColumn id="5" xr3:uid="{00000000-0010-0000-0600-000005000000}" name="En" dataDxfId="51"/>
  </tableColumns>
  <tableStyleInfo name="TableStyleMedium4"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7000000}" name="Textbausteine_302" displayName="Textbausteine_302" ref="AK1:AP151" totalsRowShown="0" headerRowDxfId="50" dataDxfId="49">
  <autoFilter ref="AK1:AP151" xr:uid="{00000000-0009-0000-0100-000009000000}"/>
  <tableColumns count="6">
    <tableColumn id="1" xr3:uid="{00000000-0010-0000-0700-000001000000}" name="Text ID" dataDxfId="48">
      <calculatedColumnFormula>ROW()-1</calculatedColumnFormula>
    </tableColumn>
    <tableColumn id="2" xr3:uid="{00000000-0010-0000-0700-000002000000}" name="De" dataDxfId="47"/>
    <tableColumn id="3" xr3:uid="{00000000-0010-0000-0700-000003000000}" name="Fr" dataDxfId="46"/>
    <tableColumn id="4" xr3:uid="{00000000-0010-0000-0700-000004000000}" name="It" dataDxfId="45"/>
    <tableColumn id="5" xr3:uid="{00000000-0010-0000-0700-000005000000}" name="En" dataDxfId="44"/>
    <tableColumn id="6" xr3:uid="{9EB78DEC-3FDA-412A-9F23-DB0AA42625AC}" name="Spalte1" dataDxfId="43"/>
  </tableColumns>
  <tableStyleInfo name="TableStyleMedium4"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8000000}" name="Textbausteine_305" displayName="Textbausteine_305" ref="AQ1:AU156" totalsRowShown="0" headerRowDxfId="42" dataDxfId="41">
  <autoFilter ref="AQ1:AU156" xr:uid="{00000000-0009-0000-0100-00000A000000}"/>
  <tableColumns count="5">
    <tableColumn id="1" xr3:uid="{00000000-0010-0000-0800-000001000000}" name="Text ID" dataDxfId="40">
      <calculatedColumnFormula>ROW()-1</calculatedColumnFormula>
    </tableColumn>
    <tableColumn id="2" xr3:uid="{00000000-0010-0000-0800-000002000000}" name="De" dataDxfId="39"/>
    <tableColumn id="3" xr3:uid="{00000000-0010-0000-0800-000003000000}" name="Fr" dataDxfId="38"/>
    <tableColumn id="4" xr3:uid="{00000000-0010-0000-0800-000004000000}" name="It" dataDxfId="37"/>
    <tableColumn id="5" xr3:uid="{00000000-0010-0000-0800-000005000000}" name="En" dataDxfId="36"/>
  </tableColumns>
  <tableStyleInfo name="TableStyleMedium4"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9000000}" name="Textbausteine_102" displayName="Textbausteine_102" ref="M1:Q355" totalsRowShown="0" headerRowDxfId="35" dataDxfId="34">
  <autoFilter ref="M1:Q355" xr:uid="{00000000-0009-0000-0100-00000B000000}"/>
  <tableColumns count="5">
    <tableColumn id="1" xr3:uid="{00000000-0010-0000-0900-000001000000}" name="Text ID" dataDxfId="33">
      <calculatedColumnFormula>ROW()-1</calculatedColumnFormula>
    </tableColumn>
    <tableColumn id="2" xr3:uid="{00000000-0010-0000-0900-000002000000}" name="De" dataDxfId="32"/>
    <tableColumn id="3" xr3:uid="{00000000-0010-0000-0900-000003000000}" name="Fr" dataDxfId="31"/>
    <tableColumn id="4" xr3:uid="{00000000-0010-0000-0900-000004000000}" name="It" dataDxfId="30"/>
    <tableColumn id="5" xr3:uid="{00000000-0010-0000-0900-000005000000}" name="En" dataDxfId="29"/>
  </tableColumns>
  <tableStyleInfo name="TableStyleMedium4"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0A000000}" name="Textbausteine_401" displayName="Textbausteine_401" ref="AW1:BA156" totalsRowShown="0" headerRowDxfId="28" dataDxfId="27">
  <autoFilter ref="AW1:BA156" xr:uid="{00000000-0009-0000-0100-00000D000000}"/>
  <tableColumns count="5">
    <tableColumn id="1" xr3:uid="{00000000-0010-0000-0A00-000001000000}" name="Text ID" dataDxfId="26">
      <calculatedColumnFormula>ROW()-1</calculatedColumnFormula>
    </tableColumn>
    <tableColumn id="2" xr3:uid="{00000000-0010-0000-0A00-000002000000}" name="De" dataDxfId="25"/>
    <tableColumn id="3" xr3:uid="{00000000-0010-0000-0A00-000003000000}" name="Fr" dataDxfId="24"/>
    <tableColumn id="4" xr3:uid="{00000000-0010-0000-0A00-000004000000}" name="It" dataDxfId="23"/>
    <tableColumn id="5" xr3:uid="{00000000-0010-0000-0A00-000005000000}" name="En" dataDxfId="22"/>
  </tableColumns>
  <tableStyleInfo name="TableStyleMedium4" showFirstColumn="0" showLastColumn="0" showRowStripes="1" showColumnStripes="0"/>
</table>
</file>

<file path=xl/theme/theme1.xml><?xml version="1.0" encoding="utf-8"?>
<a:theme xmlns:a="http://schemas.openxmlformats.org/drawingml/2006/main" name="Office">
  <a:themeElements>
    <a:clrScheme name="Post-Farben DM hell">
      <a:dk1>
        <a:sysClr val="windowText" lastClr="000000"/>
      </a:dk1>
      <a:lt1>
        <a:srgbClr val="FFFFFF"/>
      </a:lt1>
      <a:dk2>
        <a:srgbClr val="EBE4D1"/>
      </a:dk2>
      <a:lt2>
        <a:srgbClr val="FFCC00"/>
      </a:lt2>
      <a:accent1>
        <a:srgbClr val="0076A8"/>
      </a:accent1>
      <a:accent2>
        <a:srgbClr val="00968F"/>
      </a:accent2>
      <a:accent3>
        <a:srgbClr val="AA9D2E"/>
      </a:accent3>
      <a:accent4>
        <a:srgbClr val="7566A0"/>
      </a:accent4>
      <a:accent5>
        <a:srgbClr val="C5299B"/>
      </a:accent5>
      <a:accent6>
        <a:srgbClr val="E03C31"/>
      </a:accent6>
      <a:hlink>
        <a:srgbClr val="000000"/>
      </a:hlink>
      <a:folHlink>
        <a:srgbClr val="000000"/>
      </a:folHlink>
    </a:clrScheme>
    <a:fontScheme name="Post-Schrift">
      <a:majorFont>
        <a:latin typeface="Frutiger 45 Light"/>
        <a:ea typeface=""/>
        <a:cs typeface=""/>
      </a:majorFont>
      <a:minorFont>
        <a:latin typeface="Frutiger 45 Light"/>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hyperlink" Target="https://www.unglobalcompact.org/" TargetMode="External"/><Relationship Id="rId3" Type="http://schemas.openxmlformats.org/officeDocument/2006/relationships/hyperlink" Target="https://sustainabledevelopment.un.org/?menu=1300" TargetMode="External"/><Relationship Id="rId7" Type="http://schemas.openxmlformats.org/officeDocument/2006/relationships/hyperlink" Target="https://sustainabledevelopment.un.org/?menu=1300" TargetMode="External"/><Relationship Id="rId2" Type="http://schemas.openxmlformats.org/officeDocument/2006/relationships/hyperlink" Target="https://www.unglobalcompact.org/" TargetMode="External"/><Relationship Id="rId1" Type="http://schemas.openxmlformats.org/officeDocument/2006/relationships/hyperlink" Target="https://sustainabledevelopment.un.org/?menu=1300" TargetMode="External"/><Relationship Id="rId6" Type="http://schemas.openxmlformats.org/officeDocument/2006/relationships/hyperlink" Target="https://www.unglobalcompact.org/" TargetMode="External"/><Relationship Id="rId5" Type="http://schemas.openxmlformats.org/officeDocument/2006/relationships/hyperlink" Target="https://sustainabledevelopment.un.org/?menu=1300" TargetMode="External"/><Relationship Id="rId4" Type="http://schemas.openxmlformats.org/officeDocument/2006/relationships/hyperlink" Target="https://www.unglobalcompact.org/" TargetMode="External"/><Relationship Id="rId9"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8" Type="http://schemas.openxmlformats.org/officeDocument/2006/relationships/table" Target="../tables/table7.xml"/><Relationship Id="rId13" Type="http://schemas.openxmlformats.org/officeDocument/2006/relationships/table" Target="../tables/table12.xml"/><Relationship Id="rId3" Type="http://schemas.openxmlformats.org/officeDocument/2006/relationships/table" Target="../tables/table2.xml"/><Relationship Id="rId7" Type="http://schemas.openxmlformats.org/officeDocument/2006/relationships/table" Target="../tables/table6.xml"/><Relationship Id="rId12" Type="http://schemas.openxmlformats.org/officeDocument/2006/relationships/table" Target="../tables/table11.xml"/><Relationship Id="rId2" Type="http://schemas.openxmlformats.org/officeDocument/2006/relationships/table" Target="../tables/table1.xml"/><Relationship Id="rId1" Type="http://schemas.openxmlformats.org/officeDocument/2006/relationships/printerSettings" Target="../printerSettings/printerSettings12.bin"/><Relationship Id="rId6" Type="http://schemas.openxmlformats.org/officeDocument/2006/relationships/table" Target="../tables/table5.xml"/><Relationship Id="rId11" Type="http://schemas.openxmlformats.org/officeDocument/2006/relationships/table" Target="../tables/table10.xml"/><Relationship Id="rId5" Type="http://schemas.openxmlformats.org/officeDocument/2006/relationships/table" Target="../tables/table4.xml"/><Relationship Id="rId10" Type="http://schemas.openxmlformats.org/officeDocument/2006/relationships/table" Target="../tables/table9.xml"/><Relationship Id="rId4" Type="http://schemas.openxmlformats.org/officeDocument/2006/relationships/table" Target="../tables/table3.xml"/><Relationship Id="rId9" Type="http://schemas.openxmlformats.org/officeDocument/2006/relationships/table" Target="../tables/table8.xml"/></Relationships>
</file>

<file path=xl/worksheets/_rels/sheet13.xml.rels><?xml version="1.0" encoding="UTF-8" standalone="yes"?>
<Relationships xmlns="http://schemas.openxmlformats.org/package/2006/relationships"><Relationship Id="rId3" Type="http://schemas.openxmlformats.org/officeDocument/2006/relationships/table" Target="../tables/table14.xml"/><Relationship Id="rId2" Type="http://schemas.openxmlformats.org/officeDocument/2006/relationships/table" Target="../tables/table13.x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1">
    <tabColor rgb="FF004976"/>
  </sheetPr>
  <dimension ref="B2:F40"/>
  <sheetViews>
    <sheetView showGridLines="0" showRowColHeaders="0" tabSelected="1" zoomScaleNormal="100" workbookViewId="0">
      <selection activeCell="F2" sqref="F2"/>
    </sheetView>
  </sheetViews>
  <sheetFormatPr baseColWidth="10" defaultColWidth="10.85546875" defaultRowHeight="12.95" customHeight="1" x14ac:dyDescent="0.2"/>
  <cols>
    <col min="1" max="2" width="2.42578125" style="84" customWidth="1"/>
    <col min="3" max="3" width="43.42578125" style="84" customWidth="1"/>
    <col min="4" max="4" width="73.28515625" style="153" customWidth="1"/>
    <col min="5" max="5" width="25.5703125" style="167" customWidth="1"/>
    <col min="6" max="6" width="14.140625" style="162" customWidth="1"/>
    <col min="7" max="16384" width="10.85546875" style="84"/>
  </cols>
  <sheetData>
    <row r="2" spans="2:6" s="87" customFormat="1" ht="26.1" customHeight="1" x14ac:dyDescent="0.2">
      <c r="B2" s="398" t="str">
        <f>UPPER(VLOOKUP(1,Textbausteine_Menu[],Hilfsgrössen!$D$2,FALSE))</f>
        <v>CHIFFRES CLÉS DU RAPPORT ANNUEL 2022</v>
      </c>
      <c r="C2" s="398"/>
      <c r="D2" s="398"/>
      <c r="E2" s="168"/>
      <c r="F2" s="160" t="s">
        <v>149</v>
      </c>
    </row>
    <row r="3" spans="2:6" s="88" customFormat="1" ht="26.1" customHeight="1" x14ac:dyDescent="0.2">
      <c r="B3" s="400" t="str">
        <f>UPPER(VLOOKUP(2,Textbausteine_Menu[],Hilfsgrössen!$D$2,FALSE))</f>
        <v>LA POSTE</v>
      </c>
      <c r="C3" s="400"/>
      <c r="D3" s="158"/>
      <c r="E3" s="169"/>
      <c r="F3" s="161"/>
    </row>
    <row r="6" spans="2:6" s="155" customFormat="1" ht="12.95" customHeight="1" x14ac:dyDescent="0.2">
      <c r="B6" s="399" t="str">
        <f>VLOOKUP(3,Textbausteine_Menu[],Hilfsgrössen!$D$2,FALSE)</f>
        <v>Informations générales</v>
      </c>
      <c r="C6" s="399"/>
      <c r="D6" s="159" t="str">
        <f>VLOOKUP(31,Textbausteine_Menu[],Hilfsgrössen!$D$2,FALSE)</f>
        <v>Divulgations</v>
      </c>
      <c r="E6" s="170" t="s">
        <v>1</v>
      </c>
      <c r="F6" s="163" t="s">
        <v>2</v>
      </c>
    </row>
    <row r="7" spans="2:6" ht="36" x14ac:dyDescent="0.2">
      <c r="C7" s="84" t="str">
        <f>VLOOKUP(7,Textbausteine_Menu[],Hilfsgrössen!$D$2,FALSE)</f>
        <v>2 – Divulgations générales</v>
      </c>
      <c r="D7" s="156" t="str">
        <f>VLOOKUP(1,Textbausteine_102[],Hilfsgrössen!$D$2,FALSE)&amp;", "&amp;VLOOKUP(2,Textbausteine_102[],Hilfsgrössen!$D$2,FALSE)&amp;", "&amp;VLOOKUP(3,Textbausteine_102[],Hilfsgrössen!$D$2,FALSE)&amp;", "&amp;VLOOKUP(4,Textbausteine_102[],Hilfsgrössen!$D$2,FALSE)&amp;", "&amp;VLOOKUP(5,Textbausteine_102[],Hilfsgrössen!$D$2,FALSE)&amp;", "&amp;VLOOKUP(6,Textbausteine_102[],Hilfsgrössen!$D$2,FALSE)&amp;", "&amp;VLOOKUP(7,Textbausteine_102[],Hilfsgrössen!$D$2,FALSE)&amp;", "&amp;VLOOKUP(8,Textbausteine_102[],Hilfsgrössen!$D$2,FALSE)&amp;", "&amp;VLOOKUP(9,Textbausteine_102[],Hilfsgrössen!$D$2,FALSE)&amp;", "&amp;VLOOKUP(10,Textbausteine_102[],Hilfsgrössen!$D$2,FALSE)&amp;", "&amp;VLOOKUP(11,Textbausteine_102[],Hilfsgrössen!$D$2,FALSE)</f>
        <v>Parts de marché, Financement, Cash-flow et investissements, Evolution des volumes, Volume trafic des paiements, Effectif, Répartition des sexes, Temps partiel, Rapports de travail, Chaîne d'approvisionnement , Satisfaction des clients</v>
      </c>
      <c r="E7" s="167" t="s">
        <v>3</v>
      </c>
      <c r="F7" s="162" t="s">
        <v>4</v>
      </c>
    </row>
    <row r="8" spans="2:6" ht="12.95" hidden="1" customHeight="1" x14ac:dyDescent="0.2">
      <c r="C8" s="84" t="str">
        <f>VLOOKUP(52,Textbausteine_Menu[],Hilfsgrössen!$D$2,FALSE)</f>
        <v>103 – Approche managériale</v>
      </c>
      <c r="E8" s="167" t="s">
        <v>5</v>
      </c>
      <c r="F8" s="162" t="s">
        <v>6</v>
      </c>
    </row>
    <row r="11" spans="2:6" s="155" customFormat="1" ht="12.95" customHeight="1" x14ac:dyDescent="0.2">
      <c r="B11" s="399" t="str">
        <f>VLOOKUP(4,Textbausteine_Menu[],Hilfsgrössen!$D$2,FALSE)</f>
        <v>Sujets économiques</v>
      </c>
      <c r="C11" s="399"/>
      <c r="D11" s="159" t="str">
        <f>VLOOKUP(31,Textbausteine_Menu[],Hilfsgrössen!$D$2,FALSE)</f>
        <v>Divulgations</v>
      </c>
      <c r="E11" s="170" t="s">
        <v>1</v>
      </c>
      <c r="F11" s="163" t="s">
        <v>2</v>
      </c>
    </row>
    <row r="12" spans="2:6" ht="26.1" customHeight="1" x14ac:dyDescent="0.2">
      <c r="C12" s="157" t="str">
        <f>VLOOKUP(8,Textbausteine_Menu[],Hilfsgrössen!$D$2,FALSE)</f>
        <v>201 – Performance économique</v>
      </c>
      <c r="D12" s="156" t="str">
        <f>VLOOKUP(1,Textbausteine_201[],Hilfsgrössen!$D$2,FALSE)&amp;", "&amp;VLOOKUP(2,Textbausteine_201[],Hilfsgrössen!$D$2,FALSE)&amp;", "&amp;VLOOKUP(3,Textbausteine_201[],Hilfsgrössen!$D$2,FALSE)</f>
        <v>Résultat financier, Caisse de pensions, Répartition de la valeur ajoutée</v>
      </c>
      <c r="E12" s="167" t="s">
        <v>7</v>
      </c>
      <c r="F12" s="162" t="s">
        <v>8</v>
      </c>
    </row>
    <row r="13" spans="2:6" ht="26.1" customHeight="1" x14ac:dyDescent="0.2">
      <c r="C13" s="157" t="str">
        <f>VLOOKUP(9,Textbausteine_Menu[],Hilfsgrössen!$D$2,FALSE)</f>
        <v>202 – Présence sur le marché</v>
      </c>
      <c r="D13" s="156" t="str">
        <f>VLOOKUP(1,Textbausteine_202[],Hilfsgrössen!$D$2,FALSE)</f>
        <v>Indemnités</v>
      </c>
      <c r="E13" s="167" t="s">
        <v>3</v>
      </c>
      <c r="F13" s="162" t="s">
        <v>9</v>
      </c>
    </row>
    <row r="14" spans="2:6" ht="36" x14ac:dyDescent="0.2">
      <c r="C14" s="157" t="str">
        <f>VLOOKUP(10,Textbausteine_Menu[],Hilfsgrössen!$D$2,FALSE)</f>
        <v>203 – Impacts économiques indirects</v>
      </c>
      <c r="D14" s="156" t="str">
        <f>VLOOKUP(1,Textbausteine_203[],Hilfsgrössen!$D$2,FALSE)&amp;", "&amp;VLOOKUP(2,Textbausteine_203[],Hilfsgrössen!$D$2,FALSE)&amp;", "&amp;VLOOKUP(3,Textbausteine_203[],Hilfsgrössen!$D$2,FALSE)&amp;", "&amp;VLOOKUP(4,Textbausteine_203[],Hilfsgrössen!$D$2,FALSE)&amp;", "&amp;VLOOKUP(5,Textbausteine_203[],Hilfsgrössen!$D$2,FALSE)&amp;", "&amp;VLOOKUP(6,Textbausteine_203[],Hilfsgrössen!$D$2,FALSE)&amp;", "&amp;VLOOKUP(7,Textbausteine_203[],Hilfsgrössen!$D$2,FALSE)</f>
        <v>Actions de bienfaisance et sponsoring, Points d'accès, Emplois dans les régions, Comparaison des prix des services postaux, Délais d'acheminement des services postaux, Temps d'attente dans les filiales, Délais de traitement des services financiers</v>
      </c>
      <c r="F14" s="162" t="s">
        <v>10</v>
      </c>
    </row>
    <row r="15" spans="2:6" ht="12.95" hidden="1" customHeight="1" x14ac:dyDescent="0.2">
      <c r="C15" s="84" t="str">
        <f>VLOOKUP(11,Textbausteine_Menu[],Hilfsgrössen!$D$2,FALSE)</f>
        <v>205 – Lutte contre la corruption</v>
      </c>
      <c r="E15" s="167" t="s">
        <v>11</v>
      </c>
      <c r="F15" s="162" t="s">
        <v>6</v>
      </c>
    </row>
    <row r="16" spans="2:6" ht="12.95" hidden="1" customHeight="1" x14ac:dyDescent="0.2">
      <c r="C16" s="84" t="str">
        <f>VLOOKUP(12,Textbausteine_Menu[],Hilfsgrössen!$D$2,FALSE)</f>
        <v>206 – Comportement anticoncurrentiel</v>
      </c>
      <c r="F16" s="162" t="s">
        <v>6</v>
      </c>
    </row>
    <row r="19" spans="2:6" s="155" customFormat="1" ht="12.95" customHeight="1" x14ac:dyDescent="0.2">
      <c r="B19" s="399" t="str">
        <f>VLOOKUP(5,Textbausteine_Menu[],Hilfsgrössen!$D$2,FALSE)</f>
        <v>Sujets environnementaux</v>
      </c>
      <c r="C19" s="399"/>
      <c r="D19" s="159" t="str">
        <f>VLOOKUP(31,Textbausteine_Menu[],Hilfsgrössen!$D$2,FALSE)</f>
        <v>Divulgations</v>
      </c>
      <c r="E19" s="170" t="s">
        <v>1</v>
      </c>
      <c r="F19" s="163" t="s">
        <v>2</v>
      </c>
    </row>
    <row r="20" spans="2:6" ht="12.95" hidden="1" customHeight="1" x14ac:dyDescent="0.2">
      <c r="C20" s="84" t="str">
        <f>VLOOKUP(13,Textbausteine_Menu[],Hilfsgrössen!$D$2,FALSE)</f>
        <v>301 – Matières</v>
      </c>
      <c r="E20" s="167" t="s">
        <v>12</v>
      </c>
      <c r="F20" s="162" t="s">
        <v>13</v>
      </c>
    </row>
    <row r="21" spans="2:6" ht="26.1" customHeight="1" x14ac:dyDescent="0.2">
      <c r="C21" s="157" t="str">
        <f>VLOOKUP(14,Textbausteine_Menu[],Hilfsgrössen!$D$2,FALSE)</f>
        <v>302 – Energie</v>
      </c>
      <c r="D21" s="153" t="str">
        <f>VLOOKUP(1,Textbausteine_302[],Hilfsgrössen!$D$2,FALSE)&amp;", "&amp;VLOOKUP(2,Textbausteine_302[],Hilfsgrössen!$D$2,FALSE)</f>
        <v>Consommation énergétique au sein et en dehors de l'organisation, Autres indicateurs énergétiques</v>
      </c>
      <c r="E21" s="167" t="s">
        <v>14</v>
      </c>
      <c r="F21" s="162" t="s">
        <v>15</v>
      </c>
    </row>
    <row r="22" spans="2:6" ht="26.1" customHeight="1" x14ac:dyDescent="0.2">
      <c r="C22" s="154" t="str">
        <f>VLOOKUP(15,Textbausteine_Menu[],Hilfsgrössen!$D$2,FALSE)</f>
        <v>305 – Emissions</v>
      </c>
      <c r="D22" s="153" t="str">
        <f>VLOOKUP(1,Textbausteine_305[],Hilfsgrössen!$D$2,FALSE)&amp;", "&amp;VLOOKUP(2,Textbausteine_305[],Hilfsgrössen!$D$2,FALSE)&amp;", "&amp;VLOOKUP(3,Textbausteine_305[],Hilfsgrössen!$D$2,FALSE)&amp;", "&amp;VLOOKUP(4,Textbausteine_305[],Hilfsgrössen!$D$2,FALSE)&amp;", "&amp;VLOOKUP(5,Textbausteine_305[],Hilfsgrössen!$D$2,FALSE)</f>
        <v>Emissions de gaz à effet de serre, Intensité de gaz à effet de serre, Emissions de gaz à effet de serre compensées, Autres indicateurs des gaz à effet de serre, Emissions de polluants atmosphériques</v>
      </c>
      <c r="E22" s="167" t="s">
        <v>14</v>
      </c>
      <c r="F22" s="162" t="s">
        <v>16</v>
      </c>
    </row>
    <row r="23" spans="2:6" ht="12.95" hidden="1" customHeight="1" x14ac:dyDescent="0.2">
      <c r="C23" s="84" t="str">
        <f>VLOOKUP(16,Textbausteine_Menu[],Hilfsgrössen!$D$2,FALSE)</f>
        <v>308 – Evaluation environnementale des fournisseurs</v>
      </c>
      <c r="E23" s="167" t="s">
        <v>12</v>
      </c>
    </row>
    <row r="26" spans="2:6" s="155" customFormat="1" ht="12.95" customHeight="1" x14ac:dyDescent="0.2">
      <c r="B26" s="399" t="str">
        <f>VLOOKUP(6,Textbausteine_Menu[],Hilfsgrössen!$D$2,FALSE)</f>
        <v>Sujets sociaux</v>
      </c>
      <c r="C26" s="399"/>
      <c r="D26" s="159" t="str">
        <f>VLOOKUP(31,Textbausteine_Menu[],Hilfsgrössen!$D$2,FALSE)</f>
        <v>Divulgations</v>
      </c>
      <c r="E26" s="170" t="s">
        <v>1</v>
      </c>
      <c r="F26" s="163" t="s">
        <v>2</v>
      </c>
    </row>
    <row r="27" spans="2:6" ht="26.1" customHeight="1" x14ac:dyDescent="0.2">
      <c r="C27" s="154" t="str">
        <f>VLOOKUP(17,Textbausteine_Menu[],Hilfsgrössen!$D$2,FALSE)</f>
        <v>401 – Emploi</v>
      </c>
      <c r="D27" s="153" t="str">
        <f>VLOOKUP(1,Textbausteine_401[],Hilfsgrössen!$D$2,FALSE)&amp;", "&amp;VLOOKUP(2,Textbausteine_401[],Hilfsgrössen!$D$2,FALSE)&amp;", "&amp;VLOOKUP(3,Textbausteine_401[],Hilfsgrössen!$D$2,FALSE)</f>
        <v>Fluctuation du personnel et départs, Congé parental, Satisfaction du personnel, motivation et engagement</v>
      </c>
      <c r="E27" s="167" t="s">
        <v>3</v>
      </c>
    </row>
    <row r="28" spans="2:6" ht="12.95" hidden="1" customHeight="1" x14ac:dyDescent="0.2">
      <c r="C28" s="84" t="str">
        <f>VLOOKUP(18,Textbausteine_Menu[],Hilfsgrössen!$D$2,FALSE)</f>
        <v>402 – Relations employeur/employés</v>
      </c>
      <c r="E28" s="167" t="s">
        <v>17</v>
      </c>
    </row>
    <row r="29" spans="2:6" ht="26.1" customHeight="1" x14ac:dyDescent="0.2">
      <c r="C29" s="154" t="str">
        <f>VLOOKUP(19,Textbausteine_Menu[],Hilfsgrössen!$D$2,FALSE)</f>
        <v>403 – Santé et sécurité au travail</v>
      </c>
      <c r="D29" s="153" t="str">
        <f>VLOOKUP(1,Textbausteine_403[],Hilfsgrössen!$D$2,FALSE)</f>
        <v>Gestion de la santé</v>
      </c>
    </row>
    <row r="30" spans="2:6" ht="26.1" customHeight="1" x14ac:dyDescent="0.2">
      <c r="C30" s="154" t="str">
        <f>VLOOKUP(20,Textbausteine_Menu[],Hilfsgrössen!$D$2,FALSE)</f>
        <v>404 – Formation et éducation</v>
      </c>
      <c r="D30" s="153" t="str">
        <f>VLOOKUP(1,Textbausteine_404_[],Hilfsgrössen!$D$2,FALSE)&amp;", "&amp;VLOOKUP(2,Textbausteine_404_[],Hilfsgrössen!$D$2,FALSE)&amp;", "&amp;VLOOKUP(3,Textbausteine_404_[],Hilfsgrössen!$D$2,FALSE)</f>
        <v>Apprentis, Relève, Centre de carrière</v>
      </c>
      <c r="E30" s="167" t="s">
        <v>3</v>
      </c>
      <c r="F30" s="162" t="s">
        <v>18</v>
      </c>
    </row>
    <row r="31" spans="2:6" ht="26.1" customHeight="1" x14ac:dyDescent="0.2">
      <c r="C31" s="154" t="str">
        <f>VLOOKUP(21,Textbausteine_Menu[],Hilfsgrössen!$D$2,FALSE)</f>
        <v>405 – Diversité et égalité des chances</v>
      </c>
      <c r="D31" s="153" t="str">
        <f>VLOOKUP(1,Textbausteine_405[],Hilfsgrössen!$D$2,FALSE)&amp;", "&amp;VLOOKUP(2,Textbausteine_405[],Hilfsgrössen!$D$2,FALSE)&amp;", "&amp;VLOOKUP(3,Textbausteine_405[],Hilfsgrössen!$D$2,FALSE)&amp;", "&amp;VLOOKUP(4,Textbausteine_405[],Hilfsgrössen!$D$2,FALSE)</f>
        <v>Femmes au sein du management, Diversité linguistique, Nationalité, Démographie (pyramide des âges)</v>
      </c>
      <c r="E31" s="167" t="s">
        <v>3</v>
      </c>
      <c r="F31" s="162" t="s">
        <v>19</v>
      </c>
    </row>
    <row r="32" spans="2:6" ht="12.95" hidden="1" customHeight="1" x14ac:dyDescent="0.2">
      <c r="C32" s="84" t="str">
        <f>VLOOKUP(22,Textbausteine_Menu[],Hilfsgrössen!$D$2,FALSE)</f>
        <v>406 – Non-discrimination</v>
      </c>
      <c r="E32" s="167" t="s">
        <v>3</v>
      </c>
      <c r="F32" s="162" t="s">
        <v>20</v>
      </c>
    </row>
    <row r="33" spans="3:6" ht="12.95" hidden="1" customHeight="1" x14ac:dyDescent="0.2">
      <c r="C33" s="84" t="str">
        <f>VLOOKUP(23,Textbausteine_Menu[],Hilfsgrössen!$D$2,FALSE)</f>
        <v>407 – Liberté syndicale et droit de négociation collective</v>
      </c>
      <c r="E33" s="167" t="s">
        <v>17</v>
      </c>
      <c r="F33" s="162" t="s">
        <v>4</v>
      </c>
    </row>
    <row r="34" spans="3:6" ht="12.95" hidden="1" customHeight="1" x14ac:dyDescent="0.2">
      <c r="C34" s="84" t="str">
        <f>VLOOKUP(24,Textbausteine_Menu[],Hilfsgrössen!$D$2,FALSE)</f>
        <v>408 – Travail des enfants</v>
      </c>
      <c r="E34" s="167" t="s">
        <v>21</v>
      </c>
      <c r="F34" s="162" t="s">
        <v>22</v>
      </c>
    </row>
    <row r="35" spans="3:6" ht="12.95" hidden="1" customHeight="1" x14ac:dyDescent="0.2">
      <c r="C35" s="84" t="str">
        <f>VLOOKUP(25,Textbausteine_Menu[],Hilfsgrössen!$D$2,FALSE)</f>
        <v>409 – Travail forcé ou obligatoire</v>
      </c>
      <c r="E35" s="167" t="s">
        <v>23</v>
      </c>
      <c r="F35" s="162" t="s">
        <v>4</v>
      </c>
    </row>
    <row r="36" spans="3:6" ht="12.95" hidden="1" customHeight="1" x14ac:dyDescent="0.2">
      <c r="C36" s="84" t="str">
        <f>VLOOKUP(26,Textbausteine_Menu[],Hilfsgrössen!$D$2,FALSE)</f>
        <v>412 – Evaluation des droits de l'homme</v>
      </c>
      <c r="E36" s="167" t="s">
        <v>24</v>
      </c>
    </row>
    <row r="37" spans="3:6" ht="12.95" hidden="1" customHeight="1" x14ac:dyDescent="0.2">
      <c r="C37" s="84" t="str">
        <f>VLOOKUP(27,Textbausteine_Menu[],Hilfsgrössen!$D$2,FALSE)</f>
        <v>413 – Communautés locales</v>
      </c>
      <c r="E37" s="167" t="s">
        <v>24</v>
      </c>
      <c r="F37" s="162" t="s">
        <v>25</v>
      </c>
    </row>
    <row r="38" spans="3:6" ht="12.95" hidden="1" customHeight="1" x14ac:dyDescent="0.2">
      <c r="C38" s="84" t="str">
        <f>VLOOKUP(28,Textbausteine_Menu[],Hilfsgrössen!$D$2,FALSE)</f>
        <v>414 – Evaluation sociale des fournisseurs</v>
      </c>
      <c r="E38" s="167" t="s">
        <v>26</v>
      </c>
      <c r="F38" s="162" t="s">
        <v>20</v>
      </c>
    </row>
    <row r="39" spans="3:6" ht="12.95" hidden="1" customHeight="1" x14ac:dyDescent="0.2">
      <c r="C39" s="84" t="str">
        <f>VLOOKUP(29,Textbausteine_Menu[],Hilfsgrössen!$D$2,FALSE)</f>
        <v>418 – Vie privée des clients</v>
      </c>
      <c r="F39" s="162" t="s">
        <v>6</v>
      </c>
    </row>
    <row r="40" spans="3:6" ht="12.95" hidden="1" customHeight="1" x14ac:dyDescent="0.2">
      <c r="C40" s="84" t="str">
        <f>VLOOKUP(30,Textbausteine_Menu[],Hilfsgrössen!$D$2,FALSE)</f>
        <v>419 – Conformité socioéconomique</v>
      </c>
      <c r="F40" s="162" t="s">
        <v>6</v>
      </c>
    </row>
  </sheetData>
  <sheetProtection algorithmName="SHA-512" hashValue="skESQAwSgaqxx1r8i3sv5RnFcwE8sLRu2gBWSKFxtG1uQHZ5O4Afo20tYRrGa6+5DVFgNARXrEaROuYC2+tGOA==" saltValue="XBl1XNunWXmD91e6ACT/Pg==" spinCount="100000" sheet="1" objects="1" scenarios="1"/>
  <mergeCells count="6">
    <mergeCell ref="B2:D2"/>
    <mergeCell ref="B26:C26"/>
    <mergeCell ref="B3:C3"/>
    <mergeCell ref="B6:C6"/>
    <mergeCell ref="B11:C11"/>
    <mergeCell ref="B19:C19"/>
  </mergeCells>
  <dataValidations count="1">
    <dataValidation allowBlank="1" showInputMessage="1" showErrorMessage="1" sqref="F2" xr:uid="{AE8FD2B3-D72A-4F74-AC96-54A82C5438FB}"/>
  </dataValidations>
  <hyperlinks>
    <hyperlink ref="F6" r:id="rId1" display="SDG" xr:uid="{00000000-0004-0000-0000-000000000000}"/>
    <hyperlink ref="E6" r:id="rId2" display="UNGC" xr:uid="{00000000-0004-0000-0000-000001000000}"/>
    <hyperlink ref="F11" r:id="rId3" display="SDG" xr:uid="{00000000-0004-0000-0000-000002000000}"/>
    <hyperlink ref="E11" r:id="rId4" display="UNGC" xr:uid="{00000000-0004-0000-0000-000003000000}"/>
    <hyperlink ref="F19" r:id="rId5" display="SDG" xr:uid="{00000000-0004-0000-0000-000004000000}"/>
    <hyperlink ref="E19" r:id="rId6" display="UNGC" xr:uid="{00000000-0004-0000-0000-000005000000}"/>
    <hyperlink ref="F26" r:id="rId7" display="SDG" xr:uid="{00000000-0004-0000-0000-000006000000}"/>
    <hyperlink ref="E26" r:id="rId8" display="UNGC" xr:uid="{00000000-0004-0000-0000-000007000000}"/>
    <hyperlink ref="C7" location="GRI_102" display="GRI_102" xr:uid="{00000000-0004-0000-0000-000008000000}"/>
    <hyperlink ref="C12" location="GRI_201" display="GRI_201" xr:uid="{00000000-0004-0000-0000-000009000000}"/>
    <hyperlink ref="C13" location="GRI_202" display="GRI_202" xr:uid="{00000000-0004-0000-0000-00000A000000}"/>
    <hyperlink ref="C14" location="GRI_203" display="GRI_203" xr:uid="{00000000-0004-0000-0000-00000B000000}"/>
    <hyperlink ref="C21" location="GRI_302" display="GRI_302" xr:uid="{00000000-0004-0000-0000-00000C000000}"/>
    <hyperlink ref="C22" location="GRI_305" display="GRI_305" xr:uid="{00000000-0004-0000-0000-00000D000000}"/>
    <hyperlink ref="C27" location="GRI_401" display="GRI_401" xr:uid="{00000000-0004-0000-0000-00000E000000}"/>
    <hyperlink ref="C29" location="GRI_403" display="GRI_403" xr:uid="{00000000-0004-0000-0000-00000F000000}"/>
    <hyperlink ref="C31" location="GRI_405" display="GRI_405" xr:uid="{00000000-0004-0000-0000-000010000000}"/>
    <hyperlink ref="C30" location="GRI_404" display="GRI_404" xr:uid="{00000000-0004-0000-0000-000011000000}"/>
  </hyperlinks>
  <pageMargins left="0.7" right="0.7" top="0.78740157499999996" bottom="0.78740157499999996" header="0.3" footer="0.3"/>
  <pageSetup paperSize="9" orientation="portrait"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16">
    <tabColor rgb="FF9E2A2F"/>
  </sheetPr>
  <dimension ref="A2:CF143"/>
  <sheetViews>
    <sheetView showGridLines="0" showRowColHeaders="0" zoomScaleNormal="100" workbookViewId="0">
      <pane xSplit="7" topLeftCell="N1" activePane="topRight" state="frozen"/>
      <selection activeCell="B3" sqref="B3:C3"/>
      <selection pane="topRight" activeCell="B3" sqref="B3:C3"/>
    </sheetView>
  </sheetViews>
  <sheetFormatPr baseColWidth="10" defaultColWidth="10.85546875" defaultRowHeight="12.95" customHeight="1" x14ac:dyDescent="0.2"/>
  <cols>
    <col min="1" max="1" width="2.42578125" style="66" customWidth="1"/>
    <col min="2" max="2" width="2.42578125" style="1" customWidth="1"/>
    <col min="3" max="3" width="51.140625" style="1" customWidth="1"/>
    <col min="4" max="4" width="23.5703125" style="1" customWidth="1"/>
    <col min="5" max="5" width="10" style="9" customWidth="1"/>
    <col min="6" max="6" width="14.140625" style="9" customWidth="1"/>
    <col min="7" max="7" width="2.42578125" style="34" customWidth="1"/>
    <col min="8" max="13" width="11.7109375" style="9" customWidth="1"/>
    <col min="14" max="14" width="11.7109375" style="11" customWidth="1"/>
    <col min="15" max="83" width="11.7109375" style="9" customWidth="1"/>
    <col min="84" max="16384" width="10.85546875" style="1"/>
  </cols>
  <sheetData>
    <row r="2" spans="1:84" s="89" customFormat="1" ht="26.1" customHeight="1" x14ac:dyDescent="0.2">
      <c r="A2" s="63"/>
      <c r="B2" s="406" t="str">
        <f>UPPER(RIGHT(Inhaltsverzeichnis!$C$30,LEN(Inhaltsverzeichnis!$C$30)-FIND(" – ",Inhaltsverzeichnis!$C$30,1)-2))</f>
        <v>FORMATION ET ÉDUCATION</v>
      </c>
      <c r="C2" s="406"/>
      <c r="D2" s="402" t="str">
        <f>VLOOKUP(35,Textbausteine_Menu[],Hilfsgrössen!$D$2,FALSE)</f>
        <v>retour à la table des matières</v>
      </c>
      <c r="E2" s="403"/>
      <c r="F2" s="83" t="s">
        <v>149</v>
      </c>
      <c r="G2" s="96"/>
      <c r="H2" s="27"/>
      <c r="I2" s="27"/>
      <c r="J2" s="27"/>
      <c r="K2" s="27"/>
      <c r="L2" s="27"/>
      <c r="M2" s="27"/>
      <c r="N2" s="71"/>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c r="BA2" s="27"/>
      <c r="BB2" s="27"/>
      <c r="BC2" s="27"/>
      <c r="BD2" s="27"/>
      <c r="BE2" s="27"/>
      <c r="BF2" s="27"/>
      <c r="BG2" s="27"/>
      <c r="BH2" s="27"/>
      <c r="BI2" s="27"/>
      <c r="BJ2" s="27"/>
      <c r="BK2" s="27"/>
      <c r="BL2" s="27"/>
      <c r="BM2" s="27"/>
      <c r="BN2" s="27"/>
      <c r="BO2" s="27"/>
      <c r="BP2" s="27"/>
      <c r="BQ2" s="27"/>
      <c r="BR2" s="27"/>
      <c r="BS2" s="27"/>
      <c r="BT2" s="27"/>
      <c r="BU2" s="27"/>
      <c r="BV2" s="27"/>
      <c r="BW2" s="27"/>
      <c r="BX2" s="27"/>
      <c r="BY2" s="27"/>
      <c r="BZ2" s="27"/>
      <c r="CA2" s="27"/>
      <c r="CB2" s="27"/>
      <c r="CC2" s="27"/>
      <c r="CD2" s="27"/>
      <c r="CE2" s="27"/>
    </row>
    <row r="3" spans="1:84" s="90" customFormat="1" ht="26.1" customHeight="1" x14ac:dyDescent="0.2">
      <c r="A3" s="64"/>
      <c r="B3" s="407" t="str">
        <f>UPPER("GRI "&amp;LEFT(Inhaltsverzeichnis!$C$30,3))</f>
        <v>GRI 404</v>
      </c>
      <c r="C3" s="407"/>
      <c r="E3" s="27"/>
      <c r="F3" s="27"/>
      <c r="G3" s="32"/>
      <c r="H3" s="27"/>
      <c r="I3" s="27"/>
      <c r="J3" s="27"/>
      <c r="K3" s="27"/>
      <c r="L3" s="27"/>
      <c r="M3" s="27"/>
      <c r="N3" s="71"/>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c r="BA3" s="27"/>
      <c r="BB3" s="27"/>
      <c r="BC3" s="27"/>
      <c r="BD3" s="27"/>
      <c r="BE3" s="27"/>
      <c r="BF3" s="27"/>
      <c r="BG3" s="27"/>
      <c r="BH3" s="27"/>
      <c r="BI3" s="27"/>
      <c r="BJ3" s="27"/>
      <c r="BK3" s="27"/>
      <c r="BL3" s="27"/>
      <c r="BM3" s="27"/>
      <c r="BN3" s="27"/>
      <c r="BO3" s="27"/>
      <c r="BP3" s="27"/>
      <c r="BQ3" s="27"/>
      <c r="BR3" s="27"/>
      <c r="BS3" s="27"/>
      <c r="BT3" s="27"/>
      <c r="BU3" s="27"/>
      <c r="BV3" s="27"/>
      <c r="BW3" s="27"/>
      <c r="BX3" s="27"/>
      <c r="BY3" s="27"/>
      <c r="BZ3" s="27"/>
      <c r="CA3" s="27"/>
      <c r="CB3" s="27"/>
      <c r="CC3" s="27"/>
      <c r="CD3" s="27"/>
      <c r="CE3" s="27"/>
    </row>
    <row r="6" spans="1:84" s="6" customFormat="1" ht="12.95" customHeight="1" x14ac:dyDescent="0.2">
      <c r="A6" s="65"/>
      <c r="B6" s="6" t="str">
        <f>VLOOKUP(31,Textbausteine_Menu[],Hilfsgrössen!$D$2,FALSE)</f>
        <v>Divulgations</v>
      </c>
      <c r="E6" s="28"/>
      <c r="F6" s="28"/>
      <c r="G6" s="33"/>
      <c r="H6" s="9"/>
      <c r="I6" s="9"/>
      <c r="J6" s="9"/>
      <c r="K6" s="9"/>
      <c r="L6" s="9"/>
      <c r="M6" s="9"/>
      <c r="N6" s="11"/>
      <c r="O6" s="9"/>
      <c r="P6" s="9"/>
      <c r="Q6" s="9"/>
      <c r="R6" s="9"/>
      <c r="S6" s="9"/>
      <c r="T6" s="9"/>
      <c r="U6" s="9"/>
      <c r="V6" s="9"/>
      <c r="W6" s="9"/>
      <c r="X6" s="9"/>
      <c r="Y6" s="9"/>
      <c r="Z6" s="9"/>
      <c r="AA6" s="9"/>
      <c r="AB6" s="9"/>
      <c r="AC6" s="9"/>
      <c r="AD6" s="9"/>
      <c r="AE6" s="9"/>
      <c r="AF6" s="9"/>
      <c r="AG6" s="9"/>
      <c r="AH6" s="9"/>
      <c r="AI6" s="9"/>
      <c r="AJ6" s="9"/>
      <c r="AK6" s="9"/>
      <c r="AL6" s="9"/>
      <c r="AM6" s="9"/>
      <c r="AN6" s="9"/>
      <c r="AO6" s="9"/>
      <c r="AP6" s="9"/>
      <c r="AQ6" s="9"/>
      <c r="AR6" s="9"/>
      <c r="AS6" s="9"/>
      <c r="AT6" s="9"/>
      <c r="AU6" s="9"/>
      <c r="AV6" s="9"/>
      <c r="AW6" s="9"/>
      <c r="AX6" s="9"/>
      <c r="AY6" s="9"/>
      <c r="AZ6" s="9"/>
      <c r="BA6" s="9"/>
      <c r="BB6" s="9"/>
      <c r="BC6" s="9"/>
      <c r="BD6" s="9"/>
      <c r="BE6" s="9"/>
      <c r="BF6" s="9"/>
      <c r="BG6" s="9"/>
      <c r="BH6" s="9"/>
      <c r="BI6" s="9"/>
      <c r="BJ6" s="9"/>
      <c r="BK6" s="9"/>
      <c r="BL6" s="9"/>
      <c r="BM6" s="9"/>
      <c r="BN6" s="9"/>
      <c r="BO6" s="9"/>
      <c r="BP6" s="9"/>
      <c r="BQ6" s="9"/>
      <c r="BR6" s="9"/>
      <c r="BS6" s="9"/>
      <c r="BT6" s="9"/>
      <c r="BU6" s="9"/>
      <c r="BV6" s="9"/>
      <c r="BW6" s="9"/>
      <c r="BX6" s="9"/>
      <c r="BY6" s="9"/>
      <c r="BZ6" s="9"/>
      <c r="CA6" s="9"/>
      <c r="CB6" s="9"/>
      <c r="CC6" s="9"/>
      <c r="CD6" s="9"/>
      <c r="CE6" s="9"/>
    </row>
    <row r="7" spans="1:84" ht="12.95" customHeight="1" x14ac:dyDescent="0.2">
      <c r="B7" s="2"/>
      <c r="C7" s="85" t="str">
        <f>VLOOKUP(1,Textbausteine_404_[],Hilfsgrössen!$D$2,FALSE)</f>
        <v>Apprentis</v>
      </c>
      <c r="D7" s="4"/>
    </row>
    <row r="8" spans="1:84" ht="12.95" customHeight="1" x14ac:dyDescent="0.2">
      <c r="B8" s="2"/>
      <c r="C8" s="85" t="str">
        <f>VLOOKUP(2,Textbausteine_404_[],Hilfsgrössen!$D$2,FALSE)</f>
        <v>Relève</v>
      </c>
      <c r="D8" s="4"/>
    </row>
    <row r="9" spans="1:84" ht="12.95" customHeight="1" x14ac:dyDescent="0.2">
      <c r="B9" s="2"/>
      <c r="C9" s="85" t="str">
        <f>VLOOKUP(3,Textbausteine_404_[],Hilfsgrössen!$D$2,FALSE)</f>
        <v>Centre de carrière</v>
      </c>
    </row>
    <row r="10" spans="1:84" ht="12.95" customHeight="1" x14ac:dyDescent="0.2">
      <c r="B10" s="2"/>
    </row>
    <row r="11" spans="1:84" ht="12.95" customHeight="1" x14ac:dyDescent="0.2">
      <c r="B11" s="2"/>
    </row>
    <row r="12" spans="1:84" s="6" customFormat="1" ht="12.95" customHeight="1" x14ac:dyDescent="0.2">
      <c r="A12" s="39" t="s">
        <v>27</v>
      </c>
      <c r="B12" s="401" t="str">
        <f>$C$7</f>
        <v>Apprentis</v>
      </c>
      <c r="C12" s="401"/>
      <c r="D12" s="6" t="str">
        <f>VLOOKUP(32,Textbausteine_Menu[],Hilfsgrössen!$D$2,FALSE)</f>
        <v>Unité</v>
      </c>
      <c r="E12" s="28" t="str">
        <f>VLOOKUP(33,Textbausteine_Menu[],Hilfsgrössen!$D$2,FALSE)</f>
        <v>Notes</v>
      </c>
      <c r="F12" s="28" t="str">
        <f>VLOOKUP(34,Textbausteine_Menu[],Hilfsgrössen!$D$2,FALSE)</f>
        <v>GRI</v>
      </c>
      <c r="G12" s="34"/>
      <c r="H12" s="6">
        <v>2004</v>
      </c>
      <c r="I12" s="7">
        <v>2005</v>
      </c>
      <c r="J12" s="7">
        <v>2006</v>
      </c>
      <c r="K12" s="7">
        <v>2007</v>
      </c>
      <c r="L12" s="7">
        <v>2008</v>
      </c>
      <c r="M12" s="7">
        <v>2009</v>
      </c>
      <c r="N12" s="7">
        <v>2010</v>
      </c>
      <c r="O12" s="7">
        <v>2011</v>
      </c>
      <c r="P12" s="7">
        <v>2012</v>
      </c>
      <c r="Q12" s="7">
        <v>2013</v>
      </c>
      <c r="R12" s="7">
        <v>2014</v>
      </c>
      <c r="S12" s="7">
        <v>2015</v>
      </c>
      <c r="T12" s="7">
        <v>2016</v>
      </c>
      <c r="U12" s="7">
        <v>2017</v>
      </c>
      <c r="V12" s="7">
        <v>2018</v>
      </c>
      <c r="W12" s="7">
        <v>2019</v>
      </c>
      <c r="X12" s="7">
        <v>2020</v>
      </c>
      <c r="Y12" s="7">
        <v>2021</v>
      </c>
      <c r="Z12" s="7">
        <v>2022</v>
      </c>
      <c r="AA12" s="28"/>
      <c r="AB12" s="28"/>
      <c r="AC12" s="28"/>
      <c r="AD12" s="28"/>
      <c r="AE12" s="28"/>
      <c r="AF12" s="28"/>
      <c r="AG12" s="28"/>
      <c r="AH12" s="28"/>
      <c r="AI12" s="28"/>
      <c r="AJ12" s="28"/>
      <c r="AK12" s="28"/>
      <c r="AL12" s="28"/>
      <c r="AM12" s="28"/>
      <c r="AN12" s="28"/>
      <c r="AO12" s="28"/>
      <c r="AP12" s="28"/>
      <c r="AQ12" s="28"/>
      <c r="AR12" s="28"/>
      <c r="AS12" s="28"/>
      <c r="AT12" s="28"/>
      <c r="AU12" s="28"/>
      <c r="AV12" s="28"/>
      <c r="AW12" s="28"/>
      <c r="AX12" s="28"/>
      <c r="AY12" s="28"/>
      <c r="AZ12" s="28"/>
      <c r="BA12" s="28"/>
      <c r="BB12" s="28"/>
      <c r="BC12" s="28"/>
      <c r="BD12" s="28"/>
      <c r="BE12" s="28"/>
      <c r="BF12" s="28"/>
      <c r="BG12" s="28"/>
      <c r="BH12" s="28"/>
      <c r="BI12" s="28"/>
      <c r="BJ12" s="28"/>
      <c r="BK12" s="28"/>
      <c r="BL12" s="28"/>
      <c r="BM12" s="28"/>
      <c r="BN12" s="28"/>
      <c r="BO12" s="28"/>
      <c r="BP12" s="28"/>
      <c r="BQ12" s="28"/>
      <c r="BR12" s="28"/>
      <c r="BS12" s="28"/>
      <c r="BT12" s="28"/>
      <c r="BU12" s="28"/>
      <c r="BV12" s="28"/>
      <c r="BW12" s="28"/>
      <c r="BX12" s="28"/>
      <c r="BY12" s="28"/>
      <c r="BZ12" s="28"/>
      <c r="CA12" s="28"/>
      <c r="CB12" s="28"/>
      <c r="CC12" s="28"/>
      <c r="CD12" s="28"/>
      <c r="CE12" s="28"/>
      <c r="CF12" s="28"/>
    </row>
    <row r="13" spans="1:84" s="6" customFormat="1" ht="12.95" customHeight="1" x14ac:dyDescent="0.2">
      <c r="A13" s="65"/>
      <c r="B13" s="401"/>
      <c r="C13" s="401"/>
      <c r="E13" s="28"/>
      <c r="F13" s="28"/>
      <c r="G13" s="34"/>
      <c r="I13" s="73"/>
      <c r="J13" s="73"/>
      <c r="K13" s="73"/>
      <c r="L13" s="73"/>
      <c r="M13" s="73"/>
      <c r="N13" s="73"/>
      <c r="O13" s="73"/>
      <c r="P13" s="73"/>
      <c r="Q13" s="73"/>
      <c r="R13" s="73"/>
      <c r="S13" s="73"/>
      <c r="T13" s="75"/>
      <c r="U13" s="75"/>
      <c r="V13" s="75"/>
      <c r="W13" s="75"/>
      <c r="X13" s="75"/>
      <c r="Y13" s="75"/>
      <c r="Z13" s="75"/>
      <c r="AA13" s="73"/>
      <c r="AB13" s="73"/>
      <c r="AC13" s="73"/>
      <c r="AD13" s="73"/>
      <c r="AE13" s="73"/>
      <c r="AF13" s="73"/>
      <c r="AG13" s="73"/>
      <c r="AH13" s="73"/>
      <c r="AI13" s="73"/>
      <c r="AJ13" s="73"/>
      <c r="AK13" s="73"/>
      <c r="AL13" s="73"/>
      <c r="AM13" s="73"/>
      <c r="AN13" s="73"/>
      <c r="AO13" s="73"/>
      <c r="AP13" s="73"/>
      <c r="AQ13" s="73"/>
      <c r="AR13" s="73"/>
      <c r="AS13" s="73"/>
      <c r="AT13" s="73"/>
      <c r="AU13" s="73"/>
      <c r="AV13" s="73"/>
      <c r="AW13" s="73"/>
      <c r="AX13" s="73"/>
      <c r="AY13" s="73"/>
      <c r="AZ13" s="73"/>
      <c r="BA13" s="73"/>
      <c r="BB13" s="73"/>
      <c r="BC13" s="73"/>
      <c r="BD13" s="73"/>
      <c r="BE13" s="73"/>
      <c r="BF13" s="73"/>
      <c r="BG13" s="73"/>
      <c r="BH13" s="73"/>
      <c r="BI13" s="73"/>
      <c r="BJ13" s="73"/>
      <c r="BK13" s="73"/>
      <c r="BL13" s="73"/>
      <c r="BM13" s="73"/>
      <c r="BN13" s="73"/>
      <c r="BO13" s="73"/>
      <c r="BP13" s="73"/>
      <c r="BQ13" s="73"/>
      <c r="BR13" s="73"/>
      <c r="BS13" s="73"/>
      <c r="BT13" s="73"/>
      <c r="BU13" s="73"/>
      <c r="BV13" s="73"/>
      <c r="BW13" s="73"/>
      <c r="BX13" s="73"/>
      <c r="BY13" s="73"/>
      <c r="BZ13" s="73"/>
      <c r="CA13" s="73"/>
      <c r="CB13" s="73"/>
      <c r="CC13" s="73"/>
      <c r="CD13" s="73"/>
      <c r="CE13" s="73"/>
      <c r="CF13" s="73"/>
    </row>
    <row r="14" spans="1:84" ht="12.95" customHeight="1" x14ac:dyDescent="0.2">
      <c r="B14" s="2"/>
      <c r="E14" s="28"/>
      <c r="F14" s="28"/>
      <c r="G14" s="33"/>
      <c r="H14" s="1"/>
      <c r="N14" s="9"/>
      <c r="T14" s="11"/>
      <c r="U14" s="11"/>
      <c r="V14" s="11"/>
      <c r="W14" s="11"/>
      <c r="X14" s="11"/>
      <c r="Y14" s="11"/>
      <c r="Z14" s="11"/>
      <c r="CF14" s="9"/>
    </row>
    <row r="15" spans="1:84" ht="12.95" customHeight="1" x14ac:dyDescent="0.2">
      <c r="B15" s="2" t="str">
        <f>VLOOKUP(37,Textbausteine_Menu[],Hilfsgrössen!$D$2,FALSE)</f>
        <v>Groupe Suisse</v>
      </c>
      <c r="C15" s="2"/>
      <c r="E15" s="10"/>
      <c r="G15" s="33"/>
      <c r="H15" s="1"/>
      <c r="N15" s="9"/>
      <c r="T15" s="11"/>
      <c r="U15" s="11"/>
      <c r="V15" s="11"/>
      <c r="W15" s="11"/>
      <c r="X15" s="11"/>
      <c r="Y15" s="11"/>
      <c r="Z15" s="11"/>
      <c r="CF15" s="9"/>
    </row>
    <row r="16" spans="1:84" ht="12.95" customHeight="1" x14ac:dyDescent="0.2">
      <c r="C16" s="1" t="str">
        <f>VLOOKUP(31,Textbausteine_404_[],Hilfsgrössen!$D$2,FALSE)</f>
        <v>Apprentis</v>
      </c>
      <c r="D16" s="102" t="str">
        <f>VLOOKUP(11,Textbausteine_404_[],Hilfsgrössen!$D$2,FALSE)</f>
        <v>Personnes</v>
      </c>
      <c r="E16" s="9" t="s">
        <v>72</v>
      </c>
      <c r="F16" s="9" t="s">
        <v>145</v>
      </c>
      <c r="H16" s="12">
        <v>1556</v>
      </c>
      <c r="I16" s="12">
        <v>1465</v>
      </c>
      <c r="J16" s="15">
        <v>1429</v>
      </c>
      <c r="K16" s="15">
        <v>1473</v>
      </c>
      <c r="L16" s="189">
        <v>1571</v>
      </c>
      <c r="M16" s="189">
        <v>1690</v>
      </c>
      <c r="N16" s="12">
        <v>1824</v>
      </c>
      <c r="O16" s="12">
        <v>1942</v>
      </c>
      <c r="P16" s="12">
        <v>2015</v>
      </c>
      <c r="Q16" s="15">
        <v>2024</v>
      </c>
      <c r="R16" s="15">
        <v>2035</v>
      </c>
      <c r="S16" s="15">
        <v>2077.1603333333333</v>
      </c>
      <c r="T16" s="12">
        <v>2118</v>
      </c>
      <c r="U16" s="12">
        <v>2115</v>
      </c>
      <c r="V16" s="12">
        <v>2001</v>
      </c>
      <c r="W16" s="12">
        <v>1894</v>
      </c>
      <c r="X16" s="12">
        <v>1863.4645</v>
      </c>
      <c r="Y16" s="9">
        <v>1859.6306666666701</v>
      </c>
      <c r="Z16" s="9">
        <v>1838.76025</v>
      </c>
    </row>
    <row r="17" spans="1:26" ht="12.95" customHeight="1" x14ac:dyDescent="0.2">
      <c r="C17" s="17" t="str">
        <f>VLOOKUP(32,Textbausteine_404_[],Hilfsgrössen!$D$2,FALSE)</f>
        <v>Gestionnaire de commerce de détail</v>
      </c>
      <c r="D17" s="102" t="str">
        <f>VLOOKUP(11,Textbausteine_404_[],Hilfsgrössen!$D$2,FALSE)</f>
        <v>Personnes</v>
      </c>
      <c r="E17" s="9" t="s">
        <v>72</v>
      </c>
      <c r="F17" s="9" t="s">
        <v>145</v>
      </c>
      <c r="H17" s="12">
        <v>236</v>
      </c>
      <c r="I17" s="12">
        <v>377</v>
      </c>
      <c r="J17" s="15">
        <v>469</v>
      </c>
      <c r="K17" s="15">
        <v>514</v>
      </c>
      <c r="L17" s="189">
        <v>572</v>
      </c>
      <c r="M17" s="189">
        <v>645</v>
      </c>
      <c r="N17" s="12">
        <v>734</v>
      </c>
      <c r="O17" s="12">
        <v>814</v>
      </c>
      <c r="P17" s="12">
        <v>858</v>
      </c>
      <c r="Q17" s="15">
        <v>854</v>
      </c>
      <c r="R17" s="15">
        <v>827</v>
      </c>
      <c r="S17" s="15">
        <v>792.56275000000005</v>
      </c>
      <c r="T17" s="12">
        <v>730</v>
      </c>
      <c r="U17" s="12">
        <v>651</v>
      </c>
      <c r="V17" s="12">
        <v>554</v>
      </c>
      <c r="W17" s="12">
        <v>459</v>
      </c>
      <c r="X17" s="12">
        <v>406.638333333334</v>
      </c>
      <c r="Y17" s="9">
        <v>403.02291666666702</v>
      </c>
      <c r="Z17" s="9">
        <v>406.63599999999968</v>
      </c>
    </row>
    <row r="18" spans="1:26" ht="12.95" customHeight="1" x14ac:dyDescent="0.2">
      <c r="C18" s="134" t="str">
        <f>VLOOKUP(33,Textbausteine_404_[],Hilfsgrössen!$D$2,FALSE)</f>
        <v>Agent(e) relation client</v>
      </c>
      <c r="D18" s="102" t="str">
        <f>VLOOKUP(11,Textbausteine_404_[],Hilfsgrössen!$D$2,FALSE)</f>
        <v>Personnes</v>
      </c>
      <c r="E18" s="9" t="s">
        <v>72</v>
      </c>
      <c r="F18" s="9" t="s">
        <v>145</v>
      </c>
      <c r="H18" s="12" t="s">
        <v>29</v>
      </c>
      <c r="I18" s="12" t="s">
        <v>29</v>
      </c>
      <c r="J18" s="15" t="s">
        <v>29</v>
      </c>
      <c r="K18" s="15" t="s">
        <v>29</v>
      </c>
      <c r="L18" s="189" t="s">
        <v>29</v>
      </c>
      <c r="M18" s="189" t="s">
        <v>29</v>
      </c>
      <c r="N18" s="12" t="s">
        <v>29</v>
      </c>
      <c r="O18" s="12" t="s">
        <v>29</v>
      </c>
      <c r="P18" s="12" t="s">
        <v>29</v>
      </c>
      <c r="Q18" s="12">
        <v>4</v>
      </c>
      <c r="R18" s="12">
        <v>9</v>
      </c>
      <c r="S18" s="12">
        <v>20</v>
      </c>
      <c r="T18" s="190">
        <v>33</v>
      </c>
      <c r="U18" s="190">
        <v>44</v>
      </c>
      <c r="V18" s="190">
        <v>53</v>
      </c>
      <c r="W18" s="190">
        <v>58</v>
      </c>
      <c r="X18" s="190">
        <v>58.2293333333334</v>
      </c>
      <c r="Y18" s="190">
        <v>57.754249999999999</v>
      </c>
      <c r="Z18" s="190">
        <v>51.614416666666699</v>
      </c>
    </row>
    <row r="19" spans="1:26" s="9" customFormat="1" ht="12.95" customHeight="1" x14ac:dyDescent="0.2">
      <c r="A19" s="66"/>
      <c r="B19" s="1"/>
      <c r="C19" s="17" t="str">
        <f>VLOOKUP(34,Textbausteine_404_[],Hilfsgrössen!$D$2,FALSE)</f>
        <v>Employé(e) de commerce</v>
      </c>
      <c r="D19" s="102" t="str">
        <f>VLOOKUP(11,Textbausteine_404_[],Hilfsgrössen!$D$2,FALSE)</f>
        <v>Personnes</v>
      </c>
      <c r="E19" s="9" t="s">
        <v>72</v>
      </c>
      <c r="F19" s="9" t="s">
        <v>145</v>
      </c>
      <c r="G19" s="34"/>
      <c r="H19" s="12">
        <v>329</v>
      </c>
      <c r="I19" s="12">
        <v>212</v>
      </c>
      <c r="J19" s="15">
        <v>170</v>
      </c>
      <c r="K19" s="15">
        <v>196</v>
      </c>
      <c r="L19" s="189">
        <v>213</v>
      </c>
      <c r="M19" s="189">
        <v>219</v>
      </c>
      <c r="N19" s="12">
        <v>227</v>
      </c>
      <c r="O19" s="12">
        <v>240</v>
      </c>
      <c r="P19" s="12">
        <v>251</v>
      </c>
      <c r="Q19" s="15">
        <v>257</v>
      </c>
      <c r="R19" s="15">
        <v>255</v>
      </c>
      <c r="S19" s="15">
        <v>268.50883333333331</v>
      </c>
      <c r="T19" s="190">
        <v>286</v>
      </c>
      <c r="U19" s="190">
        <v>287</v>
      </c>
      <c r="V19" s="190">
        <v>261</v>
      </c>
      <c r="W19" s="190">
        <v>229</v>
      </c>
      <c r="X19" s="190">
        <v>205.84966666666625</v>
      </c>
      <c r="Y19" s="9">
        <v>187.60916666666637</v>
      </c>
      <c r="Z19" s="9">
        <v>183.009166666667</v>
      </c>
    </row>
    <row r="20" spans="1:26" s="9" customFormat="1" ht="12.95" customHeight="1" x14ac:dyDescent="0.2">
      <c r="A20" s="66"/>
      <c r="B20" s="1"/>
      <c r="C20" s="17" t="str">
        <f>VLOOKUP(35,Textbausteine_404_[],Hilfsgrössen!$D$2,FALSE)</f>
        <v>Stagiaire commerce</v>
      </c>
      <c r="D20" s="102" t="str">
        <f>VLOOKUP(11,Textbausteine_404_[],Hilfsgrössen!$D$2,FALSE)</f>
        <v>Personnes</v>
      </c>
      <c r="E20" s="9" t="s">
        <v>146</v>
      </c>
      <c r="F20" s="9" t="s">
        <v>145</v>
      </c>
      <c r="G20" s="34"/>
      <c r="H20" s="12">
        <v>50</v>
      </c>
      <c r="I20" s="12">
        <v>42</v>
      </c>
      <c r="J20" s="191">
        <v>34</v>
      </c>
      <c r="K20" s="15">
        <v>34</v>
      </c>
      <c r="L20" s="189">
        <v>35</v>
      </c>
      <c r="M20" s="189">
        <v>35</v>
      </c>
      <c r="N20" s="12">
        <v>36</v>
      </c>
      <c r="O20" s="12">
        <v>37</v>
      </c>
      <c r="P20" s="12">
        <v>43</v>
      </c>
      <c r="Q20" s="15">
        <v>46</v>
      </c>
      <c r="R20" s="15">
        <v>49</v>
      </c>
      <c r="S20" s="15">
        <v>53.676416666666242</v>
      </c>
      <c r="T20" s="12">
        <v>69</v>
      </c>
      <c r="U20" s="12">
        <v>82</v>
      </c>
      <c r="V20" s="12">
        <v>87</v>
      </c>
      <c r="W20" s="12">
        <v>83</v>
      </c>
      <c r="X20" s="12">
        <v>58.881</v>
      </c>
      <c r="Y20" s="12">
        <v>58.6904166666667</v>
      </c>
      <c r="Z20" s="12">
        <v>48.716750000000005</v>
      </c>
    </row>
    <row r="21" spans="1:26" s="9" customFormat="1" ht="12.95" customHeight="1" x14ac:dyDescent="0.2">
      <c r="A21" s="66"/>
      <c r="B21" s="1"/>
      <c r="C21" s="17" t="str">
        <f>VLOOKUP(36,Textbausteine_404_[],Hilfsgrössen!$D$2,FALSE)</f>
        <v>Logisticien/ne CFC distribution</v>
      </c>
      <c r="D21" s="102" t="str">
        <f>VLOOKUP(11,Textbausteine_404_[],Hilfsgrössen!$D$2,FALSE)</f>
        <v>Personnes</v>
      </c>
      <c r="E21" s="9" t="s">
        <v>72</v>
      </c>
      <c r="F21" s="9" t="s">
        <v>145</v>
      </c>
      <c r="G21" s="34"/>
      <c r="H21" s="12">
        <v>611</v>
      </c>
      <c r="I21" s="12">
        <v>568</v>
      </c>
      <c r="J21" s="15">
        <v>541</v>
      </c>
      <c r="K21" s="15">
        <v>506</v>
      </c>
      <c r="L21" s="189">
        <v>514</v>
      </c>
      <c r="M21" s="189">
        <v>539</v>
      </c>
      <c r="N21" s="12">
        <v>564</v>
      </c>
      <c r="O21" s="12">
        <v>580</v>
      </c>
      <c r="P21" s="12">
        <v>578</v>
      </c>
      <c r="Q21" s="15">
        <v>574</v>
      </c>
      <c r="R21" s="15">
        <v>608</v>
      </c>
      <c r="S21" s="15">
        <v>657.55058333333329</v>
      </c>
      <c r="T21" s="15">
        <v>705</v>
      </c>
      <c r="U21" s="15">
        <v>741</v>
      </c>
      <c r="V21" s="15">
        <v>751</v>
      </c>
      <c r="W21" s="15">
        <v>773</v>
      </c>
      <c r="X21" s="15">
        <v>808.81658333333326</v>
      </c>
      <c r="Y21" s="9">
        <v>820.85474999999974</v>
      </c>
      <c r="Z21" s="9">
        <v>825.440333333333</v>
      </c>
    </row>
    <row r="22" spans="1:26" s="9" customFormat="1" ht="12.95" customHeight="1" x14ac:dyDescent="0.2">
      <c r="A22" s="66"/>
      <c r="B22" s="1"/>
      <c r="C22" s="17" t="str">
        <f>VLOOKUP(37,Textbausteine_404_[],Hilfsgrössen!$D$2,FALSE)</f>
        <v>Logisticien/ne AFP distribution</v>
      </c>
      <c r="D22" s="102" t="str">
        <f>VLOOKUP(11,Textbausteine_404_[],Hilfsgrössen!$D$2,FALSE)</f>
        <v>Personnes</v>
      </c>
      <c r="E22" s="9" t="s">
        <v>72</v>
      </c>
      <c r="F22" s="9" t="s">
        <v>145</v>
      </c>
      <c r="G22" s="34"/>
      <c r="H22" s="12">
        <v>110</v>
      </c>
      <c r="I22" s="12">
        <v>90</v>
      </c>
      <c r="J22" s="15">
        <v>74</v>
      </c>
      <c r="K22" s="15">
        <v>74</v>
      </c>
      <c r="L22" s="15">
        <v>78</v>
      </c>
      <c r="M22" s="189">
        <v>83</v>
      </c>
      <c r="N22" s="12">
        <v>92</v>
      </c>
      <c r="O22" s="12">
        <v>102</v>
      </c>
      <c r="P22" s="12">
        <v>116</v>
      </c>
      <c r="Q22" s="15">
        <v>122</v>
      </c>
      <c r="R22" s="15">
        <v>119</v>
      </c>
      <c r="S22" s="15">
        <v>112.87958333333333</v>
      </c>
      <c r="T22" s="15">
        <v>119</v>
      </c>
      <c r="U22" s="15">
        <v>119</v>
      </c>
      <c r="V22" s="15">
        <v>103</v>
      </c>
      <c r="W22" s="15">
        <v>100</v>
      </c>
      <c r="X22" s="15">
        <v>103.35583333333339</v>
      </c>
      <c r="Y22" s="9">
        <v>109.2184166666667</v>
      </c>
      <c r="Z22" s="9">
        <v>102.22975</v>
      </c>
    </row>
    <row r="23" spans="1:26" s="9" customFormat="1" ht="12.95" customHeight="1" x14ac:dyDescent="0.2">
      <c r="A23" s="66"/>
      <c r="B23" s="1"/>
      <c r="C23" s="17" t="str">
        <f>VLOOKUP(38,Textbausteine_404_[],Hilfsgrössen!$D$2,FALSE)</f>
        <v>Logisticien/ne CFC stockage</v>
      </c>
      <c r="D23" s="102" t="str">
        <f>VLOOKUP(11,Textbausteine_404_[],Hilfsgrössen!$D$2,FALSE)</f>
        <v>Personnes</v>
      </c>
      <c r="E23" s="9" t="s">
        <v>72</v>
      </c>
      <c r="F23" s="9" t="s">
        <v>145</v>
      </c>
      <c r="G23" s="34"/>
      <c r="H23" s="15">
        <v>6</v>
      </c>
      <c r="I23" s="15">
        <v>8</v>
      </c>
      <c r="J23" s="15">
        <v>11</v>
      </c>
      <c r="K23" s="15">
        <v>12</v>
      </c>
      <c r="L23" s="15">
        <v>14</v>
      </c>
      <c r="M23" s="15">
        <v>17</v>
      </c>
      <c r="N23" s="15">
        <v>15</v>
      </c>
      <c r="O23" s="15">
        <v>16</v>
      </c>
      <c r="P23" s="15">
        <v>17</v>
      </c>
      <c r="Q23" s="15">
        <v>11</v>
      </c>
      <c r="R23" s="15">
        <v>7</v>
      </c>
      <c r="S23" s="15">
        <v>4.583333333333333</v>
      </c>
      <c r="T23" s="15">
        <v>5</v>
      </c>
      <c r="U23" s="15">
        <v>8</v>
      </c>
      <c r="V23" s="15">
        <v>10</v>
      </c>
      <c r="W23" s="15">
        <v>13</v>
      </c>
      <c r="X23" s="15">
        <v>16.000000000000004</v>
      </c>
      <c r="Y23" s="15">
        <v>19.416666666666671</v>
      </c>
      <c r="Z23" s="15">
        <v>21.4166666666667</v>
      </c>
    </row>
    <row r="24" spans="1:26" s="9" customFormat="1" ht="12.95" customHeight="1" x14ac:dyDescent="0.2">
      <c r="A24" s="66"/>
      <c r="B24" s="1"/>
      <c r="C24" s="17" t="str">
        <f>VLOOKUP(39,Textbausteine_404_[],Hilfsgrössen!$D$2,FALSE)</f>
        <v>Conducteur/trice de véhicules lourds</v>
      </c>
      <c r="D24" s="102" t="str">
        <f>VLOOKUP(11,Textbausteine_404_[],Hilfsgrössen!$D$2,FALSE)</f>
        <v>Personnes</v>
      </c>
      <c r="E24" s="9" t="s">
        <v>72</v>
      </c>
      <c r="F24" s="9" t="s">
        <v>145</v>
      </c>
      <c r="G24" s="34"/>
      <c r="H24" s="15">
        <v>33</v>
      </c>
      <c r="I24" s="15">
        <v>32</v>
      </c>
      <c r="J24" s="15">
        <v>32</v>
      </c>
      <c r="K24" s="15">
        <v>30</v>
      </c>
      <c r="L24" s="15">
        <v>33</v>
      </c>
      <c r="M24" s="15">
        <v>37</v>
      </c>
      <c r="N24" s="15">
        <v>36</v>
      </c>
      <c r="O24" s="15">
        <v>32</v>
      </c>
      <c r="P24" s="15">
        <v>28</v>
      </c>
      <c r="Q24" s="15">
        <v>28</v>
      </c>
      <c r="R24" s="15">
        <v>24</v>
      </c>
      <c r="S24" s="15">
        <v>18.002666666666666</v>
      </c>
      <c r="T24" s="15">
        <v>8</v>
      </c>
      <c r="U24" s="15">
        <v>3</v>
      </c>
      <c r="V24" s="15" t="s">
        <v>29</v>
      </c>
      <c r="W24" s="15" t="s">
        <v>29</v>
      </c>
      <c r="X24" s="15" t="s">
        <v>29</v>
      </c>
      <c r="Y24" s="9" t="s">
        <v>29</v>
      </c>
      <c r="Z24" s="9" t="s">
        <v>29</v>
      </c>
    </row>
    <row r="25" spans="1:26" s="9" customFormat="1" ht="12.95" customHeight="1" x14ac:dyDescent="0.2">
      <c r="A25" s="66"/>
      <c r="B25" s="1"/>
      <c r="C25" s="17" t="str">
        <f>VLOOKUP(40,Textbausteine_404_[],Hilfsgrössen!$D$2,FALSE)</f>
        <v>Informaticien/ne</v>
      </c>
      <c r="D25" s="102" t="str">
        <f>VLOOKUP(11,Textbausteine_404_[],Hilfsgrössen!$D$2,FALSE)</f>
        <v>Personnes</v>
      </c>
      <c r="E25" s="9" t="s">
        <v>146</v>
      </c>
      <c r="F25" s="9" t="s">
        <v>145</v>
      </c>
      <c r="G25" s="34"/>
      <c r="H25" s="15">
        <v>89</v>
      </c>
      <c r="I25" s="15">
        <v>74</v>
      </c>
      <c r="J25" s="15">
        <v>72</v>
      </c>
      <c r="K25" s="15">
        <v>80</v>
      </c>
      <c r="L25" s="15">
        <v>84</v>
      </c>
      <c r="M25" s="15">
        <v>80</v>
      </c>
      <c r="N25" s="15">
        <v>80</v>
      </c>
      <c r="O25" s="15">
        <v>79</v>
      </c>
      <c r="P25" s="15">
        <v>82</v>
      </c>
      <c r="Q25" s="15">
        <v>85</v>
      </c>
      <c r="R25" s="15">
        <v>89</v>
      </c>
      <c r="S25" s="15">
        <v>98.014750000000006</v>
      </c>
      <c r="T25" s="15">
        <v>105</v>
      </c>
      <c r="U25" s="15">
        <v>116</v>
      </c>
      <c r="V25" s="15">
        <v>119</v>
      </c>
      <c r="W25" s="15">
        <v>117</v>
      </c>
      <c r="X25" s="15">
        <v>142.67891666666657</v>
      </c>
      <c r="Y25" s="9">
        <v>142.48475000000005</v>
      </c>
      <c r="Z25" s="9">
        <v>139.79900000000004</v>
      </c>
    </row>
    <row r="26" spans="1:26" s="9" customFormat="1" ht="12.95" customHeight="1" x14ac:dyDescent="0.2">
      <c r="A26" s="66"/>
      <c r="B26" s="1"/>
      <c r="C26" s="17" t="str">
        <f>VLOOKUP(41,Textbausteine_404_[],Hilfsgrössen!$D$2,FALSE)</f>
        <v>Médiamaticien/ne</v>
      </c>
      <c r="D26" s="102" t="str">
        <f>VLOOKUP(11,Textbausteine_404_[],Hilfsgrössen!$D$2,FALSE)</f>
        <v>Personnes</v>
      </c>
      <c r="E26" s="9" t="s">
        <v>72</v>
      </c>
      <c r="F26" s="9" t="s">
        <v>145</v>
      </c>
      <c r="G26" s="34"/>
      <c r="H26" s="15" t="s">
        <v>29</v>
      </c>
      <c r="I26" s="15" t="s">
        <v>29</v>
      </c>
      <c r="J26" s="15" t="s">
        <v>29</v>
      </c>
      <c r="K26" s="15" t="s">
        <v>29</v>
      </c>
      <c r="L26" s="15" t="s">
        <v>29</v>
      </c>
      <c r="M26" s="15">
        <v>8</v>
      </c>
      <c r="N26" s="15">
        <v>14</v>
      </c>
      <c r="O26" s="15">
        <v>16</v>
      </c>
      <c r="P26" s="15">
        <v>16</v>
      </c>
      <c r="Q26" s="15">
        <v>17</v>
      </c>
      <c r="R26" s="15">
        <v>19</v>
      </c>
      <c r="S26" s="15">
        <v>22.75</v>
      </c>
      <c r="T26" s="15">
        <v>26</v>
      </c>
      <c r="U26" s="15">
        <v>32</v>
      </c>
      <c r="V26" s="15">
        <v>33</v>
      </c>
      <c r="W26" s="15">
        <v>31</v>
      </c>
      <c r="X26" s="15">
        <v>30.453250000000001</v>
      </c>
      <c r="Y26" s="15">
        <v>28.653249999999971</v>
      </c>
      <c r="Z26" s="15">
        <v>27.973166666666629</v>
      </c>
    </row>
    <row r="27" spans="1:26" s="9" customFormat="1" ht="12.95" customHeight="1" x14ac:dyDescent="0.2">
      <c r="A27" s="66"/>
      <c r="B27" s="1"/>
      <c r="C27" s="17" t="str">
        <f>VLOOKUP(42,Textbausteine_404_[],Hilfsgrössen!$D$2,FALSE)</f>
        <v>Automaticien/ne</v>
      </c>
      <c r="D27" s="102" t="str">
        <f>VLOOKUP(11,Textbausteine_404_[],Hilfsgrössen!$D$2,FALSE)</f>
        <v>Personnes</v>
      </c>
      <c r="E27" s="9" t="s">
        <v>72</v>
      </c>
      <c r="F27" s="9" t="s">
        <v>145</v>
      </c>
      <c r="G27" s="34"/>
      <c r="H27" s="15">
        <v>20</v>
      </c>
      <c r="I27" s="15">
        <v>20</v>
      </c>
      <c r="J27" s="15">
        <v>18</v>
      </c>
      <c r="K27" s="15">
        <v>17</v>
      </c>
      <c r="L27" s="15">
        <v>17</v>
      </c>
      <c r="M27" s="15">
        <v>15</v>
      </c>
      <c r="N27" s="15">
        <v>13</v>
      </c>
      <c r="O27" s="15">
        <v>13</v>
      </c>
      <c r="P27" s="15">
        <v>14</v>
      </c>
      <c r="Q27" s="15">
        <v>16</v>
      </c>
      <c r="R27" s="15">
        <v>18</v>
      </c>
      <c r="S27" s="15">
        <v>17.569916666666668</v>
      </c>
      <c r="T27" s="15">
        <v>19</v>
      </c>
      <c r="U27" s="15">
        <v>21</v>
      </c>
      <c r="V27" s="15">
        <v>21</v>
      </c>
      <c r="W27" s="15">
        <v>22</v>
      </c>
      <c r="X27" s="15">
        <v>21.88416666666663</v>
      </c>
      <c r="Y27" s="15">
        <v>21.967750000000031</v>
      </c>
      <c r="Z27" s="15">
        <v>21.333333333333329</v>
      </c>
    </row>
    <row r="28" spans="1:26" s="9" customFormat="1" ht="12.95" customHeight="1" x14ac:dyDescent="0.2">
      <c r="A28" s="66"/>
      <c r="B28" s="1"/>
      <c r="C28" s="17" t="str">
        <f>VLOOKUP(43,Textbausteine_404_[],Hilfsgrössen!$D$2,FALSE)</f>
        <v>Spécialiste de l'entretien CFC</v>
      </c>
      <c r="D28" s="102" t="str">
        <f>VLOOKUP(11,Textbausteine_404_[],Hilfsgrössen!$D$2,FALSE)</f>
        <v>Personnes</v>
      </c>
      <c r="E28" s="9" t="s">
        <v>72</v>
      </c>
      <c r="F28" s="9" t="s">
        <v>145</v>
      </c>
      <c r="G28" s="34"/>
      <c r="H28" s="15">
        <v>1</v>
      </c>
      <c r="I28" s="15">
        <v>4</v>
      </c>
      <c r="J28" s="15">
        <v>8</v>
      </c>
      <c r="K28" s="15">
        <v>10</v>
      </c>
      <c r="L28" s="15">
        <v>9</v>
      </c>
      <c r="M28" s="15">
        <v>9</v>
      </c>
      <c r="N28" s="15">
        <v>10</v>
      </c>
      <c r="O28" s="15">
        <v>10</v>
      </c>
      <c r="P28" s="15">
        <v>10</v>
      </c>
      <c r="Q28" s="15">
        <v>10</v>
      </c>
      <c r="R28" s="15">
        <v>11</v>
      </c>
      <c r="S28" s="15">
        <v>11.061500000000001</v>
      </c>
      <c r="T28" s="15">
        <v>12</v>
      </c>
      <c r="U28" s="15">
        <v>11</v>
      </c>
      <c r="V28" s="15">
        <v>9</v>
      </c>
      <c r="W28" s="15">
        <v>9</v>
      </c>
      <c r="X28" s="15">
        <v>10.677416666666669</v>
      </c>
      <c r="Y28" s="15">
        <v>9.9583333333333304</v>
      </c>
      <c r="Z28" s="15">
        <v>10.591666666666701</v>
      </c>
    </row>
    <row r="29" spans="1:26" s="9" customFormat="1" ht="12.95" customHeight="1" x14ac:dyDescent="0.2">
      <c r="A29" s="66"/>
      <c r="B29" s="1"/>
      <c r="C29" s="17" t="str">
        <f>VLOOKUP(44,Textbausteine_404_[],Hilfsgrössen!$D$2,FALSE)</f>
        <v>Spécialiste petite enfance</v>
      </c>
      <c r="D29" s="102" t="str">
        <f>VLOOKUP(11,Textbausteine_404_[],Hilfsgrössen!$D$2,FALSE)</f>
        <v>Personnes</v>
      </c>
      <c r="E29" s="9" t="s">
        <v>72</v>
      </c>
      <c r="F29" s="9" t="s">
        <v>145</v>
      </c>
      <c r="G29" s="34"/>
      <c r="H29" s="15" t="s">
        <v>29</v>
      </c>
      <c r="I29" s="15" t="s">
        <v>29</v>
      </c>
      <c r="J29" s="15" t="s">
        <v>29</v>
      </c>
      <c r="K29" s="15" t="s">
        <v>29</v>
      </c>
      <c r="L29" s="15">
        <v>2</v>
      </c>
      <c r="M29" s="15">
        <v>3</v>
      </c>
      <c r="N29" s="15">
        <v>3</v>
      </c>
      <c r="O29" s="15">
        <v>3</v>
      </c>
      <c r="P29" s="15">
        <v>2</v>
      </c>
      <c r="Q29" s="15" t="s">
        <v>29</v>
      </c>
      <c r="R29" s="15" t="s">
        <v>29</v>
      </c>
      <c r="S29" s="15" t="s">
        <v>29</v>
      </c>
      <c r="T29" s="15" t="s">
        <v>29</v>
      </c>
      <c r="U29" s="15" t="s">
        <v>29</v>
      </c>
      <c r="V29" s="15" t="s">
        <v>29</v>
      </c>
      <c r="W29" s="15" t="s">
        <v>29</v>
      </c>
      <c r="X29" s="15" t="s">
        <v>29</v>
      </c>
      <c r="Y29" s="9" t="s">
        <v>29</v>
      </c>
      <c r="Z29" s="9" t="s">
        <v>29</v>
      </c>
    </row>
    <row r="30" spans="1:26" s="9" customFormat="1" ht="12.95" customHeight="1" x14ac:dyDescent="0.2">
      <c r="A30" s="66"/>
      <c r="B30" s="1"/>
      <c r="C30" s="1"/>
      <c r="D30" s="1"/>
      <c r="G30" s="34"/>
    </row>
    <row r="31" spans="1:26" s="9" customFormat="1" ht="12.95" customHeight="1" x14ac:dyDescent="0.2">
      <c r="A31" s="66"/>
      <c r="B31" s="1"/>
      <c r="C31" s="1" t="str">
        <f>VLOOKUP(45,Textbausteine_404_[],Hilfsgrössen!$D$2,FALSE)</f>
        <v>Taux de formation</v>
      </c>
      <c r="D31" s="1" t="str">
        <f>VLOOKUP(12,Textbausteine_404_[],Hilfsgrössen!$D$2,FALSE)</f>
        <v>% des unités de personnel</v>
      </c>
      <c r="E31" s="9" t="s">
        <v>66</v>
      </c>
      <c r="F31" s="9" t="s">
        <v>145</v>
      </c>
      <c r="G31" s="34"/>
      <c r="H31" s="9">
        <v>3.8</v>
      </c>
      <c r="I31" s="9">
        <v>3.7</v>
      </c>
      <c r="J31" s="9">
        <v>3.7</v>
      </c>
      <c r="K31" s="9">
        <v>3.9</v>
      </c>
      <c r="L31" s="9">
        <v>4.0999999999999996</v>
      </c>
      <c r="M31" s="9">
        <v>4.5</v>
      </c>
      <c r="N31" s="9">
        <v>4.8</v>
      </c>
      <c r="O31" s="9">
        <v>5.1515088307931398</v>
      </c>
      <c r="P31" s="9">
        <v>5.3</v>
      </c>
      <c r="Q31" s="9">
        <v>5.4</v>
      </c>
      <c r="R31" s="9">
        <v>5.5</v>
      </c>
      <c r="S31" s="9">
        <v>5.7</v>
      </c>
      <c r="T31" s="9">
        <v>5.8</v>
      </c>
      <c r="U31" s="9">
        <v>6</v>
      </c>
      <c r="V31" s="9">
        <v>5.8</v>
      </c>
      <c r="W31" s="9">
        <v>5.7</v>
      </c>
      <c r="X31" s="9">
        <v>5.6</v>
      </c>
      <c r="Y31" s="9">
        <v>5.5</v>
      </c>
      <c r="Z31" s="9">
        <v>5.5</v>
      </c>
    </row>
    <row r="32" spans="1:26" s="9" customFormat="1" ht="12.95" customHeight="1" x14ac:dyDescent="0.2">
      <c r="A32" s="66"/>
      <c r="B32" s="1"/>
      <c r="C32" s="1" t="str">
        <f>VLOOKUP(46,Textbausteine_404_[],Hilfsgrössen!$D$2,FALSE)</f>
        <v>Embauche de personnes en formation</v>
      </c>
      <c r="D32" s="1" t="str">
        <f>VLOOKUP(11,Textbausteine_404_[],Hilfsgrössen!$D$2,FALSE)</f>
        <v>Personnes</v>
      </c>
      <c r="E32" s="9" t="s">
        <v>28</v>
      </c>
      <c r="F32" s="9" t="s">
        <v>145</v>
      </c>
      <c r="G32" s="34"/>
      <c r="H32" s="15">
        <v>479</v>
      </c>
      <c r="I32" s="15">
        <v>512</v>
      </c>
      <c r="J32" s="15">
        <v>566</v>
      </c>
      <c r="K32" s="15">
        <v>606</v>
      </c>
      <c r="L32" s="15">
        <v>633</v>
      </c>
      <c r="M32" s="15">
        <v>720</v>
      </c>
      <c r="N32" s="15">
        <v>748</v>
      </c>
      <c r="O32" s="15">
        <v>755</v>
      </c>
      <c r="P32" s="15">
        <v>775</v>
      </c>
      <c r="Q32" s="15">
        <v>778</v>
      </c>
      <c r="R32" s="15">
        <v>803</v>
      </c>
      <c r="S32" s="15">
        <v>837</v>
      </c>
      <c r="T32" s="15">
        <v>836</v>
      </c>
      <c r="U32" s="15">
        <v>756</v>
      </c>
      <c r="V32" s="15">
        <v>714</v>
      </c>
      <c r="W32" s="15">
        <v>762</v>
      </c>
      <c r="X32" s="15">
        <v>743</v>
      </c>
      <c r="Y32" s="9">
        <v>749</v>
      </c>
      <c r="Z32" s="9">
        <v>723</v>
      </c>
    </row>
    <row r="33" spans="1:83" s="9" customFormat="1" ht="12.95" customHeight="1" x14ac:dyDescent="0.2">
      <c r="A33" s="66"/>
      <c r="B33" s="1"/>
      <c r="C33" s="1" t="str">
        <f>VLOOKUP(47,Textbausteine_404_[],Hilfsgrössen!$D$2,FALSE)</f>
        <v>Part des personnes en formation embauchées</v>
      </c>
      <c r="D33" s="1" t="str">
        <f>VLOOKUP(13,Textbausteine_404_[],Hilfsgrössen!$D$2,FALSE)</f>
        <v>% des personnes</v>
      </c>
      <c r="E33" s="9" t="s">
        <v>30</v>
      </c>
      <c r="F33" s="9" t="s">
        <v>145</v>
      </c>
      <c r="G33" s="267"/>
      <c r="H33" s="15">
        <v>83</v>
      </c>
      <c r="I33" s="15">
        <v>81</v>
      </c>
      <c r="J33" s="15">
        <v>92</v>
      </c>
      <c r="K33" s="15">
        <v>91</v>
      </c>
      <c r="L33" s="15">
        <v>91</v>
      </c>
      <c r="M33" s="15">
        <v>82</v>
      </c>
      <c r="N33" s="15">
        <v>90</v>
      </c>
      <c r="O33" s="15">
        <v>90</v>
      </c>
      <c r="P33" s="15">
        <v>83</v>
      </c>
      <c r="Q33" s="15">
        <v>83</v>
      </c>
      <c r="R33" s="15">
        <v>87</v>
      </c>
      <c r="S33" s="15">
        <v>84</v>
      </c>
      <c r="T33" s="15">
        <v>68</v>
      </c>
      <c r="U33" s="15">
        <v>62</v>
      </c>
      <c r="V33" s="15">
        <v>76.900000000000006</v>
      </c>
      <c r="W33" s="15">
        <v>81</v>
      </c>
      <c r="X33" s="15">
        <v>63</v>
      </c>
      <c r="Y33" s="15">
        <v>84.72</v>
      </c>
      <c r="Z33" s="15">
        <v>65</v>
      </c>
    </row>
    <row r="34" spans="1:83" s="9" customFormat="1" ht="12.95" customHeight="1" x14ac:dyDescent="0.2">
      <c r="A34" s="66"/>
      <c r="B34" s="1"/>
      <c r="C34" s="13"/>
      <c r="D34" s="1"/>
      <c r="G34" s="34"/>
    </row>
    <row r="35" spans="1:83" s="367" customFormat="1" ht="12.95" customHeight="1" x14ac:dyDescent="0.2">
      <c r="A35" s="66"/>
      <c r="B35" s="382" t="str">
        <f>VLOOKUP(131,Textbausteine_404_[],Hilfsgrössen!$D$2,FALSE)</f>
        <v>1) Groupe Suisse: données du systèmes du personnel, actuellement sans données sur 1402 unités du personnel ou 5582 personnes des sociétés du groupe B-Sped Logistics (Suisse) SA, Epsilon SA, Direct Mail Company AG, PubliBike SA, Destinas AG, KLARA Business SA, Relatra AG, BPS Speditions-Service AG, Arlesheim, BPS Speditions-Service AG, Pfungen, Walli-Trans AG, ASMIQ AG, notime AG, notime (Suisse) SA, Dialog Verwaltungs-Data AG, SwissSign SA, Tresorit AG, Bring! Labs AG, Livesystems Group SA, Livesystems SA, Livesystems dooh SA, Iemoli Trasporti SA, InTraLog Hermes AG, InTraLog Overseas AG, Otto Schmidt SA, Steriplus AG, Stericenter SA, Mediwar AG, Marcel Blanc et Cie SA, Unblu Inc., Groupe T2i Suisse SA, Hacknowledge SA, Stella Brandenberger Transporte AG, axsana AG, eoscop AG, H. Bucher Internationale Transporte AG, adiacom AG, Kickbag GmbH</v>
      </c>
      <c r="C35" s="385"/>
      <c r="D35" s="385"/>
      <c r="E35" s="385"/>
      <c r="F35" s="386"/>
      <c r="G35" s="385"/>
      <c r="H35" s="385"/>
      <c r="I35" s="385"/>
      <c r="J35" s="385"/>
      <c r="K35" s="385"/>
      <c r="L35" s="385"/>
      <c r="M35" s="385"/>
      <c r="N35" s="385"/>
      <c r="O35" s="385"/>
      <c r="P35" s="385"/>
      <c r="Q35" s="385"/>
      <c r="R35" s="385"/>
    </row>
    <row r="36" spans="1:83" s="9" customFormat="1" ht="12.95" customHeight="1" x14ac:dyDescent="0.2">
      <c r="A36" s="66"/>
      <c r="B36" s="19" t="str">
        <f>VLOOKUP(132,Textbausteine_404_[],Hilfsgrössen!$D$2,FALSE)</f>
        <v>2) Valeurs annuelles moyennes</v>
      </c>
      <c r="C36" s="135"/>
      <c r="D36" s="135"/>
      <c r="E36" s="135"/>
      <c r="F36" s="166"/>
      <c r="G36" s="135"/>
      <c r="H36" s="135"/>
      <c r="I36" s="135"/>
      <c r="J36" s="135"/>
      <c r="K36" s="135"/>
      <c r="L36" s="135"/>
      <c r="M36" s="135"/>
      <c r="N36" s="135"/>
      <c r="O36" s="135"/>
      <c r="P36" s="135"/>
      <c r="Q36" s="135"/>
      <c r="R36" s="135"/>
    </row>
    <row r="37" spans="1:83" s="9" customFormat="1" ht="12.95" customHeight="1" x14ac:dyDescent="0.2">
      <c r="A37" s="66"/>
      <c r="B37" s="19" t="str">
        <f>VLOOKUP(133,Textbausteine_404_[],Hilfsgrössen!$D$2,FALSE)</f>
        <v>3) Une unité de personnel correspond à un poste à plein temps.</v>
      </c>
      <c r="C37" s="135"/>
      <c r="D37" s="135"/>
      <c r="E37" s="135"/>
      <c r="F37" s="166"/>
      <c r="G37" s="135"/>
      <c r="H37" s="135"/>
      <c r="I37" s="135"/>
      <c r="J37" s="135"/>
      <c r="K37" s="135"/>
      <c r="L37" s="135"/>
      <c r="M37" s="135"/>
      <c r="N37" s="135"/>
      <c r="O37" s="135"/>
      <c r="P37" s="135"/>
      <c r="Q37" s="135"/>
      <c r="R37" s="135"/>
    </row>
    <row r="38" spans="1:83" s="9" customFormat="1" ht="12.95" customHeight="1" x14ac:dyDescent="0.2">
      <c r="A38" s="66"/>
      <c r="B38" s="19" t="str">
        <f>VLOOKUP(134,Textbausteine_404_[],Hilfsgrössen!$D$2,FALSE)</f>
        <v>4) Ajustement de la valeur 2018 en raison de changement de la méthode de calcul</v>
      </c>
      <c r="C38" s="135"/>
      <c r="D38" s="135"/>
      <c r="E38" s="135"/>
      <c r="F38" s="166"/>
      <c r="G38" s="135"/>
      <c r="H38" s="135"/>
      <c r="I38" s="135"/>
      <c r="J38" s="135"/>
      <c r="K38" s="135"/>
      <c r="L38" s="135"/>
      <c r="M38" s="135"/>
      <c r="N38" s="135"/>
      <c r="O38" s="135"/>
      <c r="P38" s="135"/>
      <c r="Q38" s="135"/>
      <c r="R38" s="135"/>
    </row>
    <row r="39" spans="1:83" s="9" customFormat="1" ht="12.95" customHeight="1" x14ac:dyDescent="0.2">
      <c r="A39" s="66"/>
      <c r="B39" s="19" t="str">
        <f>VLOOKUP(135,Textbausteine_404_[],Hilfsgrössen!$D$2,FALSE)</f>
        <v>5) Valeur 2018 ajustée</v>
      </c>
      <c r="C39" s="135"/>
      <c r="D39" s="135"/>
      <c r="E39" s="135"/>
      <c r="F39" s="166"/>
      <c r="G39" s="135"/>
      <c r="H39" s="135"/>
      <c r="I39" s="135"/>
      <c r="J39" s="135"/>
      <c r="K39" s="135"/>
      <c r="L39" s="135"/>
      <c r="M39" s="135"/>
      <c r="N39" s="135"/>
      <c r="O39" s="135"/>
      <c r="P39" s="135"/>
      <c r="Q39" s="135"/>
      <c r="R39" s="135"/>
    </row>
    <row r="40" spans="1:83" s="9" customFormat="1" ht="12.95" customHeight="1" x14ac:dyDescent="0.2">
      <c r="A40" s="66"/>
      <c r="B40" s="19" t="str">
        <f>VLOOKUP(136,Textbausteine_404_[],Hilfsgrössen!$D$2,FALSE)</f>
        <v>6) Groupe Suisse avec contrat d'apprentissage Formation professionnelle Poste</v>
      </c>
      <c r="C40" s="135"/>
      <c r="D40" s="135"/>
      <c r="E40" s="135"/>
      <c r="F40" s="166"/>
      <c r="G40" s="135"/>
      <c r="H40" s="135"/>
      <c r="I40" s="135"/>
      <c r="J40" s="135"/>
      <c r="K40" s="135"/>
      <c r="L40" s="135"/>
      <c r="M40" s="135"/>
      <c r="N40" s="135"/>
      <c r="O40" s="135"/>
      <c r="P40" s="135"/>
      <c r="Q40" s="135"/>
      <c r="R40" s="135"/>
    </row>
    <row r="41" spans="1:83" s="9" customFormat="1" ht="12.95" customHeight="1" x14ac:dyDescent="0.2">
      <c r="A41" s="66"/>
      <c r="B41" s="19" t="str">
        <f>VLOOKUP(137,Textbausteine_404_[],Hilfsgrössen!$D$2,FALSE)</f>
        <v>7) Part des apprentis repris qui souhaitent être embauchés</v>
      </c>
      <c r="C41" s="135"/>
      <c r="D41" s="135"/>
      <c r="E41" s="135"/>
      <c r="F41" s="166"/>
      <c r="G41" s="135"/>
      <c r="H41" s="135"/>
      <c r="I41" s="135"/>
      <c r="J41" s="135"/>
      <c r="K41" s="135"/>
      <c r="L41" s="135"/>
      <c r="M41" s="135"/>
      <c r="N41" s="135"/>
      <c r="O41" s="135"/>
      <c r="P41" s="135"/>
      <c r="Q41" s="135"/>
      <c r="R41" s="135"/>
    </row>
    <row r="42" spans="1:83" s="9" customFormat="1" ht="12.95" customHeight="1" x14ac:dyDescent="0.2">
      <c r="A42" s="66"/>
      <c r="B42" s="19" t="str">
        <f>VLOOKUP(138,Textbausteine_404_[],Hilfsgrössen!$D$2,FALSE)</f>
        <v>8) Déplacement de la fonction «Cursus de bachelor avec pratique intégrée» vers stage commercial pratique d’informaticien/informaticienne depuis 2020.</v>
      </c>
      <c r="C42" s="135"/>
      <c r="D42" s="135"/>
      <c r="E42" s="135"/>
      <c r="F42" s="166"/>
      <c r="G42" s="135"/>
      <c r="H42" s="135"/>
      <c r="I42" s="135"/>
      <c r="J42" s="135"/>
      <c r="K42" s="135"/>
      <c r="L42" s="135"/>
      <c r="M42" s="135"/>
      <c r="N42" s="135"/>
      <c r="O42" s="135"/>
      <c r="P42" s="135"/>
      <c r="Q42" s="135"/>
      <c r="R42" s="135"/>
    </row>
    <row r="43" spans="1:83" s="9" customFormat="1" ht="12.95" customHeight="1" x14ac:dyDescent="0.2">
      <c r="A43" s="66"/>
      <c r="B43" s="135"/>
      <c r="C43" s="135"/>
      <c r="D43" s="135"/>
      <c r="E43" s="135"/>
      <c r="F43" s="166"/>
      <c r="G43" s="135"/>
      <c r="H43" s="135"/>
      <c r="I43" s="135"/>
      <c r="J43" s="135"/>
      <c r="K43" s="135"/>
      <c r="L43" s="135"/>
      <c r="M43" s="135"/>
      <c r="N43" s="135"/>
      <c r="O43" s="135"/>
      <c r="P43" s="135"/>
      <c r="Q43" s="135"/>
      <c r="R43" s="135"/>
    </row>
    <row r="44" spans="1:83" s="9" customFormat="1" ht="12.95" customHeight="1" x14ac:dyDescent="0.2">
      <c r="A44" s="66"/>
      <c r="B44" s="135"/>
      <c r="C44" s="135"/>
      <c r="D44" s="135"/>
      <c r="E44" s="135"/>
      <c r="F44" s="166"/>
      <c r="G44" s="135"/>
      <c r="H44" s="135"/>
      <c r="I44" s="135"/>
      <c r="J44" s="135"/>
      <c r="K44" s="135"/>
      <c r="L44" s="135"/>
      <c r="M44" s="135"/>
      <c r="N44" s="135"/>
      <c r="O44" s="135"/>
      <c r="P44" s="135"/>
      <c r="Q44" s="135"/>
      <c r="R44" s="135"/>
    </row>
    <row r="45" spans="1:83" s="6" customFormat="1" ht="12.95" customHeight="1" x14ac:dyDescent="0.2">
      <c r="A45" s="39" t="s">
        <v>27</v>
      </c>
      <c r="B45" s="401" t="str">
        <f>$C$8</f>
        <v>Relève</v>
      </c>
      <c r="C45" s="401"/>
      <c r="D45" s="6" t="str">
        <f>VLOOKUP(32,Textbausteine_Menu[],Hilfsgrössen!$D$2,FALSE)</f>
        <v>Unité</v>
      </c>
      <c r="E45" s="28" t="str">
        <f>VLOOKUP(33,Textbausteine_Menu[],Hilfsgrössen!$D$2,FALSE)</f>
        <v>Notes</v>
      </c>
      <c r="F45" s="28" t="str">
        <f>VLOOKUP(34,Textbausteine_Menu[],Hilfsgrössen!$D$2,FALSE)</f>
        <v>GRI</v>
      </c>
      <c r="G45" s="34"/>
      <c r="H45" s="6">
        <v>2004</v>
      </c>
      <c r="I45" s="7">
        <v>2005</v>
      </c>
      <c r="J45" s="7">
        <v>2006</v>
      </c>
      <c r="K45" s="7">
        <v>2007</v>
      </c>
      <c r="L45" s="7">
        <v>2008</v>
      </c>
      <c r="M45" s="7">
        <v>2009</v>
      </c>
      <c r="N45" s="7">
        <v>2010</v>
      </c>
      <c r="O45" s="7">
        <v>2011</v>
      </c>
      <c r="P45" s="7">
        <v>2012</v>
      </c>
      <c r="Q45" s="7">
        <v>2013</v>
      </c>
      <c r="R45" s="7">
        <v>2014</v>
      </c>
      <c r="S45" s="7">
        <v>2015</v>
      </c>
      <c r="T45" s="7">
        <v>2016</v>
      </c>
      <c r="U45" s="7">
        <v>2017</v>
      </c>
      <c r="V45" s="7">
        <v>2018</v>
      </c>
      <c r="W45" s="7">
        <v>2019</v>
      </c>
      <c r="X45" s="7">
        <v>2020</v>
      </c>
      <c r="Y45" s="7">
        <v>2021</v>
      </c>
      <c r="Z45" s="7">
        <v>2022</v>
      </c>
      <c r="AA45" s="28"/>
      <c r="AB45" s="28"/>
      <c r="AC45" s="28"/>
      <c r="AD45" s="28"/>
      <c r="AE45" s="28"/>
      <c r="AF45" s="28"/>
      <c r="AG45" s="28"/>
      <c r="AH45" s="28"/>
      <c r="AI45" s="28"/>
      <c r="AJ45" s="28"/>
      <c r="AK45" s="28"/>
      <c r="AL45" s="28"/>
      <c r="AM45" s="28"/>
      <c r="AN45" s="28"/>
      <c r="AO45" s="28"/>
      <c r="AP45" s="28"/>
      <c r="AQ45" s="28"/>
      <c r="AR45" s="28"/>
      <c r="AS45" s="28"/>
      <c r="AT45" s="28"/>
      <c r="AU45" s="28"/>
      <c r="AV45" s="28"/>
      <c r="AW45" s="28"/>
      <c r="AX45" s="28"/>
      <c r="AY45" s="28"/>
      <c r="AZ45" s="28"/>
      <c r="BA45" s="28"/>
      <c r="BB45" s="28"/>
      <c r="BC45" s="28"/>
      <c r="BD45" s="28"/>
      <c r="BE45" s="28"/>
      <c r="BF45" s="28"/>
      <c r="BG45" s="28"/>
      <c r="BH45" s="28"/>
      <c r="BI45" s="28"/>
      <c r="BJ45" s="28"/>
      <c r="BK45" s="28"/>
      <c r="BL45" s="28"/>
      <c r="BM45" s="28"/>
      <c r="BN45" s="28"/>
      <c r="BO45" s="28"/>
      <c r="BP45" s="28"/>
      <c r="BQ45" s="28"/>
      <c r="BR45" s="28"/>
      <c r="BS45" s="28"/>
      <c r="BT45" s="28"/>
      <c r="BU45" s="28"/>
      <c r="BV45" s="28"/>
      <c r="BW45" s="28"/>
      <c r="BX45" s="28"/>
      <c r="BY45" s="28"/>
      <c r="BZ45" s="28"/>
      <c r="CA45" s="28"/>
      <c r="CB45" s="28"/>
      <c r="CC45" s="28"/>
      <c r="CD45" s="28"/>
      <c r="CE45" s="28"/>
    </row>
    <row r="46" spans="1:83" s="6" customFormat="1" ht="12.95" customHeight="1" x14ac:dyDescent="0.2">
      <c r="A46" s="65"/>
      <c r="B46" s="401"/>
      <c r="C46" s="401"/>
      <c r="E46" s="28"/>
      <c r="F46" s="28"/>
      <c r="G46" s="34"/>
      <c r="I46" s="73"/>
      <c r="J46" s="73"/>
      <c r="K46" s="73"/>
      <c r="L46" s="73"/>
      <c r="M46" s="73"/>
      <c r="N46" s="73"/>
      <c r="O46" s="73"/>
      <c r="P46" s="73"/>
      <c r="Q46" s="73"/>
      <c r="R46" s="73"/>
      <c r="S46" s="73"/>
      <c r="T46" s="75"/>
      <c r="U46" s="75"/>
      <c r="V46" s="75"/>
      <c r="W46" s="75"/>
      <c r="X46" s="75"/>
      <c r="Y46" s="75"/>
      <c r="Z46" s="75"/>
      <c r="AA46" s="73"/>
      <c r="AB46" s="73"/>
      <c r="AC46" s="73"/>
      <c r="AD46" s="73"/>
      <c r="AE46" s="73"/>
      <c r="AF46" s="73"/>
      <c r="AG46" s="73"/>
      <c r="AH46" s="73"/>
      <c r="AI46" s="73"/>
      <c r="AJ46" s="73"/>
      <c r="AK46" s="73"/>
      <c r="AL46" s="73"/>
      <c r="AM46" s="73"/>
      <c r="AN46" s="73"/>
      <c r="AO46" s="73"/>
      <c r="AP46" s="73"/>
      <c r="AQ46" s="73"/>
      <c r="AR46" s="73"/>
      <c r="AS46" s="73"/>
      <c r="AT46" s="73"/>
      <c r="AU46" s="73"/>
      <c r="AV46" s="73"/>
      <c r="AW46" s="73"/>
      <c r="AX46" s="73"/>
      <c r="AY46" s="73"/>
      <c r="AZ46" s="73"/>
      <c r="BA46" s="73"/>
      <c r="BB46" s="73"/>
      <c r="BC46" s="73"/>
      <c r="BD46" s="73"/>
      <c r="BE46" s="73"/>
      <c r="BF46" s="73"/>
      <c r="BG46" s="73"/>
      <c r="BH46" s="73"/>
      <c r="BI46" s="73"/>
      <c r="BJ46" s="73"/>
      <c r="BK46" s="73"/>
      <c r="BL46" s="73"/>
      <c r="BM46" s="73"/>
      <c r="BN46" s="73"/>
      <c r="BO46" s="73"/>
      <c r="BP46" s="73"/>
      <c r="BQ46" s="73"/>
      <c r="BR46" s="73"/>
      <c r="BS46" s="73"/>
      <c r="BT46" s="73"/>
      <c r="BU46" s="73"/>
      <c r="BV46" s="73"/>
      <c r="BW46" s="73"/>
      <c r="BX46" s="73"/>
      <c r="BY46" s="73"/>
      <c r="BZ46" s="73"/>
      <c r="CA46" s="73"/>
      <c r="CB46" s="73"/>
      <c r="CC46" s="73"/>
      <c r="CD46" s="73"/>
      <c r="CE46" s="73"/>
    </row>
    <row r="47" spans="1:83" ht="12.95" customHeight="1" x14ac:dyDescent="0.2">
      <c r="B47" s="2"/>
      <c r="E47" s="28"/>
      <c r="F47" s="28"/>
      <c r="G47" s="33"/>
      <c r="H47" s="1"/>
      <c r="N47" s="9"/>
      <c r="T47" s="11"/>
      <c r="U47" s="11"/>
      <c r="V47" s="11"/>
      <c r="W47" s="11"/>
      <c r="X47" s="11"/>
      <c r="Y47" s="11"/>
      <c r="Z47" s="11"/>
    </row>
    <row r="48" spans="1:83" ht="12.95" customHeight="1" x14ac:dyDescent="0.2">
      <c r="B48" s="2" t="str">
        <f>VLOOKUP(37,Textbausteine_Menu[],Hilfsgrössen!$D$2,FALSE)</f>
        <v>Groupe Suisse</v>
      </c>
      <c r="C48" s="2"/>
      <c r="E48" s="10"/>
      <c r="G48" s="33"/>
      <c r="N48" s="9"/>
      <c r="T48" s="11"/>
      <c r="U48" s="11"/>
      <c r="V48" s="11"/>
      <c r="W48" s="11"/>
      <c r="X48" s="11"/>
      <c r="Y48" s="11"/>
      <c r="Z48" s="11"/>
    </row>
    <row r="49" spans="1:83" s="9" customFormat="1" ht="12.95" customHeight="1" x14ac:dyDescent="0.2">
      <c r="A49" s="66"/>
      <c r="B49" s="1"/>
      <c r="C49" s="1" t="str">
        <f>VLOOKUP(61,Textbausteine_404_[],Hilfsgrössen!$D$2,FALSE)</f>
        <v>Relève</v>
      </c>
      <c r="D49" s="102" t="str">
        <f>VLOOKUP(11,Textbausteine_404_[],Hilfsgrössen!$D$2,FALSE)</f>
        <v>Personnes</v>
      </c>
      <c r="E49" s="9" t="s">
        <v>72</v>
      </c>
      <c r="F49" s="9" t="s">
        <v>145</v>
      </c>
      <c r="H49" s="15">
        <v>50</v>
      </c>
      <c r="I49" s="15">
        <v>53</v>
      </c>
      <c r="J49" s="15">
        <v>62</v>
      </c>
      <c r="K49" s="15">
        <v>63</v>
      </c>
      <c r="L49" s="15">
        <v>89</v>
      </c>
      <c r="M49" s="15">
        <v>105</v>
      </c>
      <c r="N49" s="15">
        <v>101</v>
      </c>
      <c r="O49" s="12">
        <v>98</v>
      </c>
      <c r="P49" s="15">
        <v>82</v>
      </c>
      <c r="Q49" s="15">
        <v>89</v>
      </c>
      <c r="R49" s="15">
        <v>93</v>
      </c>
      <c r="S49" s="15">
        <v>87</v>
      </c>
      <c r="T49" s="15">
        <v>92</v>
      </c>
      <c r="U49" s="15">
        <v>69</v>
      </c>
      <c r="V49" s="15">
        <v>71</v>
      </c>
      <c r="W49" s="15">
        <v>72</v>
      </c>
      <c r="X49" s="15">
        <v>73.250000000000028</v>
      </c>
      <c r="Y49" s="15">
        <v>66.9166666666667</v>
      </c>
      <c r="Z49" s="15">
        <v>68</v>
      </c>
    </row>
    <row r="50" spans="1:83" s="9" customFormat="1" ht="12.95" customHeight="1" x14ac:dyDescent="0.2">
      <c r="A50" s="66"/>
      <c r="B50" s="1"/>
      <c r="C50" s="13" t="str">
        <f>VLOOKUP(62,Textbausteine_404_[],Hilfsgrössen!$D$2,FALSE)</f>
        <v>Programme Trainee</v>
      </c>
      <c r="D50" s="102" t="str">
        <f>VLOOKUP(11,Textbausteine_404_[],Hilfsgrössen!$D$2,FALSE)</f>
        <v>Personnes</v>
      </c>
      <c r="E50" s="9" t="s">
        <v>72</v>
      </c>
      <c r="F50" s="9" t="s">
        <v>145</v>
      </c>
      <c r="H50" s="15">
        <v>20</v>
      </c>
      <c r="I50" s="15">
        <v>18</v>
      </c>
      <c r="J50" s="15">
        <v>22</v>
      </c>
      <c r="K50" s="15">
        <v>19</v>
      </c>
      <c r="L50" s="15">
        <v>23</v>
      </c>
      <c r="M50" s="12">
        <v>40</v>
      </c>
      <c r="N50" s="12">
        <v>46</v>
      </c>
      <c r="O50" s="12">
        <v>53</v>
      </c>
      <c r="P50" s="15">
        <v>68</v>
      </c>
      <c r="Q50" s="15">
        <v>71</v>
      </c>
      <c r="R50" s="15">
        <v>74</v>
      </c>
      <c r="S50" s="15">
        <v>71</v>
      </c>
      <c r="T50" s="15">
        <v>59</v>
      </c>
      <c r="U50" s="15">
        <v>32</v>
      </c>
      <c r="V50" s="15">
        <v>30</v>
      </c>
      <c r="W50" s="15">
        <v>31</v>
      </c>
      <c r="X50" s="15">
        <v>34.3333333333334</v>
      </c>
      <c r="Y50" s="15">
        <v>32</v>
      </c>
      <c r="Z50" s="15">
        <v>32</v>
      </c>
    </row>
    <row r="51" spans="1:83" s="9" customFormat="1" ht="12.95" customHeight="1" x14ac:dyDescent="0.25">
      <c r="A51" s="66"/>
      <c r="B51" s="266"/>
      <c r="C51" s="13" t="str">
        <f>VLOOKUP(63,Textbausteine_404_[],Hilfsgrössen!$D$2,FALSE)</f>
        <v>Stagiaires</v>
      </c>
      <c r="D51" s="102" t="str">
        <f>VLOOKUP(11,Textbausteine_404_[],Hilfsgrössen!$D$2,FALSE)</f>
        <v>Personnes</v>
      </c>
      <c r="E51" s="9" t="s">
        <v>72</v>
      </c>
      <c r="F51" s="9" t="s">
        <v>145</v>
      </c>
      <c r="H51" s="15">
        <v>30</v>
      </c>
      <c r="I51" s="15">
        <v>35</v>
      </c>
      <c r="J51" s="15">
        <v>40</v>
      </c>
      <c r="K51" s="15">
        <v>44</v>
      </c>
      <c r="L51" s="15">
        <v>66</v>
      </c>
      <c r="M51" s="12">
        <v>65</v>
      </c>
      <c r="N51" s="12">
        <v>55</v>
      </c>
      <c r="O51" s="12">
        <v>45</v>
      </c>
      <c r="P51" s="15">
        <v>14</v>
      </c>
      <c r="Q51" s="15">
        <v>18</v>
      </c>
      <c r="R51" s="15">
        <v>19</v>
      </c>
      <c r="S51" s="15">
        <v>16</v>
      </c>
      <c r="T51" s="15">
        <v>33</v>
      </c>
      <c r="U51" s="15">
        <v>37</v>
      </c>
      <c r="V51" s="15">
        <v>41</v>
      </c>
      <c r="W51" s="15">
        <v>41</v>
      </c>
      <c r="X51" s="15">
        <v>38.249999999999901</v>
      </c>
      <c r="Y51" s="15">
        <v>34.583333333333329</v>
      </c>
      <c r="Z51" s="15">
        <v>36</v>
      </c>
    </row>
    <row r="52" spans="1:83" s="9" customFormat="1" ht="12.95" customHeight="1" x14ac:dyDescent="0.2">
      <c r="A52" s="66"/>
      <c r="B52" s="1"/>
      <c r="C52" s="13"/>
      <c r="D52" s="1"/>
      <c r="G52" s="34"/>
    </row>
    <row r="53" spans="1:83" s="367" customFormat="1" ht="12.95" customHeight="1" x14ac:dyDescent="0.2">
      <c r="A53" s="66"/>
      <c r="B53" s="382" t="str">
        <f>VLOOKUP(141,Textbausteine_404_[],Hilfsgrössen!$D$2,FALSE)</f>
        <v>1) Groupe Suisse: données du systèmes du personnel, actuellement sans données sur 1402 unités du personnel ou 5582 personnes des sociétés du groupe B-Sped Logistics (Suisse) SA, Epsilon SA, Direct Mail Company AG, PubliBike SA, Destinas AG, KLARA Business SA, Relatra AG, BPS Speditions-Service AG, Arlesheim, BPS Speditions-Service AG, Pfungen, Walli-Trans AG, ASMIQ AG, notime AG, notime (Suisse) SA, Dialog Verwaltungs-Data AG, SwissSign SA, Tresorit AG, Bring! Labs AG, Livesystems Group SA, Livesystems SA, Livesystems dooh SA, Iemoli Trasporti SA, InTraLog Hermes AG, InTraLog Overseas AG, Otto Schmidt SA, Steriplus AG, Stericenter SA, Mediwar AG, Marcel Blanc et Cie SA, Unblu Inc., Groupe T2i Suisse SA, Hacknowledge SA, Stella Brandenberger Transporte AG, axsana AG, eoscop AG, H. Bucher Internationale Transporte AG, adiacom AG, Kickbag GmbH</v>
      </c>
      <c r="C53" s="385"/>
      <c r="D53" s="385"/>
      <c r="E53" s="385"/>
      <c r="F53" s="386"/>
      <c r="G53" s="385"/>
      <c r="H53" s="385"/>
      <c r="I53" s="385"/>
      <c r="J53" s="385"/>
      <c r="K53" s="385"/>
      <c r="L53" s="385"/>
      <c r="M53" s="385"/>
      <c r="N53" s="385"/>
      <c r="O53" s="385"/>
      <c r="P53" s="385"/>
      <c r="Q53" s="385"/>
      <c r="R53" s="385"/>
    </row>
    <row r="54" spans="1:83" s="9" customFormat="1" ht="12.95" customHeight="1" x14ac:dyDescent="0.2">
      <c r="A54" s="66"/>
      <c r="B54" s="19" t="str">
        <f>VLOOKUP(142,Textbausteine_404_[],Hilfsgrössen!$D$2,FALSE)</f>
        <v>2) Valeurs annuelles moyennes</v>
      </c>
      <c r="C54" s="135"/>
      <c r="D54" s="135"/>
      <c r="E54" s="135"/>
      <c r="F54" s="166"/>
      <c r="G54" s="135"/>
      <c r="H54" s="135"/>
      <c r="I54" s="135"/>
      <c r="J54" s="135"/>
      <c r="K54" s="135"/>
      <c r="L54" s="135"/>
      <c r="M54" s="135"/>
      <c r="N54" s="135"/>
      <c r="O54" s="135"/>
      <c r="P54" s="135"/>
      <c r="Q54" s="135"/>
      <c r="R54" s="135"/>
    </row>
    <row r="55" spans="1:83" s="9" customFormat="1" ht="12.95" customHeight="1" x14ac:dyDescent="0.2">
      <c r="A55" s="66"/>
      <c r="B55" s="135"/>
      <c r="C55" s="135"/>
      <c r="D55" s="135"/>
      <c r="E55" s="135"/>
      <c r="F55" s="166"/>
      <c r="G55" s="135"/>
      <c r="H55" s="135"/>
      <c r="I55" s="135"/>
      <c r="J55" s="135"/>
      <c r="K55" s="135"/>
      <c r="L55" s="135"/>
      <c r="M55" s="135"/>
      <c r="N55" s="135"/>
      <c r="O55" s="135"/>
      <c r="P55" s="135"/>
      <c r="Q55" s="135"/>
      <c r="R55" s="135"/>
    </row>
    <row r="56" spans="1:83" s="9" customFormat="1" ht="12.95" customHeight="1" x14ac:dyDescent="0.2">
      <c r="A56" s="66"/>
      <c r="B56" s="135"/>
      <c r="C56" s="135"/>
      <c r="D56" s="135"/>
      <c r="E56" s="135"/>
      <c r="F56" s="166"/>
      <c r="G56" s="135"/>
      <c r="H56" s="135"/>
      <c r="I56" s="135"/>
      <c r="J56" s="135"/>
      <c r="K56" s="135"/>
      <c r="L56" s="135"/>
      <c r="M56" s="135"/>
      <c r="N56" s="135"/>
      <c r="O56" s="135"/>
      <c r="P56" s="135"/>
      <c r="Q56" s="135"/>
      <c r="R56" s="135"/>
    </row>
    <row r="57" spans="1:83" s="6" customFormat="1" ht="12.95" customHeight="1" x14ac:dyDescent="0.2">
      <c r="A57" s="39" t="s">
        <v>27</v>
      </c>
      <c r="B57" s="401" t="str">
        <f>$C$9</f>
        <v>Centre de carrière</v>
      </c>
      <c r="C57" s="401"/>
      <c r="D57" s="6" t="str">
        <f>VLOOKUP(32,Textbausteine_Menu[],Hilfsgrössen!$D$2,FALSE)</f>
        <v>Unité</v>
      </c>
      <c r="E57" s="28" t="str">
        <f>VLOOKUP(33,Textbausteine_Menu[],Hilfsgrössen!$D$2,FALSE)</f>
        <v>Notes</v>
      </c>
      <c r="F57" s="28" t="str">
        <f>VLOOKUP(34,Textbausteine_Menu[],Hilfsgrössen!$D$2,FALSE)</f>
        <v>GRI</v>
      </c>
      <c r="G57" s="34"/>
      <c r="H57" s="6">
        <v>2004</v>
      </c>
      <c r="I57" s="7">
        <v>2005</v>
      </c>
      <c r="J57" s="7">
        <v>2006</v>
      </c>
      <c r="K57" s="7">
        <v>2007</v>
      </c>
      <c r="L57" s="7">
        <v>2008</v>
      </c>
      <c r="M57" s="7">
        <v>2009</v>
      </c>
      <c r="N57" s="7">
        <v>2010</v>
      </c>
      <c r="O57" s="7">
        <v>2011</v>
      </c>
      <c r="P57" s="7">
        <v>2012</v>
      </c>
      <c r="Q57" s="7">
        <v>2013</v>
      </c>
      <c r="R57" s="7">
        <v>2014</v>
      </c>
      <c r="S57" s="7">
        <v>2015</v>
      </c>
      <c r="T57" s="7">
        <v>2016</v>
      </c>
      <c r="U57" s="7">
        <v>2017</v>
      </c>
      <c r="V57" s="7">
        <v>2018</v>
      </c>
      <c r="W57" s="7">
        <v>2019</v>
      </c>
      <c r="X57" s="7">
        <v>2020</v>
      </c>
      <c r="Y57" s="7">
        <v>2021</v>
      </c>
      <c r="Z57" s="7">
        <v>2022</v>
      </c>
      <c r="AA57" s="28"/>
      <c r="AB57" s="28"/>
      <c r="AC57" s="28"/>
      <c r="AD57" s="28"/>
      <c r="AE57" s="28"/>
      <c r="AF57" s="28"/>
      <c r="AG57" s="28"/>
      <c r="AH57" s="28"/>
      <c r="AI57" s="28"/>
      <c r="AJ57" s="28"/>
      <c r="AK57" s="28"/>
      <c r="AL57" s="28"/>
      <c r="AM57" s="28"/>
      <c r="AN57" s="28"/>
      <c r="AO57" s="28"/>
      <c r="AP57" s="28"/>
      <c r="AQ57" s="28"/>
      <c r="AR57" s="28"/>
      <c r="AS57" s="28"/>
      <c r="AT57" s="28"/>
      <c r="AU57" s="28"/>
      <c r="AV57" s="28"/>
      <c r="AW57" s="28"/>
      <c r="AX57" s="28"/>
      <c r="AY57" s="28"/>
      <c r="AZ57" s="28"/>
      <c r="BA57" s="28"/>
      <c r="BB57" s="28"/>
      <c r="BC57" s="28"/>
      <c r="BD57" s="28"/>
      <c r="BE57" s="28"/>
      <c r="BF57" s="28"/>
      <c r="BG57" s="28"/>
      <c r="BH57" s="28"/>
      <c r="BI57" s="28"/>
      <c r="BJ57" s="28"/>
      <c r="BK57" s="28"/>
      <c r="BL57" s="28"/>
      <c r="BM57" s="28"/>
      <c r="BN57" s="28"/>
      <c r="BO57" s="28"/>
      <c r="BP57" s="28"/>
      <c r="BQ57" s="28"/>
      <c r="BR57" s="28"/>
      <c r="BS57" s="28"/>
      <c r="BT57" s="28"/>
      <c r="BU57" s="28"/>
      <c r="BV57" s="28"/>
      <c r="BW57" s="28"/>
      <c r="BX57" s="28"/>
      <c r="BY57" s="28"/>
      <c r="BZ57" s="28"/>
      <c r="CA57" s="28"/>
      <c r="CB57" s="28"/>
      <c r="CC57" s="28"/>
      <c r="CD57" s="28"/>
      <c r="CE57" s="28"/>
    </row>
    <row r="58" spans="1:83" s="6" customFormat="1" ht="12.95" customHeight="1" x14ac:dyDescent="0.2">
      <c r="A58" s="65"/>
      <c r="B58" s="401"/>
      <c r="C58" s="401"/>
      <c r="E58" s="28"/>
      <c r="F58" s="28"/>
      <c r="G58" s="34"/>
      <c r="I58" s="73"/>
      <c r="J58" s="73"/>
      <c r="K58" s="73"/>
      <c r="L58" s="73"/>
      <c r="M58" s="73"/>
      <c r="N58" s="73"/>
      <c r="O58" s="73"/>
      <c r="P58" s="73"/>
      <c r="Q58" s="73"/>
      <c r="R58" s="73"/>
      <c r="S58" s="73"/>
      <c r="T58" s="75"/>
      <c r="U58" s="75"/>
      <c r="V58" s="75"/>
      <c r="W58" s="75"/>
      <c r="X58" s="75"/>
      <c r="Y58" s="75"/>
      <c r="Z58" s="75"/>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row>
    <row r="59" spans="1:83" ht="12.95" customHeight="1" x14ac:dyDescent="0.2">
      <c r="B59" s="2"/>
      <c r="E59" s="28"/>
      <c r="F59" s="28"/>
      <c r="G59" s="33"/>
      <c r="H59" s="1"/>
      <c r="N59" s="9"/>
      <c r="T59" s="11"/>
      <c r="U59" s="11"/>
      <c r="V59" s="11"/>
      <c r="W59" s="11"/>
      <c r="X59" s="11"/>
      <c r="Y59" s="11"/>
      <c r="Z59" s="11"/>
    </row>
    <row r="60" spans="1:83" ht="12.95" customHeight="1" x14ac:dyDescent="0.2">
      <c r="B60" s="2" t="str">
        <f>VLOOKUP(37,Textbausteine_Menu[],Hilfsgrössen!$D$2,FALSE)</f>
        <v>Groupe Suisse</v>
      </c>
      <c r="C60" s="2"/>
      <c r="E60" s="10"/>
      <c r="G60" s="33"/>
      <c r="N60" s="9"/>
      <c r="T60" s="11"/>
      <c r="U60" s="11"/>
      <c r="V60" s="11"/>
      <c r="W60" s="11"/>
      <c r="X60" s="11"/>
      <c r="Y60" s="11"/>
      <c r="Z60" s="11"/>
    </row>
    <row r="61" spans="1:83" s="9" customFormat="1" ht="12.95" customHeight="1" x14ac:dyDescent="0.2">
      <c r="A61" s="66"/>
      <c r="B61" s="1"/>
      <c r="C61" s="1" t="str">
        <f>VLOOKUP(81,Textbausteine_404_[],Hilfsgrössen!$D$2,FALSE)</f>
        <v>Conseils individuels par le Centre de carrière</v>
      </c>
      <c r="D61" s="102" t="str">
        <f>VLOOKUP(14,Textbausteine_404_[],Hilfsgrössen!$D$2,FALSE)</f>
        <v>Nombre</v>
      </c>
      <c r="F61" s="9" t="s">
        <v>145</v>
      </c>
      <c r="H61" s="9">
        <v>1475</v>
      </c>
      <c r="I61" s="9">
        <v>1337</v>
      </c>
      <c r="J61" s="9">
        <v>1362</v>
      </c>
      <c r="K61" s="9">
        <v>1436</v>
      </c>
      <c r="L61" s="9">
        <v>716</v>
      </c>
      <c r="M61" s="9">
        <v>582</v>
      </c>
      <c r="N61" s="9">
        <v>562</v>
      </c>
      <c r="O61" s="11">
        <v>590</v>
      </c>
      <c r="P61" s="9">
        <v>687</v>
      </c>
      <c r="Q61" s="9">
        <v>772</v>
      </c>
      <c r="R61" s="9">
        <v>822</v>
      </c>
      <c r="S61" s="9">
        <v>751</v>
      </c>
      <c r="T61" s="9">
        <v>825</v>
      </c>
      <c r="U61" s="9">
        <v>1161</v>
      </c>
      <c r="V61" s="9">
        <v>1143</v>
      </c>
      <c r="W61" s="9">
        <v>1262</v>
      </c>
      <c r="X61" s="9">
        <v>1181</v>
      </c>
      <c r="Y61" s="9">
        <v>1186</v>
      </c>
      <c r="Z61" s="9">
        <v>1226</v>
      </c>
    </row>
    <row r="62" spans="1:83" s="9" customFormat="1" ht="12.95" customHeight="1" x14ac:dyDescent="0.2">
      <c r="A62" s="66"/>
      <c r="B62" s="1"/>
      <c r="C62" s="8" t="str">
        <f>VLOOKUP(82,Textbausteine_404_[],Hilfsgrössen!$D$2,FALSE)</f>
        <v>Séminaires du Centre de carrière</v>
      </c>
      <c r="D62" s="102" t="str">
        <f>VLOOKUP(14,Textbausteine_404_[],Hilfsgrössen!$D$2,FALSE)</f>
        <v>Nombre</v>
      </c>
      <c r="F62" s="9" t="s">
        <v>145</v>
      </c>
      <c r="H62" s="15">
        <v>177</v>
      </c>
      <c r="I62" s="15">
        <v>126</v>
      </c>
      <c r="J62" s="15">
        <v>99</v>
      </c>
      <c r="K62" s="15">
        <v>102</v>
      </c>
      <c r="L62" s="15">
        <v>46</v>
      </c>
      <c r="M62" s="12">
        <v>54</v>
      </c>
      <c r="N62" s="12">
        <v>83</v>
      </c>
      <c r="O62" s="12">
        <v>50</v>
      </c>
      <c r="P62" s="15">
        <v>70</v>
      </c>
      <c r="Q62" s="15">
        <v>74</v>
      </c>
      <c r="R62" s="15">
        <v>71</v>
      </c>
      <c r="S62" s="15">
        <v>71</v>
      </c>
      <c r="T62" s="15">
        <v>70</v>
      </c>
      <c r="U62" s="15">
        <v>69</v>
      </c>
      <c r="V62" s="15">
        <v>39</v>
      </c>
      <c r="W62" s="15">
        <v>64</v>
      </c>
      <c r="X62" s="15">
        <v>50</v>
      </c>
      <c r="Y62" s="15">
        <v>82</v>
      </c>
      <c r="Z62" s="15">
        <v>89</v>
      </c>
    </row>
    <row r="63" spans="1:83" s="9" customFormat="1" ht="12.95" customHeight="1" x14ac:dyDescent="0.25">
      <c r="A63" s="66"/>
      <c r="B63" s="266"/>
      <c r="C63" s="8" t="str">
        <f>VLOOKUP(83,Textbausteine_404_[],Hilfsgrössen!$D$2,FALSE)</f>
        <v>Séminaires du Centre de carrière</v>
      </c>
      <c r="D63" s="102" t="str">
        <f>VLOOKUP(15,Textbausteine_404_[],Hilfsgrössen!$D$2,FALSE)</f>
        <v>Participants</v>
      </c>
      <c r="F63" s="9" t="s">
        <v>145</v>
      </c>
      <c r="H63" s="9">
        <v>2388</v>
      </c>
      <c r="I63" s="9">
        <v>1762</v>
      </c>
      <c r="J63" s="9">
        <v>1497</v>
      </c>
      <c r="K63" s="9">
        <v>1309</v>
      </c>
      <c r="L63" s="9">
        <v>792</v>
      </c>
      <c r="M63" s="11">
        <v>834</v>
      </c>
      <c r="N63" s="11">
        <v>1393</v>
      </c>
      <c r="O63" s="11">
        <v>870</v>
      </c>
      <c r="P63" s="9">
        <v>1230</v>
      </c>
      <c r="Q63" s="9">
        <v>1188</v>
      </c>
      <c r="R63" s="9">
        <v>1173</v>
      </c>
      <c r="S63" s="9">
        <v>1208</v>
      </c>
      <c r="T63" s="9">
        <v>1248</v>
      </c>
      <c r="U63" s="9">
        <v>1208</v>
      </c>
      <c r="V63" s="9">
        <v>585</v>
      </c>
      <c r="W63" s="9">
        <v>543</v>
      </c>
      <c r="X63" s="9">
        <v>300</v>
      </c>
      <c r="Y63" s="9">
        <v>473</v>
      </c>
      <c r="Z63" s="9">
        <v>506</v>
      </c>
    </row>
    <row r="64" spans="1:83" s="9" customFormat="1" ht="12.95" customHeight="1" x14ac:dyDescent="0.25">
      <c r="A64" s="66"/>
      <c r="B64" s="266"/>
      <c r="C64" s="13"/>
      <c r="D64" s="1"/>
      <c r="M64" s="11"/>
      <c r="N64" s="11"/>
      <c r="O64" s="11"/>
    </row>
    <row r="65" spans="1:7" s="9" customFormat="1" ht="12.95" customHeight="1" x14ac:dyDescent="0.25">
      <c r="A65" s="66"/>
      <c r="B65" s="266"/>
      <c r="C65" s="1"/>
      <c r="D65" s="1"/>
      <c r="F65" s="11"/>
      <c r="G65" s="34"/>
    </row>
    <row r="66" spans="1:7" s="9" customFormat="1" ht="12.95" customHeight="1" x14ac:dyDescent="0.25">
      <c r="A66" s="66"/>
      <c r="B66" s="266"/>
      <c r="C66" s="1"/>
      <c r="D66" s="1"/>
      <c r="G66" s="267"/>
    </row>
    <row r="67" spans="1:7" s="9" customFormat="1" ht="12.95" customHeight="1" x14ac:dyDescent="0.25">
      <c r="A67" s="66"/>
      <c r="B67" s="266"/>
      <c r="C67" s="1"/>
      <c r="D67" s="1"/>
      <c r="G67" s="34"/>
    </row>
    <row r="68" spans="1:7" s="9" customFormat="1" ht="12.95" customHeight="1" x14ac:dyDescent="0.25">
      <c r="A68" s="66"/>
      <c r="B68" s="266"/>
      <c r="C68" s="1"/>
      <c r="D68" s="1"/>
      <c r="G68" s="34"/>
    </row>
    <row r="69" spans="1:7" s="9" customFormat="1" ht="12.95" customHeight="1" x14ac:dyDescent="0.2">
      <c r="A69" s="66"/>
      <c r="B69" s="1"/>
      <c r="C69" s="1"/>
      <c r="D69" s="1"/>
      <c r="G69" s="34"/>
    </row>
    <row r="70" spans="1:7" s="9" customFormat="1" ht="12.95" customHeight="1" x14ac:dyDescent="0.2">
      <c r="A70" s="66"/>
      <c r="B70" s="1"/>
      <c r="C70" s="1"/>
      <c r="D70" s="1"/>
      <c r="G70" s="34"/>
    </row>
    <row r="71" spans="1:7" s="9" customFormat="1" ht="12.95" customHeight="1" x14ac:dyDescent="0.2">
      <c r="A71" s="66"/>
      <c r="B71" s="1"/>
      <c r="C71" s="1"/>
      <c r="D71" s="1"/>
      <c r="G71" s="34"/>
    </row>
    <row r="72" spans="1:7" s="9" customFormat="1" ht="12.95" customHeight="1" x14ac:dyDescent="0.2">
      <c r="A72" s="66"/>
      <c r="B72" s="1"/>
      <c r="C72" s="1"/>
      <c r="D72" s="1"/>
      <c r="G72" s="34"/>
    </row>
    <row r="73" spans="1:7" s="9" customFormat="1" ht="12.95" customHeight="1" x14ac:dyDescent="0.2">
      <c r="A73" s="66"/>
      <c r="B73" s="1"/>
      <c r="C73" s="1"/>
      <c r="D73" s="1"/>
      <c r="G73" s="34"/>
    </row>
    <row r="74" spans="1:7" s="9" customFormat="1" ht="12.95" customHeight="1" x14ac:dyDescent="0.2">
      <c r="A74" s="66"/>
      <c r="B74" s="1"/>
      <c r="C74" s="1"/>
      <c r="D74" s="1"/>
      <c r="G74" s="34"/>
    </row>
    <row r="75" spans="1:7" s="9" customFormat="1" ht="12.95" customHeight="1" x14ac:dyDescent="0.2">
      <c r="A75" s="66"/>
      <c r="B75" s="1"/>
      <c r="C75" s="1"/>
      <c r="D75" s="1"/>
      <c r="E75" s="11"/>
      <c r="G75" s="34"/>
    </row>
    <row r="76" spans="1:7" s="9" customFormat="1" ht="12.95" customHeight="1" x14ac:dyDescent="0.2">
      <c r="A76" s="66"/>
      <c r="B76" s="1"/>
      <c r="C76" s="1"/>
      <c r="D76" s="1"/>
      <c r="E76" s="11"/>
      <c r="G76" s="34"/>
    </row>
    <row r="77" spans="1:7" s="9" customFormat="1" ht="12.95" customHeight="1" x14ac:dyDescent="0.2">
      <c r="A77" s="66"/>
      <c r="B77" s="1"/>
      <c r="C77" s="1"/>
      <c r="D77" s="1"/>
      <c r="E77" s="11"/>
      <c r="G77" s="34"/>
    </row>
    <row r="78" spans="1:7" s="9" customFormat="1" ht="12.95" customHeight="1" x14ac:dyDescent="0.2">
      <c r="A78" s="66"/>
      <c r="B78" s="1"/>
      <c r="C78" s="1"/>
      <c r="D78" s="1"/>
      <c r="G78" s="34"/>
    </row>
    <row r="79" spans="1:7" s="9" customFormat="1" ht="12.95" customHeight="1" x14ac:dyDescent="0.2">
      <c r="A79" s="66"/>
      <c r="B79" s="1"/>
      <c r="C79" s="1"/>
      <c r="D79" s="1"/>
      <c r="G79" s="34"/>
    </row>
    <row r="80" spans="1:7" s="9" customFormat="1" ht="12.95" customHeight="1" x14ac:dyDescent="0.2">
      <c r="A80" s="66"/>
      <c r="B80" s="1"/>
      <c r="C80" s="1"/>
      <c r="D80" s="1"/>
      <c r="E80" s="29"/>
      <c r="F80" s="29"/>
      <c r="G80" s="34"/>
    </row>
    <row r="81" spans="1:14" s="9" customFormat="1" ht="12.95" customHeight="1" x14ac:dyDescent="0.2">
      <c r="A81" s="66"/>
      <c r="B81" s="1"/>
      <c r="C81" s="1"/>
      <c r="D81" s="1"/>
      <c r="E81" s="29"/>
      <c r="F81" s="29"/>
      <c r="G81" s="35"/>
    </row>
    <row r="82" spans="1:14" s="9" customFormat="1" ht="12.95" customHeight="1" x14ac:dyDescent="0.2">
      <c r="A82" s="66"/>
      <c r="B82" s="1"/>
      <c r="C82" s="1"/>
      <c r="D82" s="1"/>
      <c r="E82" s="29"/>
      <c r="F82" s="29"/>
      <c r="G82" s="35"/>
    </row>
    <row r="83" spans="1:14" s="9" customFormat="1" ht="12.95" customHeight="1" x14ac:dyDescent="0.2">
      <c r="A83" s="66"/>
      <c r="B83" s="1"/>
      <c r="C83" s="1"/>
      <c r="D83" s="1"/>
      <c r="E83" s="29"/>
      <c r="F83" s="29"/>
      <c r="G83" s="35"/>
      <c r="N83" s="11"/>
    </row>
    <row r="84" spans="1:14" s="9" customFormat="1" ht="12.95" customHeight="1" x14ac:dyDescent="0.2">
      <c r="A84" s="66"/>
      <c r="B84" s="1"/>
      <c r="C84" s="1"/>
      <c r="D84" s="1"/>
      <c r="E84" s="29"/>
      <c r="F84" s="29"/>
      <c r="G84" s="35"/>
      <c r="N84" s="11"/>
    </row>
    <row r="85" spans="1:14" s="9" customFormat="1" ht="12.95" customHeight="1" x14ac:dyDescent="0.25">
      <c r="A85" s="66"/>
      <c r="B85" s="1"/>
      <c r="C85" s="1"/>
      <c r="D85" s="1"/>
      <c r="E85" s="30"/>
      <c r="F85" s="30"/>
      <c r="G85" s="35"/>
      <c r="N85" s="11"/>
    </row>
    <row r="86" spans="1:14" s="9" customFormat="1" ht="12.95" customHeight="1" x14ac:dyDescent="0.25">
      <c r="A86" s="66"/>
      <c r="B86" s="1"/>
      <c r="C86" s="1"/>
      <c r="D86" s="1"/>
      <c r="G86" s="36"/>
      <c r="N86" s="11"/>
    </row>
    <row r="89" spans="1:14" s="9" customFormat="1" ht="12.95" customHeight="1" x14ac:dyDescent="0.2">
      <c r="A89" s="66"/>
      <c r="B89" s="1"/>
      <c r="C89" s="1"/>
      <c r="D89" s="1"/>
      <c r="E89" s="28"/>
      <c r="F89" s="28"/>
      <c r="G89" s="34"/>
      <c r="N89" s="11"/>
    </row>
    <row r="90" spans="1:14" s="9" customFormat="1" ht="12.95" customHeight="1" x14ac:dyDescent="0.2">
      <c r="A90" s="66"/>
      <c r="B90" s="1"/>
      <c r="C90" s="1"/>
      <c r="D90" s="1"/>
      <c r="E90" s="28"/>
      <c r="F90" s="28"/>
      <c r="G90" s="33"/>
      <c r="N90" s="11"/>
    </row>
    <row r="91" spans="1:14" s="9" customFormat="1" ht="12.95" customHeight="1" x14ac:dyDescent="0.2">
      <c r="A91" s="66"/>
      <c r="B91" s="1"/>
      <c r="C91" s="1"/>
      <c r="D91" s="1"/>
      <c r="E91" s="11"/>
      <c r="G91" s="33"/>
      <c r="N91" s="75"/>
    </row>
    <row r="92" spans="1:14" s="9" customFormat="1" ht="12.95" customHeight="1" x14ac:dyDescent="0.2">
      <c r="A92" s="66"/>
      <c r="B92" s="1"/>
      <c r="C92" s="1"/>
      <c r="D92" s="1"/>
      <c r="E92" s="28"/>
      <c r="F92" s="28"/>
      <c r="G92" s="34"/>
      <c r="N92" s="75"/>
    </row>
    <row r="93" spans="1:14" s="9" customFormat="1" ht="12.95" customHeight="1" x14ac:dyDescent="0.2">
      <c r="A93" s="66"/>
      <c r="B93" s="1"/>
      <c r="C93" s="1"/>
      <c r="D93" s="1"/>
      <c r="E93" s="11"/>
      <c r="G93" s="33"/>
      <c r="N93" s="11"/>
    </row>
    <row r="94" spans="1:14" s="9" customFormat="1" ht="12.95" customHeight="1" x14ac:dyDescent="0.2">
      <c r="A94" s="66"/>
      <c r="B94" s="1"/>
      <c r="C94" s="1"/>
      <c r="D94" s="1"/>
      <c r="E94" s="11"/>
      <c r="G94" s="34"/>
    </row>
    <row r="95" spans="1:14" s="9" customFormat="1" ht="12.95" customHeight="1" x14ac:dyDescent="0.2">
      <c r="A95" s="66"/>
      <c r="B95" s="1"/>
      <c r="C95" s="1"/>
      <c r="D95" s="1"/>
      <c r="E95" s="11"/>
      <c r="G95" s="34"/>
    </row>
    <row r="96" spans="1:14" s="9" customFormat="1" ht="12.95" customHeight="1" x14ac:dyDescent="0.2">
      <c r="A96" s="66"/>
      <c r="B96" s="1"/>
      <c r="C96" s="1"/>
      <c r="D96" s="1"/>
      <c r="E96" s="11"/>
      <c r="G96" s="34"/>
    </row>
    <row r="97" spans="1:14" s="9" customFormat="1" ht="12.95" customHeight="1" x14ac:dyDescent="0.2">
      <c r="A97" s="66"/>
      <c r="B97" s="1"/>
      <c r="C97" s="1"/>
      <c r="D97" s="1"/>
      <c r="E97" s="31"/>
      <c r="F97" s="31"/>
      <c r="G97" s="34"/>
    </row>
    <row r="98" spans="1:14" s="9" customFormat="1" ht="12.95" customHeight="1" x14ac:dyDescent="0.2">
      <c r="A98" s="66"/>
      <c r="B98" s="1"/>
      <c r="C98" s="1"/>
      <c r="D98" s="1"/>
      <c r="E98" s="31"/>
      <c r="F98" s="31"/>
      <c r="G98" s="34"/>
    </row>
    <row r="99" spans="1:14" s="9" customFormat="1" ht="12.95" customHeight="1" x14ac:dyDescent="0.2">
      <c r="A99" s="66"/>
      <c r="B99" s="1"/>
      <c r="C99" s="1"/>
      <c r="D99" s="1"/>
      <c r="E99" s="31"/>
      <c r="F99" s="31"/>
      <c r="G99" s="34"/>
    </row>
    <row r="100" spans="1:14" s="9" customFormat="1" ht="12.95" customHeight="1" x14ac:dyDescent="0.2">
      <c r="A100" s="66"/>
      <c r="B100" s="1"/>
      <c r="C100" s="1"/>
      <c r="D100" s="1"/>
      <c r="G100" s="34"/>
    </row>
    <row r="101" spans="1:14" s="9" customFormat="1" ht="12.95" customHeight="1" x14ac:dyDescent="0.2">
      <c r="A101" s="66"/>
      <c r="B101" s="1"/>
      <c r="C101" s="1"/>
      <c r="D101" s="1"/>
      <c r="G101" s="34"/>
    </row>
    <row r="102" spans="1:14" s="9" customFormat="1" ht="12.95" customHeight="1" x14ac:dyDescent="0.2">
      <c r="A102" s="66"/>
      <c r="B102" s="1"/>
      <c r="C102" s="1"/>
      <c r="D102" s="1"/>
      <c r="G102" s="34"/>
      <c r="N102" s="75"/>
    </row>
    <row r="103" spans="1:14" s="9" customFormat="1" ht="12.95" customHeight="1" x14ac:dyDescent="0.2">
      <c r="A103" s="66"/>
      <c r="B103" s="1"/>
      <c r="C103" s="1"/>
      <c r="D103" s="1"/>
      <c r="G103" s="34"/>
      <c r="N103" s="75"/>
    </row>
    <row r="107" spans="1:14" s="9" customFormat="1" ht="12.95" customHeight="1" x14ac:dyDescent="0.2">
      <c r="A107" s="66"/>
      <c r="B107" s="1"/>
      <c r="C107" s="1"/>
      <c r="D107" s="1"/>
      <c r="G107" s="34"/>
    </row>
    <row r="108" spans="1:14" s="9" customFormat="1" ht="12.95" customHeight="1" x14ac:dyDescent="0.2">
      <c r="A108" s="66"/>
      <c r="B108" s="1"/>
      <c r="C108" s="1"/>
      <c r="D108" s="1"/>
      <c r="G108" s="34"/>
    </row>
    <row r="109" spans="1:14" s="9" customFormat="1" ht="12.95" customHeight="1" x14ac:dyDescent="0.2">
      <c r="A109" s="66"/>
      <c r="B109" s="1"/>
      <c r="C109" s="1"/>
      <c r="D109" s="1"/>
      <c r="G109" s="34"/>
    </row>
    <row r="110" spans="1:14" s="9" customFormat="1" ht="12.95" customHeight="1" x14ac:dyDescent="0.2">
      <c r="A110" s="66"/>
      <c r="B110" s="1"/>
      <c r="C110" s="1"/>
      <c r="D110" s="1"/>
      <c r="G110" s="34"/>
    </row>
    <row r="111" spans="1:14" s="9" customFormat="1" ht="12.95" customHeight="1" x14ac:dyDescent="0.2">
      <c r="A111" s="66"/>
      <c r="B111" s="1"/>
      <c r="C111" s="1"/>
      <c r="D111" s="1"/>
      <c r="G111" s="34"/>
    </row>
    <row r="112" spans="1:14" s="9" customFormat="1" ht="12.95" customHeight="1" x14ac:dyDescent="0.2">
      <c r="A112" s="66"/>
      <c r="B112" s="1"/>
      <c r="C112" s="1"/>
      <c r="D112" s="1"/>
      <c r="G112" s="34"/>
    </row>
    <row r="113" spans="1:14" s="9" customFormat="1" ht="12.95" customHeight="1" x14ac:dyDescent="0.2">
      <c r="A113" s="66"/>
      <c r="B113" s="1"/>
      <c r="C113" s="1"/>
      <c r="D113" s="1"/>
      <c r="G113" s="34"/>
    </row>
    <row r="114" spans="1:14" s="9" customFormat="1" ht="12.95" customHeight="1" x14ac:dyDescent="0.2">
      <c r="A114" s="66"/>
      <c r="B114" s="1"/>
      <c r="C114" s="1"/>
      <c r="D114" s="1"/>
      <c r="G114" s="34"/>
    </row>
    <row r="115" spans="1:14" s="9" customFormat="1" ht="12.95" customHeight="1" x14ac:dyDescent="0.2">
      <c r="A115" s="66"/>
      <c r="B115" s="1"/>
      <c r="C115" s="1"/>
      <c r="D115" s="1"/>
      <c r="G115" s="34"/>
    </row>
    <row r="116" spans="1:14" s="9" customFormat="1" ht="12.95" customHeight="1" x14ac:dyDescent="0.2">
      <c r="A116" s="66"/>
      <c r="B116" s="1"/>
      <c r="C116" s="1"/>
      <c r="D116" s="1"/>
      <c r="G116" s="34"/>
    </row>
    <row r="117" spans="1:14" s="9" customFormat="1" ht="12.95" customHeight="1" x14ac:dyDescent="0.2">
      <c r="A117" s="66"/>
      <c r="B117" s="1"/>
      <c r="C117" s="1"/>
      <c r="D117" s="1"/>
      <c r="G117" s="34"/>
    </row>
    <row r="118" spans="1:14" s="9" customFormat="1" ht="12.95" customHeight="1" x14ac:dyDescent="0.2">
      <c r="A118" s="66"/>
      <c r="B118" s="1"/>
      <c r="C118" s="1"/>
      <c r="D118" s="1"/>
      <c r="G118" s="34"/>
    </row>
    <row r="119" spans="1:14" s="9" customFormat="1" ht="12.95" customHeight="1" x14ac:dyDescent="0.2">
      <c r="A119" s="66"/>
      <c r="B119" s="1"/>
      <c r="C119" s="1"/>
      <c r="D119" s="1"/>
      <c r="G119" s="34"/>
    </row>
    <row r="120" spans="1:14" s="9" customFormat="1" ht="12.95" customHeight="1" x14ac:dyDescent="0.2">
      <c r="A120" s="66"/>
      <c r="B120" s="1"/>
      <c r="C120" s="1"/>
      <c r="D120" s="1"/>
      <c r="G120" s="34"/>
    </row>
    <row r="121" spans="1:14" s="9" customFormat="1" ht="12.95" customHeight="1" x14ac:dyDescent="0.2">
      <c r="A121" s="66"/>
      <c r="B121" s="1"/>
      <c r="C121" s="1"/>
      <c r="D121" s="1"/>
      <c r="G121" s="34"/>
    </row>
    <row r="122" spans="1:14" s="9" customFormat="1" ht="12.95" customHeight="1" x14ac:dyDescent="0.2">
      <c r="A122" s="66"/>
      <c r="B122" s="1"/>
      <c r="C122" s="1"/>
      <c r="D122" s="1"/>
      <c r="G122" s="34"/>
    </row>
    <row r="123" spans="1:14" s="9" customFormat="1" ht="12.95" customHeight="1" x14ac:dyDescent="0.2">
      <c r="A123" s="66"/>
      <c r="B123" s="1"/>
      <c r="C123" s="1"/>
      <c r="D123" s="1"/>
      <c r="G123" s="34"/>
    </row>
    <row r="124" spans="1:14" s="9" customFormat="1" ht="12.95" customHeight="1" x14ac:dyDescent="0.2">
      <c r="A124" s="66"/>
      <c r="B124" s="1"/>
      <c r="C124" s="1"/>
      <c r="D124" s="1"/>
      <c r="G124" s="34"/>
    </row>
    <row r="128" spans="1:14" s="9" customFormat="1" ht="12.95" customHeight="1" x14ac:dyDescent="0.2">
      <c r="A128" s="66"/>
      <c r="B128" s="1"/>
      <c r="C128" s="1"/>
      <c r="D128" s="1"/>
      <c r="G128" s="33"/>
      <c r="N128" s="11"/>
    </row>
    <row r="129" spans="1:14" s="9" customFormat="1" ht="12.95" customHeight="1" x14ac:dyDescent="0.2">
      <c r="A129" s="66"/>
      <c r="B129" s="1"/>
      <c r="C129" s="1"/>
      <c r="D129" s="1"/>
      <c r="G129" s="33"/>
      <c r="N129" s="11"/>
    </row>
    <row r="130" spans="1:14" s="9" customFormat="1" ht="12.95" customHeight="1" x14ac:dyDescent="0.2">
      <c r="A130" s="66"/>
      <c r="B130" s="1"/>
      <c r="C130" s="1"/>
      <c r="D130" s="1"/>
      <c r="G130" s="34"/>
      <c r="N130" s="11"/>
    </row>
    <row r="131" spans="1:14" s="9" customFormat="1" ht="12.95" customHeight="1" x14ac:dyDescent="0.2">
      <c r="A131" s="66"/>
      <c r="B131" s="1"/>
      <c r="C131" s="1"/>
      <c r="D131" s="1"/>
      <c r="G131" s="33"/>
      <c r="N131" s="75"/>
    </row>
    <row r="132" spans="1:14" s="9" customFormat="1" ht="12.95" customHeight="1" x14ac:dyDescent="0.2">
      <c r="A132" s="66"/>
      <c r="B132" s="1"/>
      <c r="C132" s="1"/>
      <c r="D132" s="1"/>
      <c r="G132" s="34"/>
      <c r="N132" s="75"/>
    </row>
    <row r="133" spans="1:14" s="9" customFormat="1" ht="12.95" customHeight="1" x14ac:dyDescent="0.2">
      <c r="A133" s="66"/>
      <c r="B133" s="1"/>
      <c r="C133" s="1"/>
      <c r="D133" s="1"/>
      <c r="G133" s="34"/>
      <c r="N133" s="11"/>
    </row>
    <row r="134" spans="1:14" s="9" customFormat="1" ht="12.95" customHeight="1" x14ac:dyDescent="0.2">
      <c r="A134" s="66"/>
      <c r="B134" s="1"/>
      <c r="C134" s="1"/>
      <c r="D134" s="1"/>
      <c r="G134" s="34"/>
      <c r="N134" s="11"/>
    </row>
    <row r="135" spans="1:14" s="9" customFormat="1" ht="12.95" customHeight="1" x14ac:dyDescent="0.2">
      <c r="A135" s="66"/>
      <c r="B135" s="1"/>
      <c r="C135" s="1"/>
      <c r="D135" s="1"/>
      <c r="G135" s="34"/>
      <c r="N135" s="11"/>
    </row>
    <row r="136" spans="1:14" s="9" customFormat="1" ht="12.95" customHeight="1" x14ac:dyDescent="0.2">
      <c r="A136" s="66"/>
      <c r="B136" s="1"/>
      <c r="C136" s="1"/>
      <c r="D136" s="1"/>
      <c r="G136" s="37"/>
      <c r="N136" s="81"/>
    </row>
    <row r="137" spans="1:14" s="9" customFormat="1" ht="12.95" customHeight="1" x14ac:dyDescent="0.2">
      <c r="A137" s="66"/>
      <c r="B137" s="1"/>
      <c r="C137" s="1"/>
      <c r="D137" s="1"/>
      <c r="G137" s="37"/>
      <c r="N137" s="81"/>
    </row>
    <row r="138" spans="1:14" s="9" customFormat="1" ht="12.95" customHeight="1" x14ac:dyDescent="0.2">
      <c r="A138" s="66"/>
      <c r="B138" s="1"/>
      <c r="C138" s="1"/>
      <c r="D138" s="1"/>
      <c r="G138" s="37"/>
      <c r="N138" s="81"/>
    </row>
    <row r="139" spans="1:14" s="9" customFormat="1" ht="12.95" customHeight="1" x14ac:dyDescent="0.2">
      <c r="A139" s="66"/>
      <c r="B139" s="1"/>
      <c r="C139" s="1"/>
      <c r="D139" s="1"/>
      <c r="G139" s="34"/>
      <c r="N139" s="81"/>
    </row>
    <row r="140" spans="1:14" s="9" customFormat="1" ht="12.95" customHeight="1" x14ac:dyDescent="0.2">
      <c r="A140" s="66"/>
      <c r="B140" s="1"/>
      <c r="C140" s="1"/>
      <c r="D140" s="1"/>
      <c r="G140" s="34"/>
      <c r="N140" s="81"/>
    </row>
    <row r="141" spans="1:14" s="9" customFormat="1" ht="12.95" customHeight="1" x14ac:dyDescent="0.2">
      <c r="A141" s="66"/>
      <c r="B141" s="1"/>
      <c r="C141" s="1"/>
      <c r="D141" s="1"/>
      <c r="G141" s="34"/>
      <c r="N141" s="81"/>
    </row>
    <row r="142" spans="1:14" s="9" customFormat="1" ht="12.95" customHeight="1" x14ac:dyDescent="0.2">
      <c r="A142" s="66"/>
      <c r="B142" s="1"/>
      <c r="C142" s="1"/>
      <c r="D142" s="1"/>
      <c r="G142" s="34"/>
      <c r="N142" s="81"/>
    </row>
    <row r="143" spans="1:14" s="9" customFormat="1" ht="12.95" customHeight="1" x14ac:dyDescent="0.2">
      <c r="A143" s="66"/>
      <c r="B143" s="1"/>
      <c r="C143" s="1"/>
      <c r="D143" s="1"/>
      <c r="G143" s="34"/>
      <c r="N143" s="81"/>
    </row>
  </sheetData>
  <sheetProtection algorithmName="SHA-512" hashValue="wYTREMwjLUoJI7h3pZeJNB2zp7ZvpbfXWn+4t6TJuxtAopih/9gH3U5XLtzWfGP9tjyUmX/6zFvgWwB5H19UXw==" saltValue="NwwkdrxWj7lzWf9Mv+DzTw==" spinCount="100000" sheet="1" objects="1" scenarios="1"/>
  <mergeCells count="6">
    <mergeCell ref="B57:C58"/>
    <mergeCell ref="B2:C2"/>
    <mergeCell ref="D2:E2"/>
    <mergeCell ref="B3:C3"/>
    <mergeCell ref="B12:C13"/>
    <mergeCell ref="B45:C46"/>
  </mergeCells>
  <conditionalFormatting sqref="H12:Y15 H30:Y30 H34:Y48 H52:Y52 H64:Y10004 H31:X31 H63:X63 H61:X61 H55:Y60 AA55:CE10004 AA12:CE52">
    <cfRule type="expression" dxfId="227" priority="157">
      <formula>AND($D12&lt;&gt;"",H$12&lt;&gt;"",H12="")</formula>
    </cfRule>
    <cfRule type="expression" dxfId="226" priority="158">
      <formula>AND($A12="",ABS(H12)=0)</formula>
    </cfRule>
    <cfRule type="expression" dxfId="225" priority="160">
      <formula>AND($A12="",ABS(H12)&lt;100)</formula>
    </cfRule>
    <cfRule type="expression" dxfId="224" priority="161">
      <formula>AND($A12="",ABS(H12)&gt;=100)</formula>
    </cfRule>
  </conditionalFormatting>
  <conditionalFormatting sqref="H30:Y30 H52:Y52 H34:Y48 H64:Y1048576 H1:Y15 H55:Y60 AA55:CE1048576 AA1:CE52">
    <cfRule type="expression" dxfId="223" priority="159">
      <formula>AND($A1="",ABS(H1)&lt;10)</formula>
    </cfRule>
  </conditionalFormatting>
  <conditionalFormatting sqref="Y31">
    <cfRule type="expression" dxfId="222" priority="128">
      <formula>AND($D31&lt;&gt;"",Y$12&lt;&gt;"",Y31="")</formula>
    </cfRule>
    <cfRule type="expression" dxfId="221" priority="129">
      <formula>AND($A31="",ABS(Y31)=0)</formula>
    </cfRule>
    <cfRule type="expression" dxfId="220" priority="130">
      <formula>AND($A31="",ABS(Y31)&lt;100)</formula>
    </cfRule>
    <cfRule type="expression" dxfId="219" priority="131">
      <formula>AND($A31="",ABS(Y31)&gt;=100)</formula>
    </cfRule>
  </conditionalFormatting>
  <conditionalFormatting sqref="Y16:Y17 Y29 Y19 Y21:Y22 Y24:Y25">
    <cfRule type="expression" dxfId="218" priority="132">
      <formula>AND($D16&lt;&gt;"",Y$12&lt;&gt;"",Y16="")</formula>
    </cfRule>
    <cfRule type="expression" dxfId="217" priority="133">
      <formula>AND($A16="",ABS(Y16)=0)</formula>
    </cfRule>
    <cfRule type="expression" dxfId="216" priority="134">
      <formula>AND($A16="",ABS(Y16)&lt;100)</formula>
    </cfRule>
    <cfRule type="expression" dxfId="215" priority="135">
      <formula>AND($A16="",ABS(Y16)&gt;=100)</formula>
    </cfRule>
  </conditionalFormatting>
  <conditionalFormatting sqref="Y32">
    <cfRule type="expression" dxfId="214" priority="124">
      <formula>AND($D32&lt;&gt;"",Y$12&lt;&gt;"",Y32="")</formula>
    </cfRule>
    <cfRule type="expression" dxfId="213" priority="125">
      <formula>AND($A32="",ABS(Y32)=0)</formula>
    </cfRule>
    <cfRule type="expression" dxfId="212" priority="126">
      <formula>AND($A32="",ABS(Y32)&lt;100)</formula>
    </cfRule>
    <cfRule type="expression" dxfId="211" priority="127">
      <formula>AND($A32="",ABS(Y32)&gt;=100)</formula>
    </cfRule>
  </conditionalFormatting>
  <conditionalFormatting sqref="Y61 Y63">
    <cfRule type="expression" dxfId="210" priority="116">
      <formula>AND($D61&lt;&gt;"",Y$12&lt;&gt;"",Y61="")</formula>
    </cfRule>
    <cfRule type="expression" dxfId="209" priority="117">
      <formula>AND($A61="",ABS(Y61)=0)</formula>
    </cfRule>
    <cfRule type="expression" dxfId="208" priority="118">
      <formula>AND($A61="",ABS(Y61)&lt;100)</formula>
    </cfRule>
    <cfRule type="expression" dxfId="207" priority="119">
      <formula>AND($A61="",ABS(Y61)&gt;=100)</formula>
    </cfRule>
  </conditionalFormatting>
  <conditionalFormatting sqref="H53:Y53 AA53:CE53">
    <cfRule type="expression" dxfId="206" priority="37">
      <formula>AND($D53&lt;&gt;"",H$12&lt;&gt;"",H53="")</formula>
    </cfRule>
    <cfRule type="expression" dxfId="205" priority="38">
      <formula>AND($A53="",ABS(H53)=0)</formula>
    </cfRule>
    <cfRule type="expression" dxfId="204" priority="40">
      <formula>AND($A53="",ABS(H53)&lt;100)</formula>
    </cfRule>
    <cfRule type="expression" dxfId="203" priority="41">
      <formula>AND($A53="",ABS(H53)&gt;=100)</formula>
    </cfRule>
  </conditionalFormatting>
  <conditionalFormatting sqref="H53:Y53 AA53:CE53">
    <cfRule type="expression" dxfId="202" priority="39">
      <formula>AND($A53="",ABS(H53)&lt;10)</formula>
    </cfRule>
  </conditionalFormatting>
  <conditionalFormatting sqref="H54:Y54 AA54:CE54">
    <cfRule type="expression" dxfId="201" priority="32">
      <formula>AND($D54&lt;&gt;"",H$12&lt;&gt;"",H54="")</formula>
    </cfRule>
    <cfRule type="expression" dxfId="200" priority="33">
      <formula>AND($A54="",ABS(H54)=0)</formula>
    </cfRule>
    <cfRule type="expression" dxfId="199" priority="35">
      <formula>AND($A54="",ABS(H54)&lt;100)</formula>
    </cfRule>
    <cfRule type="expression" dxfId="198" priority="36">
      <formula>AND($A54="",ABS(H54)&gt;=100)</formula>
    </cfRule>
  </conditionalFormatting>
  <conditionalFormatting sqref="H54:Y54 AA54:CE54">
    <cfRule type="expression" dxfId="197" priority="34">
      <formula>AND($A54="",ABS(H54)&lt;10)</formula>
    </cfRule>
  </conditionalFormatting>
  <conditionalFormatting sqref="Z12:Z15 Z30 Z34:Z48 Z52 Z64:Z10004 Z55:Z60">
    <cfRule type="expression" dxfId="196" priority="27">
      <formula>AND($D12&lt;&gt;"",Z$12&lt;&gt;"",Z12="")</formula>
    </cfRule>
    <cfRule type="expression" dxfId="195" priority="28">
      <formula>AND($A12="",ABS(Z12)=0)</formula>
    </cfRule>
    <cfRule type="expression" dxfId="194" priority="30">
      <formula>AND($A12="",ABS(Z12)&lt;100)</formula>
    </cfRule>
    <cfRule type="expression" dxfId="193" priority="31">
      <formula>AND($A12="",ABS(Z12)&gt;=100)</formula>
    </cfRule>
  </conditionalFormatting>
  <conditionalFormatting sqref="Z30 Z52 Z34:Z48 Z64:Z1048576 Z1:Z15 Z55:Z60">
    <cfRule type="expression" dxfId="192" priority="29">
      <formula>AND($A1="",ABS(Z1)&lt;10)</formula>
    </cfRule>
  </conditionalFormatting>
  <conditionalFormatting sqref="Z31">
    <cfRule type="expression" dxfId="191" priority="19">
      <formula>AND($D31&lt;&gt;"",Z$12&lt;&gt;"",Z31="")</formula>
    </cfRule>
    <cfRule type="expression" dxfId="190" priority="20">
      <formula>AND($A31="",ABS(Z31)=0)</formula>
    </cfRule>
    <cfRule type="expression" dxfId="189" priority="21">
      <formula>AND($A31="",ABS(Z31)&lt;100)</formula>
    </cfRule>
    <cfRule type="expression" dxfId="188" priority="22">
      <formula>AND($A31="",ABS(Z31)&gt;=100)</formula>
    </cfRule>
  </conditionalFormatting>
  <conditionalFormatting sqref="Z16:Z17 Z29 Z19 Z21:Z22 Z24:Z25">
    <cfRule type="expression" dxfId="187" priority="23">
      <formula>AND($D16&lt;&gt;"",Z$12&lt;&gt;"",Z16="")</formula>
    </cfRule>
    <cfRule type="expression" dxfId="186" priority="24">
      <formula>AND($A16="",ABS(Z16)=0)</formula>
    </cfRule>
    <cfRule type="expression" dxfId="185" priority="25">
      <formula>AND($A16="",ABS(Z16)&lt;100)</formula>
    </cfRule>
    <cfRule type="expression" dxfId="184" priority="26">
      <formula>AND($A16="",ABS(Z16)&gt;=100)</formula>
    </cfRule>
  </conditionalFormatting>
  <conditionalFormatting sqref="Z32">
    <cfRule type="expression" dxfId="183" priority="15">
      <formula>AND($D32&lt;&gt;"",Z$12&lt;&gt;"",Z32="")</formula>
    </cfRule>
    <cfRule type="expression" dxfId="182" priority="16">
      <formula>AND($A32="",ABS(Z32)=0)</formula>
    </cfRule>
    <cfRule type="expression" dxfId="181" priority="17">
      <formula>AND($A32="",ABS(Z32)&lt;100)</formula>
    </cfRule>
    <cfRule type="expression" dxfId="180" priority="18">
      <formula>AND($A32="",ABS(Z32)&gt;=100)</formula>
    </cfRule>
  </conditionalFormatting>
  <conditionalFormatting sqref="Z61 Z63">
    <cfRule type="expression" dxfId="179" priority="11">
      <formula>AND($D61&lt;&gt;"",Z$12&lt;&gt;"",Z61="")</formula>
    </cfRule>
    <cfRule type="expression" dxfId="178" priority="12">
      <formula>AND($A61="",ABS(Z61)=0)</formula>
    </cfRule>
    <cfRule type="expression" dxfId="177" priority="13">
      <formula>AND($A61="",ABS(Z61)&lt;100)</formula>
    </cfRule>
    <cfRule type="expression" dxfId="176" priority="14">
      <formula>AND($A61="",ABS(Z61)&gt;=100)</formula>
    </cfRule>
  </conditionalFormatting>
  <conditionalFormatting sqref="Z53">
    <cfRule type="expression" dxfId="175" priority="6">
      <formula>AND($D53&lt;&gt;"",Z$12&lt;&gt;"",Z53="")</formula>
    </cfRule>
    <cfRule type="expression" dxfId="174" priority="7">
      <formula>AND($A53="",ABS(Z53)=0)</formula>
    </cfRule>
    <cfRule type="expression" dxfId="173" priority="9">
      <formula>AND($A53="",ABS(Z53)&lt;100)</formula>
    </cfRule>
    <cfRule type="expression" dxfId="172" priority="10">
      <formula>AND($A53="",ABS(Z53)&gt;=100)</formula>
    </cfRule>
  </conditionalFormatting>
  <conditionalFormatting sqref="Z53">
    <cfRule type="expression" dxfId="171" priority="8">
      <formula>AND($A53="",ABS(Z53)&lt;10)</formula>
    </cfRule>
  </conditionalFormatting>
  <conditionalFormatting sqref="Z54">
    <cfRule type="expression" dxfId="170" priority="1">
      <formula>AND($D54&lt;&gt;"",Z$12&lt;&gt;"",Z54="")</formula>
    </cfRule>
    <cfRule type="expression" dxfId="169" priority="2">
      <formula>AND($A54="",ABS(Z54)=0)</formula>
    </cfRule>
    <cfRule type="expression" dxfId="168" priority="4">
      <formula>AND($A54="",ABS(Z54)&lt;100)</formula>
    </cfRule>
    <cfRule type="expression" dxfId="167" priority="5">
      <formula>AND($A54="",ABS(Z54)&gt;=100)</formula>
    </cfRule>
  </conditionalFormatting>
  <conditionalFormatting sqref="Z54">
    <cfRule type="expression" dxfId="166" priority="3">
      <formula>AND($A54="",ABS(Z54)&lt;10)</formula>
    </cfRule>
  </conditionalFormatting>
  <dataValidations count="2">
    <dataValidation type="list" allowBlank="1" showInputMessage="1" showErrorMessage="1" sqref="G2" xr:uid="{00000000-0002-0000-0900-000000000000}">
      <formula1>Sprache</formula1>
    </dataValidation>
    <dataValidation allowBlank="1" showInputMessage="1" showErrorMessage="1" sqref="F2" xr:uid="{6377B5E1-7404-45D7-AFF5-FEB0B10EC0E1}"/>
  </dataValidations>
  <hyperlinks>
    <hyperlink ref="A12" location="GRI_404" display="Ó" xr:uid="{00000000-0004-0000-0900-000000000000}"/>
    <hyperlink ref="D2" location="Home" display="Home" xr:uid="{00000000-0004-0000-0900-000001000000}"/>
    <hyperlink ref="C7" location="GRI_404_2a" display="Lernpersonal" xr:uid="{00000000-0004-0000-0900-000002000000}"/>
    <hyperlink ref="C8" location="GRI_404_2b" display="Nachwuchskräfte" xr:uid="{00000000-0004-0000-0900-000003000000}"/>
    <hyperlink ref="C9" location="GRI_404_2c" display="Aktivitäten Arbeitsmarktzentrum" xr:uid="{00000000-0004-0000-0900-000004000000}"/>
    <hyperlink ref="A45" location="GRI_404" display="Ó" xr:uid="{00000000-0004-0000-0900-000005000000}"/>
    <hyperlink ref="A57" location="GRI_404" display="Ó" xr:uid="{00000000-0004-0000-0900-000006000000}"/>
  </hyperlinks>
  <pageMargins left="0.7" right="0.7" top="0.78740157499999996" bottom="0.78740157499999996" header="0.3" footer="0.3"/>
  <pageSetup paperSize="9" orientation="portrait" r:id="rId1"/>
  <ignoredErrors>
    <ignoredError sqref="E33 E20:E25" twoDigitTextYear="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15">
    <tabColor rgb="FF9E2A2F"/>
  </sheetPr>
  <dimension ref="A2:CK158"/>
  <sheetViews>
    <sheetView showGridLines="0" showRowColHeaders="0" zoomScaleNormal="100" workbookViewId="0">
      <pane xSplit="7" topLeftCell="P1" activePane="topRight" state="frozen"/>
      <selection activeCell="B3" sqref="B3:C3"/>
      <selection pane="topRight" activeCell="B3" sqref="B3:C3"/>
    </sheetView>
  </sheetViews>
  <sheetFormatPr baseColWidth="10" defaultColWidth="10.85546875" defaultRowHeight="12.95" customHeight="1" x14ac:dyDescent="0.2"/>
  <cols>
    <col min="1" max="1" width="2.42578125" style="66" customWidth="1"/>
    <col min="2" max="2" width="2.42578125" style="1" customWidth="1"/>
    <col min="3" max="3" width="63" style="1" customWidth="1"/>
    <col min="4" max="4" width="23.5703125" style="1" customWidth="1"/>
    <col min="5" max="5" width="9.42578125" style="9" customWidth="1"/>
    <col min="6" max="6" width="14.140625" style="9" customWidth="1"/>
    <col min="7" max="7" width="2.42578125" style="34" customWidth="1"/>
    <col min="8" max="13" width="12" style="9" customWidth="1"/>
    <col min="14" max="19" width="11.7109375" style="9" customWidth="1"/>
    <col min="20" max="26" width="11.7109375" style="11" customWidth="1"/>
    <col min="27" max="89" width="11.7109375" style="9" customWidth="1"/>
    <col min="90" max="16384" width="10.85546875" style="1"/>
  </cols>
  <sheetData>
    <row r="2" spans="1:89" s="89" customFormat="1" ht="26.1" customHeight="1" x14ac:dyDescent="0.2">
      <c r="A2" s="63"/>
      <c r="B2" s="406" t="str">
        <f>UPPER(RIGHT(Inhaltsverzeichnis!$C$31,LEN(Inhaltsverzeichnis!$C$31)-FIND(" – ",Inhaltsverzeichnis!$C$31,1)-2))</f>
        <v>DIVERSITÉ ET ÉGALITÉ DES CHANCES</v>
      </c>
      <c r="C2" s="406"/>
      <c r="D2" s="402" t="str">
        <f>VLOOKUP(35,Textbausteine_Menu[],Hilfsgrössen!$D$2,FALSE)</f>
        <v>retour à la table des matières</v>
      </c>
      <c r="E2" s="403"/>
      <c r="F2" s="83" t="s">
        <v>149</v>
      </c>
      <c r="G2" s="96"/>
      <c r="H2" s="67"/>
      <c r="I2" s="67"/>
      <c r="J2" s="67"/>
      <c r="K2" s="67"/>
      <c r="L2" s="67"/>
      <c r="M2" s="67"/>
      <c r="N2" s="27"/>
      <c r="O2" s="27"/>
      <c r="P2" s="27"/>
      <c r="Q2" s="27"/>
      <c r="R2" s="27"/>
      <c r="S2" s="27"/>
      <c r="T2" s="71"/>
      <c r="U2" s="71"/>
      <c r="V2" s="71"/>
      <c r="W2" s="71"/>
      <c r="X2" s="71"/>
      <c r="Y2" s="71"/>
      <c r="Z2" s="71"/>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c r="BA2" s="27"/>
      <c r="BB2" s="27"/>
      <c r="BC2" s="27"/>
      <c r="BD2" s="27"/>
      <c r="BE2" s="27"/>
      <c r="BF2" s="27"/>
      <c r="BG2" s="27"/>
      <c r="BH2" s="27"/>
      <c r="BI2" s="27"/>
      <c r="BJ2" s="27"/>
      <c r="BK2" s="27"/>
      <c r="BL2" s="27"/>
      <c r="BM2" s="27"/>
      <c r="BN2" s="27"/>
      <c r="BO2" s="27"/>
      <c r="BP2" s="27"/>
      <c r="BQ2" s="27"/>
      <c r="BR2" s="27"/>
      <c r="BS2" s="27"/>
      <c r="BT2" s="27"/>
      <c r="BU2" s="27"/>
      <c r="BV2" s="27"/>
      <c r="BW2" s="27"/>
      <c r="BX2" s="27"/>
      <c r="BY2" s="27"/>
      <c r="BZ2" s="27"/>
      <c r="CA2" s="27"/>
      <c r="CB2" s="27"/>
      <c r="CC2" s="27"/>
      <c r="CD2" s="27"/>
      <c r="CE2" s="27"/>
      <c r="CF2" s="27"/>
      <c r="CG2" s="27"/>
      <c r="CH2" s="27"/>
      <c r="CI2" s="27"/>
      <c r="CJ2" s="27"/>
      <c r="CK2" s="27"/>
    </row>
    <row r="3" spans="1:89" s="90" customFormat="1" ht="26.1" customHeight="1" x14ac:dyDescent="0.2">
      <c r="A3" s="64"/>
      <c r="B3" s="407" t="str">
        <f>UPPER("GRI "&amp;LEFT(Inhaltsverzeichnis!$C$31,3))</f>
        <v>GRI 405</v>
      </c>
      <c r="C3" s="407"/>
      <c r="E3" s="27"/>
      <c r="F3" s="27"/>
      <c r="G3" s="32"/>
      <c r="H3" s="27"/>
      <c r="I3" s="27"/>
      <c r="J3" s="27"/>
      <c r="K3" s="27"/>
      <c r="L3" s="27"/>
      <c r="M3" s="27"/>
      <c r="N3" s="27"/>
      <c r="O3" s="27"/>
      <c r="P3" s="27"/>
      <c r="Q3" s="27"/>
      <c r="R3" s="27"/>
      <c r="S3" s="27"/>
      <c r="T3" s="71"/>
      <c r="U3" s="71"/>
      <c r="V3" s="71"/>
      <c r="W3" s="71"/>
      <c r="X3" s="71"/>
      <c r="Y3" s="71"/>
      <c r="Z3" s="71"/>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c r="BA3" s="27"/>
      <c r="BB3" s="27"/>
      <c r="BC3" s="27"/>
      <c r="BD3" s="27"/>
      <c r="BE3" s="27"/>
      <c r="BF3" s="27"/>
      <c r="BG3" s="27"/>
      <c r="BH3" s="27"/>
      <c r="BI3" s="27"/>
      <c r="BJ3" s="27"/>
      <c r="BK3" s="27"/>
      <c r="BL3" s="27"/>
      <c r="BM3" s="27"/>
      <c r="BN3" s="27"/>
      <c r="BO3" s="27"/>
      <c r="BP3" s="27"/>
      <c r="BQ3" s="27"/>
      <c r="BR3" s="27"/>
      <c r="BS3" s="27"/>
      <c r="BT3" s="27"/>
      <c r="BU3" s="27"/>
      <c r="BV3" s="27"/>
      <c r="BW3" s="27"/>
      <c r="BX3" s="27"/>
      <c r="BY3" s="27"/>
      <c r="BZ3" s="27"/>
      <c r="CA3" s="27"/>
      <c r="CB3" s="27"/>
      <c r="CC3" s="27"/>
      <c r="CD3" s="27"/>
      <c r="CE3" s="27"/>
      <c r="CF3" s="27"/>
      <c r="CG3" s="27"/>
      <c r="CH3" s="27"/>
      <c r="CI3" s="27"/>
      <c r="CJ3" s="27"/>
      <c r="CK3" s="27"/>
    </row>
    <row r="6" spans="1:89" s="6" customFormat="1" ht="12.95" customHeight="1" x14ac:dyDescent="0.2">
      <c r="A6" s="65"/>
      <c r="B6" s="6" t="str">
        <f>VLOOKUP(31,Textbausteine_Menu[],Hilfsgrössen!$D$2,FALSE)</f>
        <v>Divulgations</v>
      </c>
      <c r="E6" s="28"/>
      <c r="F6" s="28"/>
      <c r="G6" s="33"/>
      <c r="H6" s="28"/>
      <c r="I6" s="28"/>
      <c r="J6" s="28"/>
      <c r="K6" s="28"/>
      <c r="L6" s="28"/>
      <c r="M6" s="28"/>
      <c r="N6" s="9"/>
      <c r="O6" s="9"/>
      <c r="P6" s="9"/>
      <c r="Q6" s="9"/>
      <c r="R6" s="9"/>
      <c r="S6" s="9"/>
      <c r="T6" s="11"/>
      <c r="U6" s="11"/>
      <c r="V6" s="11"/>
      <c r="W6" s="11"/>
      <c r="X6" s="11"/>
      <c r="Y6" s="11"/>
      <c r="Z6" s="11"/>
      <c r="AA6" s="9"/>
      <c r="AB6" s="9"/>
      <c r="AC6" s="9"/>
      <c r="AD6" s="9"/>
      <c r="AE6" s="9"/>
      <c r="AF6" s="9"/>
      <c r="AG6" s="9"/>
      <c r="AH6" s="9"/>
      <c r="AI6" s="9"/>
      <c r="AJ6" s="9"/>
      <c r="AK6" s="9"/>
      <c r="AL6" s="9"/>
      <c r="AM6" s="9"/>
      <c r="AN6" s="9"/>
      <c r="AO6" s="9"/>
      <c r="AP6" s="9"/>
      <c r="AQ6" s="9"/>
      <c r="AR6" s="9"/>
      <c r="AS6" s="9"/>
      <c r="AT6" s="9"/>
      <c r="AU6" s="9"/>
      <c r="AV6" s="9"/>
      <c r="AW6" s="9"/>
      <c r="AX6" s="9"/>
      <c r="AY6" s="9"/>
      <c r="AZ6" s="9"/>
      <c r="BA6" s="9"/>
      <c r="BB6" s="9"/>
      <c r="BC6" s="9"/>
      <c r="BD6" s="9"/>
      <c r="BE6" s="9"/>
      <c r="BF6" s="9"/>
      <c r="BG6" s="9"/>
      <c r="BH6" s="9"/>
      <c r="BI6" s="9"/>
      <c r="BJ6" s="9"/>
      <c r="BK6" s="9"/>
      <c r="BL6" s="9"/>
      <c r="BM6" s="9"/>
      <c r="BN6" s="9"/>
      <c r="BO6" s="9"/>
      <c r="BP6" s="9"/>
      <c r="BQ6" s="9"/>
      <c r="BR6" s="9"/>
      <c r="BS6" s="9"/>
      <c r="BT6" s="9"/>
      <c r="BU6" s="9"/>
      <c r="BV6" s="9"/>
      <c r="BW6" s="9"/>
      <c r="BX6" s="9"/>
      <c r="BY6" s="9"/>
      <c r="BZ6" s="9"/>
      <c r="CA6" s="9"/>
      <c r="CB6" s="9"/>
      <c r="CC6" s="9"/>
      <c r="CD6" s="9"/>
      <c r="CE6" s="9"/>
      <c r="CF6" s="9"/>
      <c r="CG6" s="9"/>
      <c r="CH6" s="9"/>
      <c r="CI6" s="9"/>
      <c r="CJ6" s="9"/>
      <c r="CK6" s="9"/>
    </row>
    <row r="7" spans="1:89" ht="12.6" customHeight="1" x14ac:dyDescent="0.2">
      <c r="A7" s="56"/>
      <c r="B7" s="2"/>
      <c r="C7" s="85" t="str">
        <f>VLOOKUP(1,Textbausteine_405[],Hilfsgrössen!$D$2,FALSE)</f>
        <v>Femmes au sein du management</v>
      </c>
      <c r="D7" s="4"/>
    </row>
    <row r="8" spans="1:89" ht="12.6" customHeight="1" x14ac:dyDescent="0.2">
      <c r="A8" s="56"/>
      <c r="B8" s="2"/>
      <c r="C8" s="85" t="str">
        <f>VLOOKUP(2,Textbausteine_405[],Hilfsgrössen!$D$2,FALSE)</f>
        <v>Diversité linguistique</v>
      </c>
      <c r="D8" s="4"/>
    </row>
    <row r="9" spans="1:89" ht="12.6" customHeight="1" x14ac:dyDescent="0.2">
      <c r="A9" s="56"/>
      <c r="B9" s="2"/>
      <c r="C9" s="85" t="str">
        <f>VLOOKUP(3,Textbausteine_405[],Hilfsgrössen!$D$2,FALSE)</f>
        <v>Nationalité</v>
      </c>
      <c r="D9" s="4"/>
      <c r="E9" s="28"/>
      <c r="F9" s="28"/>
      <c r="G9" s="33"/>
    </row>
    <row r="10" spans="1:89" ht="12.6" customHeight="1" x14ac:dyDescent="0.2">
      <c r="A10" s="56"/>
      <c r="B10" s="2"/>
      <c r="C10" s="85" t="str">
        <f>VLOOKUP(4,Textbausteine_405[],Hilfsgrössen!$D$2,FALSE)</f>
        <v>Démographie (pyramide des âges)</v>
      </c>
      <c r="D10" s="4"/>
      <c r="E10" s="28"/>
      <c r="F10" s="28"/>
      <c r="G10" s="33"/>
    </row>
    <row r="11" spans="1:89" ht="12.95" customHeight="1" x14ac:dyDescent="0.2">
      <c r="B11" s="2"/>
      <c r="H11" s="73"/>
      <c r="I11" s="73"/>
      <c r="J11" s="73"/>
      <c r="K11" s="73"/>
      <c r="L11" s="73"/>
      <c r="M11" s="73"/>
    </row>
    <row r="12" spans="1:89" ht="12.95" customHeight="1" x14ac:dyDescent="0.2">
      <c r="B12" s="2"/>
    </row>
    <row r="13" spans="1:89" s="6" customFormat="1" ht="12.95" customHeight="1" x14ac:dyDescent="0.2">
      <c r="A13" s="39" t="s">
        <v>27</v>
      </c>
      <c r="B13" s="401" t="str">
        <f>$C$7</f>
        <v>Femmes au sein du management</v>
      </c>
      <c r="C13" s="401"/>
      <c r="D13" s="6" t="str">
        <f>VLOOKUP(32,Textbausteine_Menu[],Hilfsgrössen!$D$2,FALSE)</f>
        <v>Unité</v>
      </c>
      <c r="E13" s="28" t="str">
        <f>VLOOKUP(33,Textbausteine_Menu[],Hilfsgrössen!$D$2,FALSE)</f>
        <v>Notes</v>
      </c>
      <c r="F13" s="28" t="str">
        <f>VLOOKUP(34,Textbausteine_Menu[],Hilfsgrössen!$D$2,FALSE)</f>
        <v>GRI</v>
      </c>
      <c r="G13" s="34"/>
      <c r="H13" s="72">
        <v>2004</v>
      </c>
      <c r="I13" s="72">
        <v>2005</v>
      </c>
      <c r="J13" s="72">
        <v>2006</v>
      </c>
      <c r="K13" s="72">
        <v>2007</v>
      </c>
      <c r="L13" s="72">
        <v>2008</v>
      </c>
      <c r="M13" s="72">
        <v>2009</v>
      </c>
      <c r="N13" s="7">
        <v>2010</v>
      </c>
      <c r="O13" s="7">
        <v>2011</v>
      </c>
      <c r="P13" s="7">
        <v>2012</v>
      </c>
      <c r="Q13" s="7">
        <v>2013</v>
      </c>
      <c r="R13" s="7">
        <v>2014</v>
      </c>
      <c r="S13" s="7">
        <v>2015</v>
      </c>
      <c r="T13" s="7">
        <v>2016</v>
      </c>
      <c r="U13" s="7">
        <v>2017</v>
      </c>
      <c r="V13" s="7">
        <v>2018</v>
      </c>
      <c r="W13" s="7">
        <v>2019</v>
      </c>
      <c r="X13" s="7">
        <v>2020</v>
      </c>
      <c r="Y13" s="7">
        <v>2021</v>
      </c>
      <c r="Z13" s="7">
        <v>2022</v>
      </c>
      <c r="AA13" s="7"/>
      <c r="AB13" s="7"/>
      <c r="AC13" s="7"/>
      <c r="AD13" s="7"/>
      <c r="AE13" s="7"/>
      <c r="AF13" s="28"/>
      <c r="AG13" s="28"/>
      <c r="AH13" s="28"/>
      <c r="AI13" s="28"/>
      <c r="AJ13" s="28"/>
      <c r="AK13" s="28"/>
      <c r="AL13" s="28"/>
      <c r="AM13" s="28"/>
      <c r="AN13" s="28"/>
      <c r="AO13" s="28"/>
      <c r="AP13" s="28"/>
      <c r="AQ13" s="28"/>
      <c r="AR13" s="28"/>
      <c r="AS13" s="28"/>
      <c r="AT13" s="28"/>
      <c r="AU13" s="28"/>
      <c r="AV13" s="28"/>
      <c r="AW13" s="28"/>
      <c r="AX13" s="28"/>
      <c r="AY13" s="28"/>
      <c r="AZ13" s="28"/>
      <c r="BA13" s="28"/>
      <c r="BB13" s="28"/>
      <c r="BC13" s="28"/>
      <c r="BD13" s="28"/>
      <c r="BE13" s="28"/>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8"/>
      <c r="CG13" s="28"/>
      <c r="CH13" s="28"/>
      <c r="CI13" s="28"/>
      <c r="CJ13" s="28"/>
      <c r="CK13" s="28"/>
    </row>
    <row r="14" spans="1:89" s="6" customFormat="1" ht="12.95" customHeight="1" x14ac:dyDescent="0.2">
      <c r="A14" s="65"/>
      <c r="B14" s="401"/>
      <c r="C14" s="401"/>
      <c r="E14" s="28"/>
      <c r="F14" s="28"/>
      <c r="G14" s="34"/>
      <c r="H14" s="268"/>
      <c r="I14" s="268"/>
      <c r="J14" s="268"/>
      <c r="K14" s="268"/>
      <c r="L14" s="268"/>
      <c r="M14" s="268"/>
      <c r="N14" s="73"/>
      <c r="O14" s="73"/>
      <c r="P14" s="73"/>
      <c r="Q14" s="73"/>
      <c r="R14" s="73"/>
      <c r="S14" s="73"/>
      <c r="T14" s="75"/>
      <c r="U14" s="75"/>
      <c r="V14" s="75"/>
      <c r="W14" s="75"/>
      <c r="X14" s="75"/>
      <c r="Y14" s="75"/>
      <c r="Z14" s="75"/>
      <c r="AA14" s="75"/>
      <c r="AB14" s="75"/>
      <c r="AC14" s="75"/>
      <c r="AD14" s="75"/>
      <c r="AE14" s="75"/>
      <c r="AF14" s="73"/>
      <c r="AG14" s="73"/>
      <c r="AH14" s="73"/>
      <c r="AI14" s="73"/>
      <c r="AJ14" s="73"/>
      <c r="AK14" s="73"/>
      <c r="AL14" s="73"/>
      <c r="AM14" s="73"/>
      <c r="AN14" s="73"/>
      <c r="AO14" s="73"/>
      <c r="AP14" s="73"/>
      <c r="AQ14" s="73"/>
      <c r="AR14" s="73"/>
      <c r="AS14" s="73"/>
      <c r="AT14" s="73"/>
      <c r="AU14" s="73"/>
      <c r="AV14" s="73"/>
      <c r="AW14" s="73"/>
      <c r="AX14" s="73"/>
      <c r="AY14" s="73"/>
      <c r="AZ14" s="73"/>
      <c r="BA14" s="73"/>
      <c r="BB14" s="73"/>
      <c r="BC14" s="73"/>
      <c r="BD14" s="73"/>
      <c r="BE14" s="73"/>
      <c r="BF14" s="73"/>
      <c r="BG14" s="73"/>
      <c r="BH14" s="73"/>
      <c r="BI14" s="73"/>
      <c r="BJ14" s="73"/>
      <c r="BK14" s="73"/>
      <c r="BL14" s="73"/>
      <c r="BM14" s="73"/>
      <c r="BN14" s="73"/>
      <c r="BO14" s="73"/>
      <c r="BP14" s="73"/>
      <c r="BQ14" s="73"/>
      <c r="BR14" s="73"/>
      <c r="BS14" s="73"/>
      <c r="BT14" s="73"/>
      <c r="BU14" s="73"/>
      <c r="BV14" s="73"/>
      <c r="BW14" s="73"/>
      <c r="BX14" s="73"/>
      <c r="BY14" s="73"/>
      <c r="BZ14" s="73"/>
      <c r="CA14" s="73"/>
      <c r="CB14" s="73"/>
      <c r="CC14" s="73"/>
      <c r="CD14" s="73"/>
      <c r="CE14" s="73"/>
      <c r="CF14" s="73"/>
      <c r="CG14" s="73"/>
      <c r="CH14" s="73"/>
      <c r="CI14" s="73"/>
      <c r="CJ14" s="73"/>
      <c r="CK14" s="73"/>
    </row>
    <row r="15" spans="1:89" ht="12.95" customHeight="1" x14ac:dyDescent="0.2">
      <c r="B15" s="2"/>
      <c r="E15" s="28"/>
      <c r="F15" s="28"/>
      <c r="G15" s="33"/>
      <c r="H15" s="268"/>
      <c r="I15" s="268"/>
      <c r="J15" s="268"/>
      <c r="K15" s="268"/>
      <c r="L15" s="268"/>
      <c r="M15" s="268"/>
      <c r="AA15" s="11"/>
      <c r="AB15" s="11"/>
      <c r="AC15" s="11"/>
      <c r="AD15" s="11"/>
      <c r="AE15" s="11"/>
    </row>
    <row r="16" spans="1:89" ht="12.95" customHeight="1" x14ac:dyDescent="0.2">
      <c r="B16" s="2" t="str">
        <f>VLOOKUP(37,Textbausteine_Menu[],Hilfsgrössen!$D$2,FALSE)</f>
        <v>Groupe Suisse</v>
      </c>
      <c r="C16" s="2"/>
      <c r="E16" s="10"/>
      <c r="G16" s="33"/>
      <c r="H16" s="268"/>
      <c r="I16" s="268"/>
      <c r="J16" s="268"/>
      <c r="K16" s="268"/>
      <c r="L16" s="268"/>
      <c r="M16" s="268"/>
    </row>
    <row r="17" spans="1:89" ht="12.95" customHeight="1" x14ac:dyDescent="0.2">
      <c r="C17" s="108" t="str">
        <f>VLOOKUP(31,Textbausteine_405[],Hilfsgrössen!$D$2,FALSE)</f>
        <v>Part de femmes cadres</v>
      </c>
      <c r="D17" s="1" t="str">
        <f>VLOOKUP(11,Textbausteine_405[],Hilfsgrössen!$D$2,FALSE)</f>
        <v>% des personnes</v>
      </c>
      <c r="E17" s="9" t="s">
        <v>69</v>
      </c>
      <c r="F17" s="9" t="s">
        <v>147</v>
      </c>
      <c r="H17" s="136" t="s">
        <v>29</v>
      </c>
      <c r="I17" s="136" t="s">
        <v>29</v>
      </c>
      <c r="J17" s="136" t="s">
        <v>29</v>
      </c>
      <c r="K17" s="136" t="s">
        <v>29</v>
      </c>
      <c r="L17" s="11">
        <v>20.2</v>
      </c>
      <c r="M17" s="11">
        <v>20.5</v>
      </c>
      <c r="N17" s="11">
        <v>21.5</v>
      </c>
      <c r="O17" s="11">
        <v>22.1</v>
      </c>
      <c r="P17" s="9">
        <v>21.8</v>
      </c>
      <c r="Q17" s="9">
        <v>22.7</v>
      </c>
      <c r="R17" s="79">
        <v>22.6</v>
      </c>
      <c r="S17" s="79">
        <v>22.507579810950599</v>
      </c>
      <c r="T17" s="11">
        <v>23.5</v>
      </c>
      <c r="U17" s="11">
        <v>23.2</v>
      </c>
      <c r="V17" s="11">
        <v>22.71</v>
      </c>
      <c r="W17" s="11">
        <v>23.3</v>
      </c>
      <c r="X17" s="11">
        <v>22.075984519483576</v>
      </c>
      <c r="Y17" s="11">
        <v>22.704770477047706</v>
      </c>
      <c r="Z17" s="11">
        <v>21.873139757920519</v>
      </c>
      <c r="AA17" s="15"/>
      <c r="AB17" s="15"/>
      <c r="AC17" s="15"/>
      <c r="AD17" s="15"/>
      <c r="AE17" s="15"/>
    </row>
    <row r="18" spans="1:89" ht="12.95" customHeight="1" x14ac:dyDescent="0.2">
      <c r="C18" s="108" t="str">
        <f>VLOOKUP(32,Textbausteine_405[],Hilfsgrössen!$D$2,FALSE)</f>
        <v>Part de femmes cadres échelon supérieur</v>
      </c>
      <c r="D18" s="1" t="str">
        <f>VLOOKUP(11,Textbausteine_405[],Hilfsgrössen!$D$2,FALSE)</f>
        <v>% des personnes</v>
      </c>
      <c r="E18" s="9" t="s">
        <v>72</v>
      </c>
      <c r="F18" s="9" t="s">
        <v>147</v>
      </c>
      <c r="H18" s="137">
        <v>9.1999999999999993</v>
      </c>
      <c r="I18" s="137">
        <v>10.1</v>
      </c>
      <c r="J18" s="209">
        <v>9.8000000000000007</v>
      </c>
      <c r="K18" s="209">
        <v>9.3000000000000007</v>
      </c>
      <c r="L18" s="203">
        <v>7.7</v>
      </c>
      <c r="M18" s="203">
        <v>8.6999999999999993</v>
      </c>
      <c r="N18" s="203">
        <v>8.1999999999999993</v>
      </c>
      <c r="O18" s="203">
        <v>7.6</v>
      </c>
      <c r="P18" s="192">
        <v>8</v>
      </c>
      <c r="Q18" s="192">
        <v>9.3000000000000007</v>
      </c>
      <c r="R18" s="213">
        <v>11</v>
      </c>
      <c r="S18" s="213">
        <v>12.343849248359099</v>
      </c>
      <c r="T18" s="218">
        <v>12.3</v>
      </c>
      <c r="U18" s="218">
        <v>13.4</v>
      </c>
      <c r="V18" s="218">
        <v>15.96</v>
      </c>
      <c r="W18" s="218">
        <v>17.100000000000001</v>
      </c>
      <c r="X18" s="218">
        <v>19.806851311953348</v>
      </c>
      <c r="Y18" s="11">
        <v>21.614100185528788</v>
      </c>
      <c r="Z18" s="11">
        <v>22.56046705587989</v>
      </c>
      <c r="AA18" s="12"/>
      <c r="AB18" s="12"/>
      <c r="AC18" s="12"/>
      <c r="AD18" s="12"/>
    </row>
    <row r="19" spans="1:89" ht="12.95" customHeight="1" x14ac:dyDescent="0.2">
      <c r="C19" s="138" t="str">
        <f>VLOOKUP(33,Textbausteine_405[],Hilfsgrössen!$D$2,FALSE)</f>
        <v>Part de femmes cadres échelons moyen et inférieur</v>
      </c>
      <c r="D19" s="1" t="str">
        <f>VLOOKUP(11,Textbausteine_405[],Hilfsgrössen!$D$2,FALSE)</f>
        <v>% des personnes</v>
      </c>
      <c r="E19" s="9" t="s">
        <v>69</v>
      </c>
      <c r="F19" s="9" t="s">
        <v>147</v>
      </c>
      <c r="H19" s="136" t="s">
        <v>29</v>
      </c>
      <c r="I19" s="136" t="s">
        <v>29</v>
      </c>
      <c r="J19" s="136" t="s">
        <v>29</v>
      </c>
      <c r="K19" s="136" t="s">
        <v>29</v>
      </c>
      <c r="L19" s="11">
        <v>21.3</v>
      </c>
      <c r="M19" s="14">
        <v>21.5</v>
      </c>
      <c r="N19" s="11">
        <v>22.6</v>
      </c>
      <c r="O19" s="11">
        <v>23.2</v>
      </c>
      <c r="P19" s="9">
        <v>23</v>
      </c>
      <c r="Q19" s="9">
        <v>23.7</v>
      </c>
      <c r="R19" s="79">
        <v>23.6</v>
      </c>
      <c r="S19" s="79">
        <v>23.442460124252602</v>
      </c>
      <c r="T19" s="75">
        <v>24.2</v>
      </c>
      <c r="U19" s="75">
        <v>23.9</v>
      </c>
      <c r="V19" s="75">
        <v>23.22</v>
      </c>
      <c r="W19" s="75">
        <v>23.8</v>
      </c>
      <c r="X19" s="75">
        <v>22.276161388844187</v>
      </c>
      <c r="Y19" s="75">
        <v>22.800718132854598</v>
      </c>
      <c r="Z19" s="75">
        <v>21.813936781609183</v>
      </c>
      <c r="AA19" s="15"/>
      <c r="AB19" s="15"/>
      <c r="AC19" s="15"/>
      <c r="AD19" s="15"/>
      <c r="AE19" s="15"/>
    </row>
    <row r="20" spans="1:89" ht="12.95" customHeight="1" x14ac:dyDescent="0.2">
      <c r="C20" s="108" t="str">
        <f>VLOOKUP(34,Textbausteine_405[],Hilfsgrössen!$D$2,FALSE)</f>
        <v>Part de femmes au Conseil d'administration (CA) de La Poste Suisse SA</v>
      </c>
      <c r="D20" s="1" t="str">
        <f>VLOOKUP(11,Textbausteine_405[],Hilfsgrössen!$D$2,FALSE)</f>
        <v>% des personnes</v>
      </c>
      <c r="E20" s="9">
        <v>1</v>
      </c>
      <c r="F20" s="9" t="s">
        <v>147</v>
      </c>
      <c r="H20" s="139">
        <v>10</v>
      </c>
      <c r="I20" s="139">
        <v>10</v>
      </c>
      <c r="J20" s="139">
        <v>20</v>
      </c>
      <c r="K20" s="139">
        <v>22.2</v>
      </c>
      <c r="L20" s="268">
        <v>20</v>
      </c>
      <c r="M20" s="14">
        <v>25</v>
      </c>
      <c r="N20" s="11">
        <v>22.2</v>
      </c>
      <c r="O20" s="11">
        <v>22.2</v>
      </c>
      <c r="P20" s="80">
        <v>22.2</v>
      </c>
      <c r="Q20" s="9">
        <v>22.2</v>
      </c>
      <c r="R20" s="79">
        <v>33.299999999999997</v>
      </c>
      <c r="S20" s="79">
        <v>33.299999999999997</v>
      </c>
      <c r="T20" s="11">
        <v>33.299999999999997</v>
      </c>
      <c r="U20" s="11">
        <v>33.299999999999997</v>
      </c>
      <c r="V20" s="11">
        <v>33.299999999999997</v>
      </c>
      <c r="W20" s="11">
        <v>33.299999999999997</v>
      </c>
      <c r="X20" s="11">
        <v>33.299999999999997</v>
      </c>
      <c r="Y20" s="11">
        <v>33.333333333333329</v>
      </c>
      <c r="Z20" s="11">
        <v>40.021810250817886</v>
      </c>
      <c r="AA20" s="15"/>
      <c r="AB20" s="15"/>
      <c r="AC20" s="15"/>
      <c r="AD20" s="15"/>
    </row>
    <row r="21" spans="1:89" ht="12.95" customHeight="1" x14ac:dyDescent="0.2">
      <c r="C21" s="108" t="str">
        <f>VLOOKUP(35,Textbausteine_405[],Hilfsgrössen!$D$2,FALSE)</f>
        <v>Part de femmes à la Direction du groupe (DG) La Poste Suisse SA</v>
      </c>
      <c r="D21" s="1" t="str">
        <f>VLOOKUP(11,Textbausteine_405[],Hilfsgrössen!$D$2,FALSE)</f>
        <v>% des personnes</v>
      </c>
      <c r="E21" s="9">
        <v>1</v>
      </c>
      <c r="F21" s="9" t="s">
        <v>147</v>
      </c>
      <c r="H21" s="139">
        <v>0</v>
      </c>
      <c r="I21" s="139">
        <v>0</v>
      </c>
      <c r="J21" s="139">
        <v>0</v>
      </c>
      <c r="K21" s="139">
        <v>0</v>
      </c>
      <c r="L21" s="268">
        <v>0</v>
      </c>
      <c r="M21" s="14">
        <v>0</v>
      </c>
      <c r="N21" s="11">
        <v>0</v>
      </c>
      <c r="O21" s="11">
        <v>0</v>
      </c>
      <c r="P21" s="9">
        <v>11.1</v>
      </c>
      <c r="Q21" s="9">
        <v>12.5</v>
      </c>
      <c r="R21" s="79">
        <v>12.5</v>
      </c>
      <c r="S21" s="79">
        <v>12.1</v>
      </c>
      <c r="T21" s="9">
        <v>11.1</v>
      </c>
      <c r="U21" s="9">
        <v>20.5</v>
      </c>
      <c r="V21" s="9">
        <v>22.86</v>
      </c>
      <c r="W21" s="9">
        <v>11.1</v>
      </c>
      <c r="X21" s="9">
        <v>11.1</v>
      </c>
      <c r="Y21" s="9">
        <v>22.222222222222221</v>
      </c>
      <c r="Z21" s="9">
        <v>22.222222222222221</v>
      </c>
      <c r="AA21" s="15"/>
      <c r="AB21" s="15"/>
      <c r="AC21" s="15"/>
      <c r="AD21" s="15"/>
      <c r="AE21" s="15"/>
    </row>
    <row r="22" spans="1:89" ht="12.95" customHeight="1" x14ac:dyDescent="0.2">
      <c r="C22" s="108" t="str">
        <f>VLOOKUP(36,Textbausteine_405[],Hilfsgrössen!$D$2,FALSE)</f>
        <v>Part de femmes aux CA, à la DG et dans les organes de direction du groupe</v>
      </c>
      <c r="D22" s="1" t="str">
        <f>VLOOKUP(11,Textbausteine_405[],Hilfsgrössen!$D$2,FALSE)</f>
        <v>% des personnes</v>
      </c>
      <c r="E22" s="9" t="s">
        <v>72</v>
      </c>
      <c r="F22" s="9" t="s">
        <v>147</v>
      </c>
      <c r="H22" s="139">
        <v>5.3</v>
      </c>
      <c r="I22" s="139">
        <v>5.3</v>
      </c>
      <c r="J22" s="139">
        <v>10</v>
      </c>
      <c r="K22" s="139">
        <v>11.1</v>
      </c>
      <c r="L22" s="9">
        <v>10.5</v>
      </c>
      <c r="M22" s="14">
        <v>11.8</v>
      </c>
      <c r="N22" s="11">
        <v>11.1</v>
      </c>
      <c r="O22" s="11">
        <v>11.1</v>
      </c>
      <c r="P22" s="9">
        <v>13.5</v>
      </c>
      <c r="Q22" s="9">
        <v>15.8</v>
      </c>
      <c r="R22" s="9">
        <v>18.399999999999999</v>
      </c>
      <c r="S22" s="79">
        <v>18.399999999999999</v>
      </c>
      <c r="T22" s="9">
        <v>21.1</v>
      </c>
      <c r="U22" s="9">
        <v>26.3</v>
      </c>
      <c r="V22" s="9">
        <v>23</v>
      </c>
      <c r="W22" s="9">
        <v>26.4</v>
      </c>
      <c r="X22" s="9">
        <v>25.9</v>
      </c>
      <c r="Y22" s="9">
        <v>28.846153846153843</v>
      </c>
      <c r="Z22" s="9">
        <v>28.30188679245283</v>
      </c>
      <c r="AE22" s="15"/>
    </row>
    <row r="23" spans="1:89" ht="12.95" customHeight="1" x14ac:dyDescent="0.2">
      <c r="C23" s="108"/>
      <c r="H23" s="139"/>
      <c r="I23" s="139"/>
      <c r="J23" s="139"/>
      <c r="K23" s="139"/>
      <c r="M23" s="14"/>
      <c r="N23" s="11"/>
      <c r="O23" s="11"/>
      <c r="S23" s="79"/>
      <c r="T23" s="9"/>
      <c r="U23" s="9"/>
      <c r="V23" s="9"/>
      <c r="W23" s="9"/>
      <c r="X23" s="9"/>
      <c r="Y23" s="9"/>
      <c r="Z23" s="9"/>
      <c r="AE23" s="15"/>
    </row>
    <row r="24" spans="1:89" ht="12.95" customHeight="1" x14ac:dyDescent="0.25">
      <c r="B24" s="266" t="str">
        <f>VLOOKUP(131,Textbausteine_405[],Hilfsgrössen!$D$2,FALSE)</f>
        <v>1) Valeurs annuelles moyennes</v>
      </c>
      <c r="H24" s="49"/>
      <c r="I24" s="49"/>
      <c r="J24" s="49"/>
      <c r="K24" s="49"/>
      <c r="L24" s="49"/>
      <c r="M24" s="49"/>
      <c r="T24" s="9"/>
      <c r="U24" s="9"/>
      <c r="V24" s="9"/>
      <c r="W24" s="9"/>
      <c r="X24" s="9"/>
      <c r="Y24" s="9"/>
      <c r="Z24" s="9"/>
    </row>
    <row r="25" spans="1:89" s="366" customFormat="1" ht="12.95" customHeight="1" x14ac:dyDescent="0.25">
      <c r="A25" s="66"/>
      <c r="B25" s="277" t="str">
        <f>VLOOKUP(132,Textbausteine_405[],Hilfsgrössen!$D$2,FALSE)</f>
        <v>2) Groupe Suisse: données du systèmes du personnel, actuellement sans données sur 1402 unités du personnel ou 5582 personnes des sociétés du groupe B-Sped Logistics (Suisse) SA, Epsilon SA, Direct Mail Company AG, PubliBike SA, Destinas AG, KLARA Business SA, Relatra AG, BPS Speditions-Service AG, Arlesheim, BPS Speditions-Service AG, Pfungen, Walli-Trans AG, ASMIQ AG, notime AG, notime (Suisse) SA, Dialog Verwaltungs-Data AG, SwissSign SA, Tresorit AG, Bring! Labs AG, Livesystems Group SA, Livesystems SA, Livesystems dooh SA, Iemoli Trasporti SA, InTraLog Hermes AG, InTraLog Overseas AG, Otto Schmidt SA, Steriplus AG, Stericenter SA, Mediwar AG, Marcel Blanc et Cie SA, Unblu Inc., Groupe T2i Suisse SA, Hacknowledge SA, Stella Brandenberger Transporte AG, axsana AG, eoscop AG, H. Bucher Internationale Transporte AG, adiacom AG, Kickbag GmbH</v>
      </c>
      <c r="E25" s="367"/>
      <c r="F25" s="367"/>
      <c r="G25" s="368"/>
      <c r="H25" s="49"/>
      <c r="I25" s="49"/>
      <c r="J25" s="49"/>
      <c r="K25" s="49"/>
      <c r="L25" s="49"/>
      <c r="M25" s="49"/>
      <c r="N25" s="367"/>
      <c r="O25" s="367"/>
      <c r="P25" s="367"/>
      <c r="Q25" s="367"/>
      <c r="R25" s="367"/>
      <c r="S25" s="367"/>
      <c r="T25" s="367"/>
      <c r="U25" s="367"/>
      <c r="V25" s="367"/>
      <c r="W25" s="367"/>
      <c r="X25" s="367"/>
      <c r="Y25" s="367"/>
      <c r="Z25" s="367"/>
      <c r="AA25" s="367"/>
      <c r="AB25" s="367"/>
      <c r="AC25" s="367"/>
      <c r="AD25" s="367"/>
      <c r="AE25" s="367"/>
      <c r="AF25" s="367"/>
      <c r="AG25" s="367"/>
      <c r="AH25" s="367"/>
      <c r="AI25" s="367"/>
      <c r="AJ25" s="367"/>
      <c r="AK25" s="367"/>
      <c r="AL25" s="367"/>
      <c r="AM25" s="367"/>
      <c r="AN25" s="367"/>
      <c r="AO25" s="367"/>
      <c r="AP25" s="367"/>
      <c r="AQ25" s="367"/>
      <c r="AR25" s="367"/>
      <c r="AS25" s="367"/>
      <c r="AT25" s="367"/>
      <c r="AU25" s="367"/>
      <c r="AV25" s="367"/>
      <c r="AW25" s="367"/>
      <c r="AX25" s="367"/>
      <c r="AY25" s="367"/>
      <c r="AZ25" s="367"/>
      <c r="BA25" s="367"/>
      <c r="BB25" s="367"/>
      <c r="BC25" s="367"/>
      <c r="BD25" s="367"/>
      <c r="BE25" s="367"/>
      <c r="BF25" s="367"/>
      <c r="BG25" s="367"/>
      <c r="BH25" s="367"/>
      <c r="BI25" s="367"/>
      <c r="BJ25" s="367"/>
      <c r="BK25" s="367"/>
      <c r="BL25" s="367"/>
      <c r="BM25" s="367"/>
      <c r="BN25" s="367"/>
      <c r="BO25" s="367"/>
      <c r="BP25" s="367"/>
      <c r="BQ25" s="367"/>
      <c r="BR25" s="367"/>
      <c r="BS25" s="367"/>
      <c r="BT25" s="367"/>
      <c r="BU25" s="367"/>
      <c r="BV25" s="367"/>
      <c r="BW25" s="367"/>
      <c r="BX25" s="367"/>
      <c r="BY25" s="367"/>
      <c r="BZ25" s="367"/>
      <c r="CA25" s="367"/>
      <c r="CB25" s="367"/>
      <c r="CC25" s="367"/>
      <c r="CD25" s="367"/>
      <c r="CE25" s="367"/>
      <c r="CF25" s="367"/>
      <c r="CG25" s="367"/>
      <c r="CH25" s="367"/>
      <c r="CI25" s="367"/>
      <c r="CJ25" s="367"/>
      <c r="CK25" s="367"/>
    </row>
    <row r="26" spans="1:89" ht="12.95" customHeight="1" x14ac:dyDescent="0.25">
      <c r="B26" s="266" t="str">
        <f>VLOOKUP(133,Textbausteine_405[],Hilfsgrössen!$D$2,FALSE)</f>
        <v>3) Les cadres sont des collaborateurs qui exercent des fonctions de direction ou de spécialistes ou d'autres fonctions supérieures.</v>
      </c>
      <c r="H26" s="49"/>
      <c r="I26" s="49"/>
      <c r="J26" s="49"/>
      <c r="K26" s="49"/>
      <c r="L26" s="49"/>
      <c r="M26" s="49"/>
      <c r="T26" s="9"/>
      <c r="U26" s="9"/>
      <c r="V26" s="9"/>
      <c r="W26" s="9"/>
      <c r="X26" s="9"/>
      <c r="Y26" s="9"/>
      <c r="Z26" s="9"/>
    </row>
    <row r="27" spans="1:89" ht="12.95" customHeight="1" x14ac:dyDescent="0.2">
      <c r="H27" s="49"/>
      <c r="I27" s="49"/>
      <c r="J27" s="49"/>
      <c r="K27" s="49"/>
      <c r="L27" s="49"/>
      <c r="M27" s="49"/>
      <c r="T27" s="9"/>
      <c r="U27" s="9"/>
      <c r="V27" s="9"/>
      <c r="W27" s="9"/>
      <c r="X27" s="9"/>
      <c r="Y27" s="9"/>
      <c r="Z27" s="9"/>
    </row>
    <row r="28" spans="1:89" ht="12.95" customHeight="1" x14ac:dyDescent="0.2">
      <c r="H28" s="49"/>
      <c r="I28" s="49"/>
      <c r="J28" s="49"/>
      <c r="K28" s="49"/>
      <c r="L28" s="49"/>
      <c r="M28" s="49"/>
      <c r="T28" s="9"/>
      <c r="U28" s="9"/>
      <c r="V28" s="9"/>
      <c r="W28" s="9"/>
      <c r="X28" s="9"/>
      <c r="Y28" s="9"/>
      <c r="Z28" s="9"/>
    </row>
    <row r="29" spans="1:89" s="6" customFormat="1" ht="12.95" customHeight="1" x14ac:dyDescent="0.2">
      <c r="A29" s="39" t="s">
        <v>27</v>
      </c>
      <c r="B29" s="401" t="str">
        <f>$C$8</f>
        <v>Diversité linguistique</v>
      </c>
      <c r="C29" s="401"/>
      <c r="D29" s="6" t="str">
        <f>VLOOKUP(32,Textbausteine_Menu[],Hilfsgrössen!$D$2,FALSE)</f>
        <v>Unité</v>
      </c>
      <c r="E29" s="28" t="str">
        <f>VLOOKUP(33,Textbausteine_Menu[],Hilfsgrössen!$D$2,FALSE)</f>
        <v>Notes</v>
      </c>
      <c r="F29" s="28" t="str">
        <f>VLOOKUP(34,Textbausteine_Menu[],Hilfsgrössen!$D$2,FALSE)</f>
        <v>GRI</v>
      </c>
      <c r="G29" s="34"/>
      <c r="H29" s="7">
        <v>2004</v>
      </c>
      <c r="I29" s="7">
        <v>2005</v>
      </c>
      <c r="J29" s="7">
        <v>2006</v>
      </c>
      <c r="K29" s="7">
        <v>2007</v>
      </c>
      <c r="L29" s="7">
        <v>2008</v>
      </c>
      <c r="M29" s="7">
        <v>2009</v>
      </c>
      <c r="N29" s="7">
        <v>2010</v>
      </c>
      <c r="O29" s="7">
        <v>2011</v>
      </c>
      <c r="P29" s="7">
        <v>2012</v>
      </c>
      <c r="Q29" s="7">
        <v>2013</v>
      </c>
      <c r="R29" s="7">
        <v>2014</v>
      </c>
      <c r="S29" s="7">
        <v>2015</v>
      </c>
      <c r="T29" s="7">
        <v>2016</v>
      </c>
      <c r="U29" s="7">
        <v>2017</v>
      </c>
      <c r="V29" s="7">
        <v>2018</v>
      </c>
      <c r="W29" s="7">
        <v>2019</v>
      </c>
      <c r="X29" s="7">
        <v>2020</v>
      </c>
      <c r="Y29" s="7">
        <v>2021</v>
      </c>
      <c r="Z29" s="7">
        <v>2022</v>
      </c>
      <c r="AA29" s="7"/>
      <c r="AB29" s="7"/>
      <c r="AC29" s="7"/>
      <c r="AD29" s="7"/>
      <c r="AE29" s="7"/>
      <c r="AF29" s="28"/>
      <c r="AG29" s="28"/>
      <c r="AH29" s="28"/>
      <c r="AI29" s="28"/>
      <c r="AJ29" s="28"/>
      <c r="AK29" s="28"/>
      <c r="AL29" s="28"/>
      <c r="AM29" s="28"/>
      <c r="AN29" s="28"/>
      <c r="AO29" s="28"/>
      <c r="AP29" s="28"/>
      <c r="AQ29" s="28"/>
      <c r="AR29" s="28"/>
      <c r="AS29" s="28"/>
      <c r="AT29" s="28"/>
      <c r="AU29" s="28"/>
      <c r="AV29" s="28"/>
      <c r="AW29" s="28"/>
      <c r="AX29" s="28"/>
      <c r="AY29" s="28"/>
      <c r="AZ29" s="28"/>
      <c r="BA29" s="28"/>
      <c r="BB29" s="28"/>
      <c r="BC29" s="28"/>
      <c r="BD29" s="28"/>
      <c r="BE29" s="28"/>
      <c r="BF29" s="28"/>
      <c r="BG29" s="28"/>
      <c r="BH29" s="28"/>
      <c r="BI29" s="28"/>
      <c r="BJ29" s="28"/>
      <c r="BK29" s="28"/>
      <c r="BL29" s="28"/>
      <c r="BM29" s="28"/>
      <c r="BN29" s="28"/>
      <c r="BO29" s="28"/>
      <c r="BP29" s="28"/>
      <c r="BQ29" s="28"/>
      <c r="BR29" s="28"/>
      <c r="BS29" s="28"/>
      <c r="BT29" s="28"/>
      <c r="BU29" s="28"/>
      <c r="BV29" s="28"/>
      <c r="BW29" s="28"/>
      <c r="BX29" s="28"/>
      <c r="BY29" s="28"/>
      <c r="BZ29" s="28"/>
      <c r="CA29" s="28"/>
      <c r="CB29" s="28"/>
      <c r="CC29" s="28"/>
      <c r="CD29" s="28"/>
      <c r="CE29" s="28"/>
      <c r="CF29" s="28"/>
      <c r="CG29" s="28"/>
      <c r="CH29" s="28"/>
      <c r="CI29" s="28"/>
      <c r="CJ29" s="28"/>
      <c r="CK29" s="28"/>
    </row>
    <row r="30" spans="1:89" s="6" customFormat="1" ht="12.95" customHeight="1" x14ac:dyDescent="0.2">
      <c r="A30" s="65"/>
      <c r="B30" s="401"/>
      <c r="C30" s="401"/>
      <c r="E30" s="28"/>
      <c r="F30" s="28"/>
      <c r="G30" s="34"/>
      <c r="H30" s="49"/>
      <c r="I30" s="49"/>
      <c r="J30" s="49"/>
      <c r="K30" s="49"/>
      <c r="L30" s="49"/>
      <c r="M30" s="49"/>
      <c r="N30" s="73"/>
      <c r="O30" s="73"/>
      <c r="P30" s="73"/>
      <c r="Q30" s="73"/>
      <c r="R30" s="73"/>
      <c r="S30" s="73"/>
      <c r="T30" s="75"/>
      <c r="U30" s="75"/>
      <c r="V30" s="75"/>
      <c r="W30" s="75"/>
      <c r="X30" s="75"/>
      <c r="Y30" s="75"/>
      <c r="Z30" s="75"/>
      <c r="AA30" s="75"/>
      <c r="AB30" s="75"/>
      <c r="AC30" s="75"/>
      <c r="AD30" s="75"/>
      <c r="AE30" s="75"/>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row>
    <row r="31" spans="1:89" ht="12.95" customHeight="1" x14ac:dyDescent="0.2">
      <c r="B31" s="2"/>
      <c r="E31" s="28"/>
      <c r="F31" s="28"/>
      <c r="G31" s="33"/>
      <c r="H31" s="49"/>
      <c r="I31" s="49"/>
      <c r="J31" s="49"/>
      <c r="K31" s="49"/>
      <c r="L31" s="49"/>
      <c r="M31" s="49"/>
      <c r="AA31" s="11"/>
      <c r="AB31" s="11"/>
      <c r="AC31" s="11"/>
      <c r="AD31" s="11"/>
      <c r="AE31" s="11"/>
    </row>
    <row r="32" spans="1:89" ht="12.95" customHeight="1" x14ac:dyDescent="0.2">
      <c r="B32" s="2" t="str">
        <f>VLOOKUP(37,Textbausteine_Menu[],Hilfsgrössen!$D$2,FALSE)</f>
        <v>Groupe Suisse</v>
      </c>
      <c r="C32" s="2"/>
      <c r="E32" s="10"/>
      <c r="G32" s="33"/>
      <c r="H32" s="51"/>
      <c r="I32" s="51"/>
      <c r="J32" s="51"/>
      <c r="K32" s="51"/>
      <c r="L32" s="51"/>
      <c r="M32" s="51"/>
    </row>
    <row r="33" spans="1:89" ht="12.95" customHeight="1" x14ac:dyDescent="0.2">
      <c r="C33" s="108" t="str">
        <f>VLOOKUP(51,Textbausteine_405[],Hilfsgrössen!$D$2,FALSE)</f>
        <v>Langue maternelle allemande</v>
      </c>
      <c r="D33" s="1" t="str">
        <f>VLOOKUP(11,Textbausteine_405[],Hilfsgrössen!$D$2,FALSE)</f>
        <v>% des personnes</v>
      </c>
      <c r="E33" s="9" t="s">
        <v>69</v>
      </c>
      <c r="F33" s="9" t="s">
        <v>147</v>
      </c>
      <c r="H33" s="131">
        <v>67</v>
      </c>
      <c r="I33" s="131">
        <v>67</v>
      </c>
      <c r="J33" s="131">
        <v>67.099999999999994</v>
      </c>
      <c r="K33" s="131">
        <v>67</v>
      </c>
      <c r="L33" s="99">
        <v>66.900000000000006</v>
      </c>
      <c r="M33" s="125">
        <v>67.599999999999994</v>
      </c>
      <c r="N33" s="9">
        <v>72</v>
      </c>
      <c r="O33" s="9">
        <v>73.099999999999994</v>
      </c>
      <c r="P33" s="9">
        <v>72.099999999999994</v>
      </c>
      <c r="Q33" s="9">
        <v>71.844499999999996</v>
      </c>
      <c r="R33" s="9">
        <v>71.2</v>
      </c>
      <c r="S33" s="9">
        <v>70.7</v>
      </c>
      <c r="T33" s="9">
        <v>70.5</v>
      </c>
      <c r="U33" s="9">
        <v>70.2</v>
      </c>
      <c r="V33" s="9">
        <v>69.81</v>
      </c>
      <c r="W33" s="9">
        <v>68.8</v>
      </c>
      <c r="X33" s="9">
        <v>68.03504722387747</v>
      </c>
      <c r="Y33" s="9">
        <v>55.382239567122369</v>
      </c>
      <c r="Z33" s="9">
        <v>54.144240242979059</v>
      </c>
    </row>
    <row r="34" spans="1:89" ht="12.95" customHeight="1" x14ac:dyDescent="0.2">
      <c r="C34" s="108" t="str">
        <f>VLOOKUP(52,Textbausteine_405[],Hilfsgrössen!$D$2,FALSE)</f>
        <v>Langue maternelle française</v>
      </c>
      <c r="D34" s="1" t="str">
        <f>VLOOKUP(11,Textbausteine_405[],Hilfsgrössen!$D$2,FALSE)</f>
        <v>% des personnes</v>
      </c>
      <c r="E34" s="9" t="s">
        <v>69</v>
      </c>
      <c r="F34" s="9" t="s">
        <v>147</v>
      </c>
      <c r="H34" s="131">
        <v>20.8</v>
      </c>
      <c r="I34" s="131">
        <v>21</v>
      </c>
      <c r="J34" s="131">
        <v>21</v>
      </c>
      <c r="K34" s="131">
        <v>20.9</v>
      </c>
      <c r="L34" s="99">
        <v>20.399999999999999</v>
      </c>
      <c r="M34" s="125">
        <v>20.2</v>
      </c>
      <c r="N34" s="9">
        <v>17.7</v>
      </c>
      <c r="O34" s="9">
        <v>17.5</v>
      </c>
      <c r="P34" s="9">
        <v>17.3</v>
      </c>
      <c r="Q34" s="9">
        <v>17.136150000000001</v>
      </c>
      <c r="R34" s="9">
        <v>17.3</v>
      </c>
      <c r="S34" s="9">
        <v>17.2</v>
      </c>
      <c r="T34" s="9">
        <v>17</v>
      </c>
      <c r="U34" s="9">
        <v>16.8</v>
      </c>
      <c r="V34" s="9">
        <v>16.57</v>
      </c>
      <c r="W34" s="9">
        <v>16.5</v>
      </c>
      <c r="X34" s="9">
        <v>16.390476435572236</v>
      </c>
      <c r="Y34" s="9">
        <v>16.147915818708551</v>
      </c>
      <c r="Z34" s="9">
        <v>16.067022775203785</v>
      </c>
    </row>
    <row r="35" spans="1:89" ht="12.95" customHeight="1" x14ac:dyDescent="0.2">
      <c r="C35" s="108" t="str">
        <f>VLOOKUP(53,Textbausteine_405[],Hilfsgrössen!$D$2,FALSE)</f>
        <v>Langue maternelle italienne</v>
      </c>
      <c r="D35" s="1" t="str">
        <f>VLOOKUP(11,Textbausteine_405[],Hilfsgrössen!$D$2,FALSE)</f>
        <v>% des personnes</v>
      </c>
      <c r="E35" s="9" t="s">
        <v>69</v>
      </c>
      <c r="F35" s="9" t="s">
        <v>147</v>
      </c>
      <c r="H35" s="131">
        <v>7.5</v>
      </c>
      <c r="I35" s="131">
        <v>7.5</v>
      </c>
      <c r="J35" s="131">
        <v>7.5</v>
      </c>
      <c r="K35" s="131">
        <v>7.4</v>
      </c>
      <c r="L35" s="99">
        <v>7.2</v>
      </c>
      <c r="M35" s="125">
        <v>7</v>
      </c>
      <c r="N35" s="9">
        <v>6</v>
      </c>
      <c r="O35" s="9">
        <v>5.8</v>
      </c>
      <c r="P35" s="9">
        <v>5.8</v>
      </c>
      <c r="Q35" s="9">
        <v>5.8</v>
      </c>
      <c r="R35" s="9">
        <v>5.9</v>
      </c>
      <c r="S35" s="9">
        <v>6</v>
      </c>
      <c r="T35" s="9">
        <v>6</v>
      </c>
      <c r="U35" s="9">
        <v>6</v>
      </c>
      <c r="V35" s="9">
        <v>6.03</v>
      </c>
      <c r="W35" s="9">
        <v>6.07</v>
      </c>
      <c r="X35" s="9">
        <v>6.2175960660956173</v>
      </c>
      <c r="Y35" s="9">
        <v>6.3975945922219211</v>
      </c>
      <c r="Z35" s="9">
        <v>6.5581512755579938</v>
      </c>
    </row>
    <row r="36" spans="1:89" ht="12.95" customHeight="1" x14ac:dyDescent="0.2">
      <c r="C36" s="108" t="str">
        <f>VLOOKUP(54,Textbausteine_405[],Hilfsgrössen!$D$2,FALSE)</f>
        <v>Langue maternelle romanche</v>
      </c>
      <c r="D36" s="1" t="str">
        <f>VLOOKUP(11,Textbausteine_405[],Hilfsgrössen!$D$2,FALSE)</f>
        <v>% des personnes</v>
      </c>
      <c r="E36" s="9" t="s">
        <v>69</v>
      </c>
      <c r="F36" s="9" t="s">
        <v>147</v>
      </c>
      <c r="H36" s="140">
        <v>1.1000000000000001</v>
      </c>
      <c r="I36" s="141">
        <v>0.9</v>
      </c>
      <c r="J36" s="141">
        <v>0.8</v>
      </c>
      <c r="K36" s="141">
        <v>0.7</v>
      </c>
      <c r="L36" s="140">
        <v>0.7</v>
      </c>
      <c r="M36" s="140">
        <v>0.6</v>
      </c>
      <c r="N36" s="9">
        <v>0.5</v>
      </c>
      <c r="O36" s="9">
        <v>0.4</v>
      </c>
      <c r="P36" s="9">
        <v>0.4</v>
      </c>
      <c r="Q36" s="9">
        <v>0.4</v>
      </c>
      <c r="R36" s="9">
        <v>0.4</v>
      </c>
      <c r="S36" s="9">
        <v>0.4</v>
      </c>
      <c r="T36" s="9">
        <v>0.4</v>
      </c>
      <c r="U36" s="9">
        <v>0.4</v>
      </c>
      <c r="V36" s="9">
        <v>0.37</v>
      </c>
      <c r="W36" s="9">
        <v>0.36</v>
      </c>
      <c r="X36" s="9">
        <v>0.35494618398208944</v>
      </c>
      <c r="Y36" s="9">
        <v>0.32222408440475259</v>
      </c>
      <c r="Z36" s="9">
        <v>0.32835541369118004</v>
      </c>
    </row>
    <row r="37" spans="1:89" ht="12.95" customHeight="1" x14ac:dyDescent="0.2">
      <c r="C37" s="108" t="str">
        <f>VLOOKUP(55,Textbausteine_405[],Hilfsgrössen!$D$2,FALSE)</f>
        <v>Autre langue maternelle</v>
      </c>
      <c r="D37" s="1" t="str">
        <f>VLOOKUP(11,Textbausteine_405[],Hilfsgrössen!$D$2,FALSE)</f>
        <v>% des personnes</v>
      </c>
      <c r="E37" s="9" t="s">
        <v>69</v>
      </c>
      <c r="F37" s="9" t="s">
        <v>147</v>
      </c>
      <c r="H37" s="131">
        <v>3.6000000000000085</v>
      </c>
      <c r="I37" s="131">
        <v>3.5999999999999943</v>
      </c>
      <c r="J37" s="131">
        <v>3.6000000000000085</v>
      </c>
      <c r="K37" s="131">
        <v>3.9999999999999858</v>
      </c>
      <c r="L37" s="131">
        <v>4.7999999999999829</v>
      </c>
      <c r="M37" s="131">
        <v>4.6000000000000085</v>
      </c>
      <c r="N37" s="9">
        <v>3.8</v>
      </c>
      <c r="O37" s="9">
        <v>3.2000000000000028</v>
      </c>
      <c r="P37" s="9">
        <v>4.4000000000000004</v>
      </c>
      <c r="Q37" s="9">
        <v>4.8</v>
      </c>
      <c r="R37" s="9">
        <v>5.3</v>
      </c>
      <c r="S37" s="9">
        <v>5.7</v>
      </c>
      <c r="T37" s="9">
        <v>6.1</v>
      </c>
      <c r="U37" s="9">
        <v>6.6</v>
      </c>
      <c r="V37" s="9">
        <v>7.23</v>
      </c>
      <c r="W37" s="9">
        <v>8.18</v>
      </c>
      <c r="X37" s="9">
        <v>9.0019340904726057</v>
      </c>
      <c r="Y37" s="311">
        <v>21.750025937542414</v>
      </c>
      <c r="Z37" s="311">
        <v>22.902230292567975</v>
      </c>
    </row>
    <row r="38" spans="1:89" ht="12.95" customHeight="1" x14ac:dyDescent="0.2">
      <c r="C38" s="108"/>
      <c r="H38" s="131"/>
      <c r="I38" s="131"/>
      <c r="J38" s="131"/>
      <c r="K38" s="131"/>
      <c r="L38" s="131"/>
      <c r="M38" s="131"/>
      <c r="T38" s="79"/>
      <c r="U38" s="79"/>
      <c r="V38" s="79"/>
      <c r="W38" s="79"/>
      <c r="X38" s="79"/>
      <c r="Y38" s="79"/>
      <c r="Z38" s="79"/>
    </row>
    <row r="39" spans="1:89" ht="12.95" customHeight="1" x14ac:dyDescent="0.25">
      <c r="B39" s="266" t="str">
        <f>VLOOKUP(141,Textbausteine_405[],Hilfsgrössen!$D$2,FALSE)</f>
        <v>1) Valeurs annuelles moyennes</v>
      </c>
      <c r="H39" s="49"/>
      <c r="I39" s="49"/>
      <c r="J39" s="49"/>
      <c r="K39" s="49"/>
      <c r="L39" s="49"/>
      <c r="M39" s="49"/>
      <c r="T39" s="9"/>
      <c r="U39" s="9"/>
      <c r="V39" s="9"/>
      <c r="W39" s="9"/>
      <c r="X39" s="9"/>
      <c r="Y39" s="9"/>
      <c r="Z39" s="9"/>
    </row>
    <row r="40" spans="1:89" s="366" customFormat="1" ht="12.95" customHeight="1" x14ac:dyDescent="0.25">
      <c r="A40" s="66"/>
      <c r="B40" s="277" t="str">
        <f>VLOOKUP(142,Textbausteine_405[],Hilfsgrössen!$D$2,FALSE)</f>
        <v>2) Groupe Suisse: données du systèmes du personnel, actuellement sans données sur 1402 unités du personnel ou 5582 personnes des sociétés du groupe B-Sped Logistics (Suisse) SA, Epsilon SA, Direct Mail Company AG, PubliBike SA, Destinas AG, KLARA Business SA, Relatra AG, BPS Speditions-Service AG, Arlesheim, BPS Speditions-Service AG, Pfungen, Walli-Trans AG, ASMIQ AG, notime AG, notime (Suisse) SA, Dialog Verwaltungs-Data AG, SwissSign SA, Tresorit AG, Bring! Labs AG, Livesystems Group SA, Livesystems SA, Livesystems dooh SA, Iemoli Trasporti SA, InTraLog Hermes AG, InTraLog Overseas AG, Otto Schmidt SA, Steriplus AG, Stericenter SA, Mediwar AG, Marcel Blanc et Cie SA, Unblu Inc., Groupe T2i Suisse SA, Hacknowledge SA, Stella Brandenberger Transporte AG, axsana AG, eoscop AG, H. Bucher Internationale Transporte AG, adiacom AG, Kickbag GmbH</v>
      </c>
      <c r="E40" s="367"/>
      <c r="F40" s="367"/>
      <c r="G40" s="368"/>
      <c r="H40" s="49"/>
      <c r="I40" s="49"/>
      <c r="J40" s="49"/>
      <c r="K40" s="49"/>
      <c r="L40" s="49"/>
      <c r="M40" s="49"/>
      <c r="N40" s="367"/>
      <c r="O40" s="367"/>
      <c r="P40" s="367"/>
      <c r="Q40" s="367"/>
      <c r="R40" s="367"/>
      <c r="S40" s="367"/>
      <c r="T40" s="367"/>
      <c r="U40" s="367"/>
      <c r="V40" s="367"/>
      <c r="W40" s="367"/>
      <c r="X40" s="367"/>
      <c r="Y40" s="367"/>
      <c r="Z40" s="367"/>
      <c r="AA40" s="367"/>
      <c r="AB40" s="367"/>
      <c r="AC40" s="367"/>
      <c r="AD40" s="367"/>
      <c r="AE40" s="367"/>
      <c r="AF40" s="367"/>
      <c r="AG40" s="367"/>
      <c r="AH40" s="367"/>
      <c r="AI40" s="367"/>
      <c r="AJ40" s="367"/>
      <c r="AK40" s="367"/>
      <c r="AL40" s="367"/>
      <c r="AM40" s="367"/>
      <c r="AN40" s="367"/>
      <c r="AO40" s="367"/>
      <c r="AP40" s="367"/>
      <c r="AQ40" s="367"/>
      <c r="AR40" s="367"/>
      <c r="AS40" s="367"/>
      <c r="AT40" s="367"/>
      <c r="AU40" s="367"/>
      <c r="AV40" s="367"/>
      <c r="AW40" s="367"/>
      <c r="AX40" s="367"/>
      <c r="AY40" s="367"/>
      <c r="AZ40" s="367"/>
      <c r="BA40" s="367"/>
      <c r="BB40" s="367"/>
      <c r="BC40" s="367"/>
      <c r="BD40" s="367"/>
      <c r="BE40" s="367"/>
      <c r="BF40" s="367"/>
      <c r="BG40" s="367"/>
      <c r="BH40" s="367"/>
      <c r="BI40" s="367"/>
      <c r="BJ40" s="367"/>
      <c r="BK40" s="367"/>
      <c r="BL40" s="367"/>
      <c r="BM40" s="367"/>
      <c r="BN40" s="367"/>
      <c r="BO40" s="367"/>
      <c r="BP40" s="367"/>
      <c r="BQ40" s="367"/>
      <c r="BR40" s="367"/>
      <c r="BS40" s="367"/>
      <c r="BT40" s="367"/>
      <c r="BU40" s="367"/>
      <c r="BV40" s="367"/>
      <c r="BW40" s="367"/>
      <c r="BX40" s="367"/>
      <c r="BY40" s="367"/>
      <c r="BZ40" s="367"/>
      <c r="CA40" s="367"/>
      <c r="CB40" s="367"/>
      <c r="CC40" s="367"/>
      <c r="CD40" s="367"/>
      <c r="CE40" s="367"/>
      <c r="CF40" s="367"/>
      <c r="CG40" s="367"/>
      <c r="CH40" s="367"/>
      <c r="CI40" s="367"/>
      <c r="CJ40" s="367"/>
      <c r="CK40" s="367"/>
    </row>
    <row r="41" spans="1:89" ht="12.95" customHeight="1" x14ac:dyDescent="0.25">
      <c r="B41" s="266" t="str">
        <f>VLOOKUP(143,Textbausteine_405[],Hilfsgrössen!$D$2,FALSE)</f>
        <v>3) Sans les apprentis</v>
      </c>
      <c r="H41" s="49"/>
      <c r="I41" s="49"/>
      <c r="J41" s="49"/>
      <c r="K41" s="49"/>
      <c r="L41" s="49"/>
      <c r="M41" s="49"/>
      <c r="T41" s="9"/>
      <c r="U41" s="9"/>
      <c r="V41" s="9"/>
      <c r="W41" s="9"/>
      <c r="X41" s="9"/>
      <c r="Y41" s="9"/>
      <c r="Z41" s="9"/>
    </row>
    <row r="42" spans="1:89" ht="12.95" customHeight="1" x14ac:dyDescent="0.2">
      <c r="C42" s="108"/>
      <c r="H42" s="131"/>
      <c r="I42" s="131"/>
      <c r="J42" s="131"/>
      <c r="K42" s="131"/>
      <c r="L42" s="131"/>
      <c r="M42" s="131"/>
      <c r="T42" s="79"/>
      <c r="U42" s="79"/>
      <c r="V42" s="79"/>
      <c r="W42" s="79"/>
      <c r="X42" s="79"/>
      <c r="Y42" s="79"/>
      <c r="Z42" s="79"/>
    </row>
    <row r="43" spans="1:89" ht="12.95" customHeight="1" x14ac:dyDescent="0.2">
      <c r="T43" s="79"/>
      <c r="U43" s="79"/>
      <c r="V43" s="79"/>
      <c r="W43" s="79"/>
      <c r="X43" s="79"/>
      <c r="Y43" s="79"/>
      <c r="Z43" s="79"/>
    </row>
    <row r="44" spans="1:89" s="6" customFormat="1" ht="12.95" customHeight="1" x14ac:dyDescent="0.2">
      <c r="A44" s="39" t="s">
        <v>27</v>
      </c>
      <c r="B44" s="401" t="str">
        <f>$C$9</f>
        <v>Nationalité</v>
      </c>
      <c r="C44" s="401"/>
      <c r="D44" s="6" t="str">
        <f>VLOOKUP(32,Textbausteine_Menu[],Hilfsgrössen!$D$2,FALSE)</f>
        <v>Unité</v>
      </c>
      <c r="E44" s="28" t="str">
        <f>VLOOKUP(33,Textbausteine_Menu[],Hilfsgrössen!$D$2,FALSE)</f>
        <v>Notes</v>
      </c>
      <c r="F44" s="28" t="str">
        <f>VLOOKUP(34,Textbausteine_Menu[],Hilfsgrössen!$D$2,FALSE)</f>
        <v>GRI</v>
      </c>
      <c r="G44" s="34"/>
      <c r="H44" s="7">
        <v>2004</v>
      </c>
      <c r="I44" s="7">
        <v>2005</v>
      </c>
      <c r="J44" s="7">
        <v>2006</v>
      </c>
      <c r="K44" s="7">
        <v>2007</v>
      </c>
      <c r="L44" s="7">
        <v>2008</v>
      </c>
      <c r="M44" s="7">
        <v>2009</v>
      </c>
      <c r="N44" s="7">
        <v>2010</v>
      </c>
      <c r="O44" s="7">
        <v>2011</v>
      </c>
      <c r="P44" s="7">
        <v>2012</v>
      </c>
      <c r="Q44" s="7">
        <v>2013</v>
      </c>
      <c r="R44" s="7">
        <v>2014</v>
      </c>
      <c r="S44" s="7">
        <v>2015</v>
      </c>
      <c r="T44" s="7">
        <v>2016</v>
      </c>
      <c r="U44" s="7">
        <v>2017</v>
      </c>
      <c r="V44" s="7">
        <v>2018</v>
      </c>
      <c r="W44" s="7">
        <v>2019</v>
      </c>
      <c r="X44" s="7">
        <v>2020</v>
      </c>
      <c r="Y44" s="7">
        <v>2021</v>
      </c>
      <c r="Z44" s="7">
        <v>2022</v>
      </c>
      <c r="AA44" s="7"/>
      <c r="AB44" s="7"/>
      <c r="AC44" s="7"/>
      <c r="AD44" s="7"/>
      <c r="AE44" s="7"/>
      <c r="AF44" s="28"/>
      <c r="AG44" s="28"/>
      <c r="AH44" s="28"/>
      <c r="AI44" s="28"/>
      <c r="AJ44" s="28"/>
      <c r="AK44" s="28"/>
      <c r="AL44" s="28"/>
      <c r="AM44" s="28"/>
      <c r="AN44" s="28"/>
      <c r="AO44" s="28"/>
      <c r="AP44" s="28"/>
      <c r="AQ44" s="28"/>
      <c r="AR44" s="28"/>
      <c r="AS44" s="28"/>
      <c r="AT44" s="28"/>
      <c r="AU44" s="28"/>
      <c r="AV44" s="28"/>
      <c r="AW44" s="28"/>
      <c r="AX44" s="28"/>
      <c r="AY44" s="28"/>
      <c r="AZ44" s="28"/>
      <c r="BA44" s="28"/>
      <c r="BB44" s="28"/>
      <c r="BC44" s="28"/>
      <c r="BD44" s="28"/>
      <c r="BE44" s="28"/>
      <c r="BF44" s="28"/>
      <c r="BG44" s="28"/>
      <c r="BH44" s="28"/>
      <c r="BI44" s="28"/>
      <c r="BJ44" s="28"/>
      <c r="BK44" s="28"/>
      <c r="BL44" s="28"/>
      <c r="BM44" s="28"/>
      <c r="BN44" s="28"/>
      <c r="BO44" s="28"/>
      <c r="BP44" s="28"/>
      <c r="BQ44" s="28"/>
      <c r="BR44" s="28"/>
      <c r="BS44" s="28"/>
      <c r="BT44" s="28"/>
      <c r="BU44" s="28"/>
      <c r="BV44" s="28"/>
      <c r="BW44" s="28"/>
      <c r="BX44" s="28"/>
      <c r="BY44" s="28"/>
      <c r="BZ44" s="28"/>
      <c r="CA44" s="28"/>
      <c r="CB44" s="28"/>
      <c r="CC44" s="28"/>
      <c r="CD44" s="28"/>
      <c r="CE44" s="28"/>
      <c r="CF44" s="28"/>
      <c r="CG44" s="28"/>
      <c r="CH44" s="28"/>
      <c r="CI44" s="28"/>
      <c r="CJ44" s="28"/>
      <c r="CK44" s="28"/>
    </row>
    <row r="45" spans="1:89" s="6" customFormat="1" ht="12.95" customHeight="1" x14ac:dyDescent="0.2">
      <c r="A45" s="65"/>
      <c r="B45" s="401"/>
      <c r="C45" s="401"/>
      <c r="E45" s="28"/>
      <c r="F45" s="28"/>
      <c r="G45" s="34"/>
      <c r="H45" s="49"/>
      <c r="I45" s="49"/>
      <c r="J45" s="49"/>
      <c r="K45" s="49"/>
      <c r="L45" s="49"/>
      <c r="M45" s="49"/>
      <c r="N45" s="73"/>
      <c r="O45" s="73"/>
      <c r="P45" s="73"/>
      <c r="Q45" s="73"/>
      <c r="R45" s="73"/>
      <c r="S45" s="73"/>
      <c r="T45" s="75"/>
      <c r="U45" s="75"/>
      <c r="V45" s="75"/>
      <c r="W45" s="75"/>
      <c r="X45" s="75"/>
      <c r="Y45" s="75"/>
      <c r="Z45" s="75"/>
      <c r="AA45" s="75"/>
      <c r="AB45" s="75"/>
      <c r="AC45" s="75"/>
      <c r="AD45" s="75"/>
      <c r="AE45" s="75"/>
      <c r="AF45" s="73"/>
      <c r="AG45" s="73"/>
      <c r="AH45" s="73"/>
      <c r="AI45" s="73"/>
      <c r="AJ45" s="73"/>
      <c r="AK45" s="73"/>
      <c r="AL45" s="73"/>
      <c r="AM45" s="73"/>
      <c r="AN45" s="73"/>
      <c r="AO45" s="73"/>
      <c r="AP45" s="73"/>
      <c r="AQ45" s="73"/>
      <c r="AR45" s="73"/>
      <c r="AS45" s="73"/>
      <c r="AT45" s="73"/>
      <c r="AU45" s="73"/>
      <c r="AV45" s="73"/>
      <c r="AW45" s="73"/>
      <c r="AX45" s="73"/>
      <c r="AY45" s="73"/>
      <c r="AZ45" s="73"/>
      <c r="BA45" s="73"/>
      <c r="BB45" s="73"/>
      <c r="BC45" s="73"/>
      <c r="BD45" s="73"/>
      <c r="BE45" s="73"/>
      <c r="BF45" s="73"/>
      <c r="BG45" s="73"/>
      <c r="BH45" s="73"/>
      <c r="BI45" s="73"/>
      <c r="BJ45" s="73"/>
      <c r="BK45" s="73"/>
      <c r="BL45" s="73"/>
      <c r="BM45" s="73"/>
      <c r="BN45" s="73"/>
      <c r="BO45" s="73"/>
      <c r="BP45" s="73"/>
      <c r="BQ45" s="73"/>
      <c r="BR45" s="73"/>
      <c r="BS45" s="73"/>
      <c r="BT45" s="73"/>
      <c r="BU45" s="73"/>
      <c r="BV45" s="73"/>
      <c r="BW45" s="73"/>
      <c r="BX45" s="73"/>
      <c r="BY45" s="73"/>
      <c r="BZ45" s="73"/>
      <c r="CA45" s="73"/>
      <c r="CB45" s="73"/>
      <c r="CC45" s="73"/>
      <c r="CD45" s="73"/>
      <c r="CE45" s="73"/>
      <c r="CF45" s="73"/>
      <c r="CG45" s="73"/>
      <c r="CH45" s="73"/>
      <c r="CI45" s="73"/>
      <c r="CJ45" s="73"/>
      <c r="CK45" s="73"/>
    </row>
    <row r="46" spans="1:89" ht="12.95" customHeight="1" x14ac:dyDescent="0.2">
      <c r="B46" s="2"/>
      <c r="E46" s="28"/>
      <c r="F46" s="28"/>
      <c r="G46" s="33"/>
      <c r="H46" s="49"/>
      <c r="I46" s="49"/>
      <c r="J46" s="49"/>
      <c r="K46" s="49"/>
      <c r="L46" s="49"/>
      <c r="M46" s="49"/>
      <c r="AA46" s="11"/>
      <c r="AB46" s="11"/>
      <c r="AC46" s="11"/>
      <c r="AD46" s="11"/>
      <c r="AE46" s="11"/>
    </row>
    <row r="47" spans="1:89" ht="12.95" customHeight="1" x14ac:dyDescent="0.2">
      <c r="B47" s="2" t="str">
        <f>VLOOKUP(37,Textbausteine_Menu[],Hilfsgrössen!$D$2,FALSE)</f>
        <v>Groupe Suisse</v>
      </c>
      <c r="C47" s="2"/>
      <c r="E47" s="10"/>
      <c r="G47" s="33"/>
      <c r="H47" s="49"/>
      <c r="I47" s="49"/>
      <c r="J47" s="49"/>
      <c r="K47" s="49"/>
      <c r="L47" s="49"/>
      <c r="M47" s="49"/>
    </row>
    <row r="48" spans="1:89" ht="12.95" customHeight="1" x14ac:dyDescent="0.2">
      <c r="C48" s="108" t="str">
        <f>VLOOKUP(71,Textbausteine_405[],Hilfsgrössen!$D$2,FALSE)</f>
        <v>Suisse</v>
      </c>
      <c r="D48" s="1" t="str">
        <f>VLOOKUP(11,Textbausteine_405[],Hilfsgrössen!$D$2,FALSE)</f>
        <v>% des personnes</v>
      </c>
      <c r="E48" s="9" t="s">
        <v>69</v>
      </c>
      <c r="F48" s="11" t="s">
        <v>147</v>
      </c>
      <c r="H48" s="131">
        <v>89.1</v>
      </c>
      <c r="I48" s="131">
        <v>89.4</v>
      </c>
      <c r="J48" s="131">
        <v>89.6</v>
      </c>
      <c r="K48" s="131">
        <v>89.8</v>
      </c>
      <c r="L48" s="125">
        <v>88.8</v>
      </c>
      <c r="M48" s="125">
        <v>88.1</v>
      </c>
      <c r="N48" s="9">
        <v>87</v>
      </c>
      <c r="O48" s="9">
        <v>86.4</v>
      </c>
      <c r="P48" s="9">
        <v>85.7</v>
      </c>
      <c r="Q48" s="9">
        <v>85.1</v>
      </c>
      <c r="R48" s="9">
        <v>84.6</v>
      </c>
      <c r="S48" s="9">
        <v>84.1</v>
      </c>
      <c r="T48" s="9">
        <v>83.5</v>
      </c>
      <c r="U48" s="9">
        <v>82.9</v>
      </c>
      <c r="V48" s="9">
        <v>82.27</v>
      </c>
      <c r="W48" s="9">
        <v>81.400000000000006</v>
      </c>
      <c r="X48" s="9">
        <v>80.529232084917922</v>
      </c>
      <c r="Y48" s="9">
        <v>78.868285169312387</v>
      </c>
      <c r="Z48" s="9">
        <v>77.223574819435129</v>
      </c>
    </row>
    <row r="49" spans="1:89" ht="12.95" customHeight="1" x14ac:dyDescent="0.2">
      <c r="C49" s="108" t="str">
        <f>VLOOKUP(72,Textbausteine_405[],Hilfsgrössen!$D$2,FALSE)</f>
        <v>Etranger</v>
      </c>
      <c r="D49" s="1" t="str">
        <f>VLOOKUP(11,Textbausteine_405[],Hilfsgrössen!$D$2,FALSE)</f>
        <v>% des personnes</v>
      </c>
      <c r="E49" s="9" t="s">
        <v>69</v>
      </c>
      <c r="F49" s="9" t="s">
        <v>147</v>
      </c>
      <c r="G49" s="267"/>
      <c r="H49" s="131">
        <v>10.9</v>
      </c>
      <c r="I49" s="131">
        <v>10.6</v>
      </c>
      <c r="J49" s="131">
        <v>10.4</v>
      </c>
      <c r="K49" s="131">
        <v>10.199999999999999</v>
      </c>
      <c r="L49" s="125">
        <v>11.2</v>
      </c>
      <c r="M49" s="125">
        <v>11.9</v>
      </c>
      <c r="N49" s="9">
        <v>13</v>
      </c>
      <c r="O49" s="9">
        <v>13.6</v>
      </c>
      <c r="P49" s="9">
        <v>14.299999999999997</v>
      </c>
      <c r="Q49" s="9">
        <v>14.9</v>
      </c>
      <c r="R49" s="9">
        <v>15.4</v>
      </c>
      <c r="S49" s="9">
        <v>15.900000000000006</v>
      </c>
      <c r="T49" s="9">
        <v>16.5</v>
      </c>
      <c r="U49" s="9">
        <v>17.100000000000001</v>
      </c>
      <c r="V49" s="9">
        <v>17.73</v>
      </c>
      <c r="W49" s="9">
        <v>18.600000000000001</v>
      </c>
      <c r="X49" s="9">
        <v>19.470767915082078</v>
      </c>
      <c r="Y49" s="9">
        <v>21.131714830687624</v>
      </c>
      <c r="Z49" s="9">
        <v>22.776425180564878</v>
      </c>
    </row>
    <row r="50" spans="1:89" ht="12.95" customHeight="1" x14ac:dyDescent="0.2">
      <c r="C50" s="142" t="str">
        <f>VLOOKUP(73,Textbausteine_405[],Hilfsgrössen!$D$2,FALSE)</f>
        <v>Italie</v>
      </c>
      <c r="D50" s="1" t="str">
        <f>VLOOKUP(11,Textbausteine_405[],Hilfsgrössen!$D$2,FALSE)</f>
        <v>% des personnes</v>
      </c>
      <c r="E50" s="9" t="s">
        <v>69</v>
      </c>
      <c r="F50" s="9" t="s">
        <v>147</v>
      </c>
      <c r="H50" s="131">
        <v>35</v>
      </c>
      <c r="I50" s="131">
        <v>35.1</v>
      </c>
      <c r="J50" s="131">
        <v>34.6</v>
      </c>
      <c r="K50" s="131">
        <v>34.299999999999997</v>
      </c>
      <c r="L50" s="99">
        <v>31.2</v>
      </c>
      <c r="M50" s="125">
        <v>29.2</v>
      </c>
      <c r="N50" s="9">
        <v>27.1</v>
      </c>
      <c r="O50" s="9">
        <v>25.9</v>
      </c>
      <c r="P50" s="9">
        <v>24.7</v>
      </c>
      <c r="Q50" s="9">
        <v>23.4</v>
      </c>
      <c r="R50" s="9">
        <v>23</v>
      </c>
      <c r="S50" s="9">
        <v>22.6</v>
      </c>
      <c r="T50" s="9">
        <v>22.1</v>
      </c>
      <c r="U50" s="9">
        <v>21.4</v>
      </c>
      <c r="V50" s="9">
        <v>20.79</v>
      </c>
      <c r="W50" s="9">
        <v>19.7</v>
      </c>
      <c r="X50" s="9">
        <v>19.305380454674896</v>
      </c>
      <c r="Y50" s="9">
        <v>18.836214628988017</v>
      </c>
      <c r="Z50" s="9">
        <v>18.313283163219772</v>
      </c>
    </row>
    <row r="51" spans="1:89" ht="12.95" customHeight="1" x14ac:dyDescent="0.2">
      <c r="C51" s="142" t="str">
        <f>VLOOKUP(74,Textbausteine_405[],Hilfsgrössen!$D$2,FALSE)</f>
        <v>Allemagne</v>
      </c>
      <c r="D51" s="1" t="str">
        <f>VLOOKUP(11,Textbausteine_405[],Hilfsgrössen!$D$2,FALSE)</f>
        <v>% des personnes</v>
      </c>
      <c r="E51" s="9" t="s">
        <v>69</v>
      </c>
      <c r="F51" s="9" t="s">
        <v>147</v>
      </c>
      <c r="H51" s="131">
        <v>3.7</v>
      </c>
      <c r="I51" s="131">
        <v>4.4000000000000004</v>
      </c>
      <c r="J51" s="131">
        <v>5.2</v>
      </c>
      <c r="K51" s="131">
        <v>6.5</v>
      </c>
      <c r="L51" s="99">
        <v>8.4</v>
      </c>
      <c r="M51" s="125">
        <v>10.3</v>
      </c>
      <c r="N51" s="9">
        <v>10.199999999999999</v>
      </c>
      <c r="O51" s="9">
        <v>11.1</v>
      </c>
      <c r="P51" s="9">
        <v>11.6</v>
      </c>
      <c r="Q51" s="9">
        <v>12</v>
      </c>
      <c r="R51" s="9">
        <v>12.1</v>
      </c>
      <c r="S51" s="9">
        <v>12.2</v>
      </c>
      <c r="T51" s="9">
        <v>12.3</v>
      </c>
      <c r="U51" s="9">
        <v>12.4</v>
      </c>
      <c r="V51" s="9">
        <v>12.58</v>
      </c>
      <c r="W51" s="9">
        <v>12.45</v>
      </c>
      <c r="X51" s="9">
        <v>12.665216153564614</v>
      </c>
      <c r="Y51" s="9">
        <v>12.636786796710521</v>
      </c>
      <c r="Z51" s="9">
        <v>12.344708006363666</v>
      </c>
    </row>
    <row r="52" spans="1:89" ht="12.95" customHeight="1" x14ac:dyDescent="0.2">
      <c r="C52" s="142" t="str">
        <f>VLOOKUP(75,Textbausteine_405[],Hilfsgrössen!$D$2,FALSE)</f>
        <v>Espagne</v>
      </c>
      <c r="D52" s="1" t="str">
        <f>VLOOKUP(11,Textbausteine_405[],Hilfsgrössen!$D$2,FALSE)</f>
        <v>% des personnes</v>
      </c>
      <c r="E52" s="9" t="s">
        <v>69</v>
      </c>
      <c r="F52" s="11" t="s">
        <v>147</v>
      </c>
      <c r="H52" s="131">
        <v>15.8</v>
      </c>
      <c r="I52" s="131">
        <v>14.9</v>
      </c>
      <c r="J52" s="131">
        <v>13.9</v>
      </c>
      <c r="K52" s="131">
        <v>12.1</v>
      </c>
      <c r="L52" s="99">
        <v>9.6999999999999993</v>
      </c>
      <c r="M52" s="125">
        <v>8.8000000000000007</v>
      </c>
      <c r="N52" s="9">
        <v>7.7</v>
      </c>
      <c r="O52" s="9">
        <v>7.2</v>
      </c>
      <c r="P52" s="9">
        <v>7</v>
      </c>
      <c r="Q52" s="9">
        <v>6.6</v>
      </c>
      <c r="R52" s="9">
        <v>6.4</v>
      </c>
      <c r="S52" s="9">
        <v>6.2</v>
      </c>
      <c r="T52" s="9">
        <v>5.8</v>
      </c>
      <c r="U52" s="9">
        <v>5.6</v>
      </c>
      <c r="V52" s="9">
        <v>5.37</v>
      </c>
      <c r="W52" s="9">
        <v>4.91</v>
      </c>
      <c r="X52" s="9">
        <v>4.6982390499817148</v>
      </c>
      <c r="Y52" s="9">
        <v>4.5084172858856064</v>
      </c>
      <c r="Z52" s="9">
        <v>4.8710294406807142</v>
      </c>
    </row>
    <row r="53" spans="1:89" ht="12.95" customHeight="1" x14ac:dyDescent="0.2">
      <c r="C53" s="142" t="str">
        <f>VLOOKUP(76,Textbausteine_405[],Hilfsgrössen!$D$2,FALSE)</f>
        <v>Portugal</v>
      </c>
      <c r="D53" s="1" t="str">
        <f>VLOOKUP(11,Textbausteine_405[],Hilfsgrössen!$D$2,FALSE)</f>
        <v>% des personnes</v>
      </c>
      <c r="E53" s="9" t="s">
        <v>69</v>
      </c>
      <c r="F53" s="11" t="s">
        <v>147</v>
      </c>
      <c r="G53" s="267"/>
      <c r="H53" s="131">
        <v>8.4</v>
      </c>
      <c r="I53" s="131">
        <v>8.4</v>
      </c>
      <c r="J53" s="131">
        <v>8.4</v>
      </c>
      <c r="K53" s="131">
        <v>8.5</v>
      </c>
      <c r="L53" s="99">
        <v>7.7</v>
      </c>
      <c r="M53" s="125">
        <v>7.9</v>
      </c>
      <c r="N53" s="9">
        <v>7.2</v>
      </c>
      <c r="O53" s="9">
        <v>7.2</v>
      </c>
      <c r="P53" s="9">
        <v>7.1</v>
      </c>
      <c r="Q53" s="9">
        <v>7.6</v>
      </c>
      <c r="R53" s="9">
        <v>8.1</v>
      </c>
      <c r="S53" s="9">
        <v>8.5</v>
      </c>
      <c r="T53" s="9">
        <v>8.9</v>
      </c>
      <c r="U53" s="9">
        <v>9.3000000000000007</v>
      </c>
      <c r="V53" s="9">
        <v>9.5500000000000007</v>
      </c>
      <c r="W53" s="9">
        <v>9.82</v>
      </c>
      <c r="X53" s="9">
        <v>9.9211029322055033</v>
      </c>
      <c r="Y53" s="312">
        <v>10.133789053279621</v>
      </c>
      <c r="Z53" s="312">
        <v>10.206817653683252</v>
      </c>
    </row>
    <row r="54" spans="1:89" ht="12.95" customHeight="1" x14ac:dyDescent="0.2">
      <c r="C54" s="142" t="str">
        <f>VLOOKUP(77,Textbausteine_405[],Hilfsgrössen!$D$2,FALSE)</f>
        <v>Turquie</v>
      </c>
      <c r="D54" s="1" t="str">
        <f>VLOOKUP(11,Textbausteine_405[],Hilfsgrössen!$D$2,FALSE)</f>
        <v>% des personnes</v>
      </c>
      <c r="E54" s="9" t="s">
        <v>69</v>
      </c>
      <c r="F54" s="9" t="s">
        <v>147</v>
      </c>
      <c r="G54" s="267"/>
      <c r="H54" s="131">
        <v>7.1</v>
      </c>
      <c r="I54" s="131">
        <v>6.9</v>
      </c>
      <c r="J54" s="131">
        <v>6.6</v>
      </c>
      <c r="K54" s="131">
        <v>6.3</v>
      </c>
      <c r="L54" s="99">
        <v>6.3</v>
      </c>
      <c r="M54" s="125">
        <v>6.2</v>
      </c>
      <c r="N54" s="9">
        <v>6.6</v>
      </c>
      <c r="O54" s="9">
        <v>6</v>
      </c>
      <c r="P54" s="9">
        <v>5.9</v>
      </c>
      <c r="Q54" s="9">
        <v>5.7</v>
      </c>
      <c r="R54" s="9">
        <v>5.6</v>
      </c>
      <c r="S54" s="9">
        <v>5.4</v>
      </c>
      <c r="T54" s="9">
        <v>5.2</v>
      </c>
      <c r="U54" s="9">
        <v>5.3</v>
      </c>
      <c r="V54" s="9">
        <v>5.29</v>
      </c>
      <c r="W54" s="9">
        <v>5.61</v>
      </c>
      <c r="X54" s="9">
        <v>5.5227947456179862</v>
      </c>
      <c r="Y54" s="9">
        <v>5.2835818077101182</v>
      </c>
      <c r="Z54" s="9">
        <v>5.2151296855728342</v>
      </c>
    </row>
    <row r="55" spans="1:89" ht="12.95" customHeight="1" x14ac:dyDescent="0.2">
      <c r="C55" s="142" t="str">
        <f>VLOOKUP(78,Textbausteine_405[],Hilfsgrössen!$D$2,FALSE)</f>
        <v>France</v>
      </c>
      <c r="D55" s="1" t="str">
        <f>VLOOKUP(11,Textbausteine_405[],Hilfsgrössen!$D$2,FALSE)</f>
        <v>% des personnes</v>
      </c>
      <c r="E55" s="9" t="s">
        <v>69</v>
      </c>
      <c r="F55" s="9" t="s">
        <v>147</v>
      </c>
      <c r="H55" s="131">
        <v>4.2</v>
      </c>
      <c r="I55" s="131">
        <v>4.5999999999999996</v>
      </c>
      <c r="J55" s="131">
        <v>4.9000000000000004</v>
      </c>
      <c r="K55" s="131">
        <v>5.2</v>
      </c>
      <c r="L55" s="99">
        <v>5.8</v>
      </c>
      <c r="M55" s="125">
        <v>6.6</v>
      </c>
      <c r="N55" s="9">
        <v>5.8</v>
      </c>
      <c r="O55" s="9">
        <v>6.2</v>
      </c>
      <c r="P55" s="9">
        <v>6.3</v>
      </c>
      <c r="Q55" s="9">
        <v>6.4</v>
      </c>
      <c r="R55" s="9">
        <v>6.6</v>
      </c>
      <c r="S55" s="9">
        <v>6.9</v>
      </c>
      <c r="T55" s="9">
        <v>6.9</v>
      </c>
      <c r="U55" s="9">
        <v>6.9</v>
      </c>
      <c r="V55" s="9">
        <v>7.02</v>
      </c>
      <c r="W55" s="9">
        <v>7.02</v>
      </c>
      <c r="X55" s="9">
        <v>6.9980479076009852</v>
      </c>
      <c r="Y55" s="9">
        <v>7.6449538772388959</v>
      </c>
      <c r="Z55" s="9">
        <v>7.7203582217614599</v>
      </c>
    </row>
    <row r="56" spans="1:89" ht="12.95" customHeight="1" x14ac:dyDescent="0.2">
      <c r="C56" s="142" t="str">
        <f>VLOOKUP(79,Textbausteine_405[],Hilfsgrössen!$D$2,FALSE)</f>
        <v>Autres pays</v>
      </c>
      <c r="D56" s="1" t="str">
        <f>VLOOKUP(11,Textbausteine_405[],Hilfsgrössen!$D$2,FALSE)</f>
        <v>% des personnes</v>
      </c>
      <c r="E56" s="9" t="s">
        <v>69</v>
      </c>
      <c r="F56" s="11" t="s">
        <v>147</v>
      </c>
      <c r="H56" s="125">
        <v>25.799999999999997</v>
      </c>
      <c r="I56" s="125">
        <v>25.700000000000003</v>
      </c>
      <c r="J56" s="125">
        <v>26.399999999999991</v>
      </c>
      <c r="K56" s="125">
        <v>27.099999999999994</v>
      </c>
      <c r="L56" s="125">
        <v>30.900000000000006</v>
      </c>
      <c r="M56" s="125">
        <v>31</v>
      </c>
      <c r="N56" s="9">
        <v>35.4</v>
      </c>
      <c r="O56" s="9">
        <v>36.399999999999991</v>
      </c>
      <c r="P56" s="9">
        <v>37.400000000000006</v>
      </c>
      <c r="Q56" s="9">
        <v>38.299999999999997</v>
      </c>
      <c r="R56" s="9">
        <v>38.200000000000003</v>
      </c>
      <c r="S56" s="9">
        <v>38.200000000000003</v>
      </c>
      <c r="T56" s="9">
        <v>38.799999999999997</v>
      </c>
      <c r="U56" s="9">
        <v>39.1</v>
      </c>
      <c r="V56" s="9">
        <v>39.409999999999997</v>
      </c>
      <c r="W56" s="9">
        <v>40.5</v>
      </c>
      <c r="X56" s="9">
        <v>40.889218756354296</v>
      </c>
      <c r="Y56" s="9">
        <v>40.95625655018722</v>
      </c>
      <c r="Z56" s="9">
        <v>41.328673828718301</v>
      </c>
    </row>
    <row r="57" spans="1:89" ht="12.95" customHeight="1" x14ac:dyDescent="0.2">
      <c r="C57" s="108" t="str">
        <f>VLOOKUP(80,Textbausteine_405[],Hilfsgrössen!$D$2,FALSE)</f>
        <v>Nationalités représentées</v>
      </c>
      <c r="D57" s="1" t="str">
        <f>VLOOKUP(12,Textbausteine_405[],Hilfsgrössen!$D$2,FALSE)</f>
        <v>Nombre</v>
      </c>
      <c r="E57" s="9" t="s">
        <v>69</v>
      </c>
      <c r="F57" s="11" t="s">
        <v>147</v>
      </c>
      <c r="G57" s="267"/>
      <c r="H57" s="143">
        <v>114</v>
      </c>
      <c r="I57" s="143">
        <v>111</v>
      </c>
      <c r="J57" s="143">
        <v>115</v>
      </c>
      <c r="K57" s="143">
        <v>119</v>
      </c>
      <c r="L57" s="99">
        <v>121</v>
      </c>
      <c r="M57" s="126">
        <v>117</v>
      </c>
      <c r="N57" s="9">
        <v>133</v>
      </c>
      <c r="O57" s="9">
        <v>140</v>
      </c>
      <c r="P57" s="9">
        <v>140</v>
      </c>
      <c r="Q57" s="9">
        <v>144</v>
      </c>
      <c r="R57" s="9">
        <v>142</v>
      </c>
      <c r="S57" s="9">
        <v>142</v>
      </c>
      <c r="T57" s="9">
        <v>143</v>
      </c>
      <c r="U57" s="9">
        <v>140</v>
      </c>
      <c r="V57" s="9">
        <v>138</v>
      </c>
      <c r="W57" s="9">
        <v>140</v>
      </c>
      <c r="X57" s="9">
        <v>142</v>
      </c>
      <c r="Y57" s="9">
        <v>143</v>
      </c>
      <c r="Z57" s="9">
        <v>147</v>
      </c>
    </row>
    <row r="58" spans="1:89" ht="12.95" customHeight="1" x14ac:dyDescent="0.2">
      <c r="C58" s="108"/>
      <c r="E58" s="11"/>
      <c r="F58" s="11"/>
      <c r="G58" s="267"/>
      <c r="H58" s="143"/>
      <c r="I58" s="143"/>
      <c r="J58" s="143"/>
      <c r="K58" s="143"/>
      <c r="L58" s="99"/>
      <c r="M58" s="126"/>
      <c r="T58" s="9"/>
      <c r="U58" s="9"/>
      <c r="V58" s="9"/>
      <c r="W58" s="9"/>
      <c r="X58" s="9"/>
      <c r="Y58" s="9"/>
      <c r="Z58" s="9"/>
    </row>
    <row r="59" spans="1:89" ht="12.95" customHeight="1" x14ac:dyDescent="0.25">
      <c r="B59" s="266" t="str">
        <f>VLOOKUP(141,Textbausteine_405[],Hilfsgrössen!$D$2,FALSE)</f>
        <v>1) Valeurs annuelles moyennes</v>
      </c>
      <c r="H59" s="49"/>
      <c r="I59" s="49"/>
      <c r="J59" s="49"/>
      <c r="K59" s="49"/>
      <c r="L59" s="49"/>
      <c r="M59" s="49"/>
      <c r="T59" s="9"/>
      <c r="U59" s="9"/>
      <c r="V59" s="9"/>
      <c r="W59" s="9"/>
      <c r="X59" s="9"/>
      <c r="Y59" s="9"/>
      <c r="Z59" s="9"/>
    </row>
    <row r="60" spans="1:89" s="366" customFormat="1" ht="12.95" customHeight="1" x14ac:dyDescent="0.25">
      <c r="A60" s="66"/>
      <c r="B60" s="277" t="str">
        <f>VLOOKUP(142,Textbausteine_405[],Hilfsgrössen!$D$2,FALSE)</f>
        <v>2) Groupe Suisse: données du systèmes du personnel, actuellement sans données sur 1402 unités du personnel ou 5582 personnes des sociétés du groupe B-Sped Logistics (Suisse) SA, Epsilon SA, Direct Mail Company AG, PubliBike SA, Destinas AG, KLARA Business SA, Relatra AG, BPS Speditions-Service AG, Arlesheim, BPS Speditions-Service AG, Pfungen, Walli-Trans AG, ASMIQ AG, notime AG, notime (Suisse) SA, Dialog Verwaltungs-Data AG, SwissSign SA, Tresorit AG, Bring! Labs AG, Livesystems Group SA, Livesystems SA, Livesystems dooh SA, Iemoli Trasporti SA, InTraLog Hermes AG, InTraLog Overseas AG, Otto Schmidt SA, Steriplus AG, Stericenter SA, Mediwar AG, Marcel Blanc et Cie SA, Unblu Inc., Groupe T2i Suisse SA, Hacknowledge SA, Stella Brandenberger Transporte AG, axsana AG, eoscop AG, H. Bucher Internationale Transporte AG, adiacom AG, Kickbag GmbH</v>
      </c>
      <c r="E60" s="367"/>
      <c r="F60" s="367"/>
      <c r="G60" s="368"/>
      <c r="H60" s="49"/>
      <c r="I60" s="49"/>
      <c r="J60" s="49"/>
      <c r="K60" s="49"/>
      <c r="L60" s="49"/>
      <c r="M60" s="49"/>
      <c r="N60" s="367"/>
      <c r="O60" s="367"/>
      <c r="P60" s="367"/>
      <c r="Q60" s="367"/>
      <c r="R60" s="367"/>
      <c r="S60" s="367"/>
      <c r="T60" s="367"/>
      <c r="U60" s="367"/>
      <c r="V60" s="367"/>
      <c r="W60" s="367"/>
      <c r="X60" s="367"/>
      <c r="Y60" s="367"/>
      <c r="Z60" s="367"/>
      <c r="AA60" s="367"/>
      <c r="AB60" s="367"/>
      <c r="AC60" s="367"/>
      <c r="AD60" s="367"/>
      <c r="AE60" s="367"/>
      <c r="AF60" s="367"/>
      <c r="AG60" s="367"/>
      <c r="AH60" s="367"/>
      <c r="AI60" s="367"/>
      <c r="AJ60" s="367"/>
      <c r="AK60" s="367"/>
      <c r="AL60" s="367"/>
      <c r="AM60" s="367"/>
      <c r="AN60" s="367"/>
      <c r="AO60" s="367"/>
      <c r="AP60" s="367"/>
      <c r="AQ60" s="367"/>
      <c r="AR60" s="367"/>
      <c r="AS60" s="367"/>
      <c r="AT60" s="367"/>
      <c r="AU60" s="367"/>
      <c r="AV60" s="367"/>
      <c r="AW60" s="367"/>
      <c r="AX60" s="367"/>
      <c r="AY60" s="367"/>
      <c r="AZ60" s="367"/>
      <c r="BA60" s="367"/>
      <c r="BB60" s="367"/>
      <c r="BC60" s="367"/>
      <c r="BD60" s="367"/>
      <c r="BE60" s="367"/>
      <c r="BF60" s="367"/>
      <c r="BG60" s="367"/>
      <c r="BH60" s="367"/>
      <c r="BI60" s="367"/>
      <c r="BJ60" s="367"/>
      <c r="BK60" s="367"/>
      <c r="BL60" s="367"/>
      <c r="BM60" s="367"/>
      <c r="BN60" s="367"/>
      <c r="BO60" s="367"/>
      <c r="BP60" s="367"/>
      <c r="BQ60" s="367"/>
      <c r="BR60" s="367"/>
      <c r="BS60" s="367"/>
      <c r="BT60" s="367"/>
      <c r="BU60" s="367"/>
      <c r="BV60" s="367"/>
      <c r="BW60" s="367"/>
      <c r="BX60" s="367"/>
      <c r="BY60" s="367"/>
      <c r="BZ60" s="367"/>
      <c r="CA60" s="367"/>
      <c r="CB60" s="367"/>
      <c r="CC60" s="367"/>
      <c r="CD60" s="367"/>
      <c r="CE60" s="367"/>
      <c r="CF60" s="367"/>
      <c r="CG60" s="367"/>
      <c r="CH60" s="367"/>
      <c r="CI60" s="367"/>
      <c r="CJ60" s="367"/>
      <c r="CK60" s="367"/>
    </row>
    <row r="61" spans="1:89" ht="12.95" customHeight="1" x14ac:dyDescent="0.25">
      <c r="B61" s="266" t="str">
        <f>VLOOKUP(143,Textbausteine_405[],Hilfsgrössen!$D$2,FALSE)</f>
        <v>3) Sans les apprentis</v>
      </c>
      <c r="H61" s="49"/>
      <c r="I61" s="49"/>
      <c r="J61" s="49"/>
      <c r="K61" s="49"/>
      <c r="L61" s="49"/>
      <c r="M61" s="49"/>
      <c r="T61" s="9"/>
      <c r="U61" s="9"/>
      <c r="V61" s="9"/>
      <c r="W61" s="9"/>
      <c r="X61" s="9"/>
      <c r="Y61" s="9"/>
      <c r="Z61" s="9"/>
    </row>
    <row r="62" spans="1:89" ht="12.95" customHeight="1" x14ac:dyDescent="0.2">
      <c r="C62" s="108"/>
      <c r="E62" s="11"/>
      <c r="F62" s="11"/>
      <c r="G62" s="267"/>
      <c r="H62" s="143"/>
      <c r="I62" s="143"/>
      <c r="J62" s="143"/>
      <c r="K62" s="143"/>
      <c r="L62" s="99"/>
      <c r="M62" s="126"/>
      <c r="T62" s="9"/>
      <c r="U62" s="9"/>
      <c r="V62" s="9"/>
      <c r="W62" s="9"/>
      <c r="X62" s="9"/>
      <c r="Y62" s="9"/>
      <c r="Z62" s="9"/>
    </row>
    <row r="63" spans="1:89" ht="12.95" customHeight="1" x14ac:dyDescent="0.2">
      <c r="C63" s="142"/>
      <c r="E63" s="11"/>
      <c r="G63" s="267"/>
      <c r="H63" s="49"/>
      <c r="I63" s="49"/>
      <c r="J63" s="49"/>
      <c r="K63" s="49"/>
      <c r="L63" s="49"/>
      <c r="M63" s="49"/>
      <c r="T63" s="9"/>
      <c r="U63" s="9"/>
      <c r="V63" s="9"/>
      <c r="W63" s="9"/>
      <c r="X63" s="9"/>
      <c r="Y63" s="9"/>
      <c r="Z63" s="9"/>
    </row>
    <row r="64" spans="1:89" s="6" customFormat="1" ht="12.95" customHeight="1" x14ac:dyDescent="0.2">
      <c r="A64" s="39" t="s">
        <v>27</v>
      </c>
      <c r="B64" s="401" t="str">
        <f>$C$10</f>
        <v>Démographie (pyramide des âges)</v>
      </c>
      <c r="C64" s="401"/>
      <c r="D64" s="6" t="str">
        <f>VLOOKUP(32,Textbausteine_Menu[],Hilfsgrössen!$D$2,FALSE)</f>
        <v>Unité</v>
      </c>
      <c r="E64" s="28" t="str">
        <f>VLOOKUP(33,Textbausteine_Menu[],Hilfsgrössen!$D$2,FALSE)</f>
        <v>Notes</v>
      </c>
      <c r="F64" s="28" t="str">
        <f>VLOOKUP(34,Textbausteine_Menu[],Hilfsgrössen!$D$2,FALSE)</f>
        <v>GRI</v>
      </c>
      <c r="G64" s="34"/>
      <c r="H64" s="72">
        <v>2004</v>
      </c>
      <c r="I64" s="72">
        <v>2005</v>
      </c>
      <c r="J64" s="72">
        <v>2006</v>
      </c>
      <c r="K64" s="72">
        <v>2007</v>
      </c>
      <c r="L64" s="72">
        <v>2008</v>
      </c>
      <c r="M64" s="72">
        <v>2009</v>
      </c>
      <c r="N64" s="7">
        <v>2010</v>
      </c>
      <c r="O64" s="7">
        <v>2011</v>
      </c>
      <c r="P64" s="7">
        <v>2012</v>
      </c>
      <c r="Q64" s="7">
        <v>2013</v>
      </c>
      <c r="R64" s="7">
        <v>2014</v>
      </c>
      <c r="S64" s="7">
        <v>2015</v>
      </c>
      <c r="T64" s="7">
        <v>2016</v>
      </c>
      <c r="U64" s="7">
        <v>2017</v>
      </c>
      <c r="V64" s="7">
        <v>2018</v>
      </c>
      <c r="W64" s="7">
        <v>2019</v>
      </c>
      <c r="X64" s="7">
        <v>2020</v>
      </c>
      <c r="Y64" s="7">
        <v>2021</v>
      </c>
      <c r="Z64" s="7">
        <v>2022</v>
      </c>
      <c r="AA64" s="7"/>
      <c r="AB64" s="7"/>
      <c r="AC64" s="7"/>
      <c r="AD64" s="7"/>
      <c r="AE64" s="7"/>
      <c r="AF64" s="28"/>
      <c r="AG64" s="28"/>
      <c r="AH64" s="28"/>
      <c r="AI64" s="28"/>
      <c r="AJ64" s="28"/>
      <c r="AK64" s="28"/>
      <c r="AL64" s="28"/>
      <c r="AM64" s="28"/>
      <c r="AN64" s="28"/>
      <c r="AO64" s="28"/>
      <c r="AP64" s="28"/>
      <c r="AQ64" s="28"/>
      <c r="AR64" s="28"/>
      <c r="AS64" s="28"/>
      <c r="AT64" s="28"/>
      <c r="AU64" s="28"/>
      <c r="AV64" s="28"/>
      <c r="AW64" s="28"/>
      <c r="AX64" s="28"/>
      <c r="AY64" s="28"/>
      <c r="AZ64" s="28"/>
      <c r="BA64" s="28"/>
      <c r="BB64" s="28"/>
      <c r="BC64" s="28"/>
      <c r="BD64" s="28"/>
      <c r="BE64" s="28"/>
      <c r="BF64" s="28"/>
      <c r="BG64" s="28"/>
      <c r="BH64" s="28"/>
      <c r="BI64" s="28"/>
      <c r="BJ64" s="28"/>
      <c r="BK64" s="28"/>
      <c r="BL64" s="28"/>
      <c r="BM64" s="28"/>
      <c r="BN64" s="28"/>
      <c r="BO64" s="28"/>
      <c r="BP64" s="28"/>
      <c r="BQ64" s="28"/>
      <c r="BR64" s="28"/>
      <c r="BS64" s="28"/>
      <c r="BT64" s="28"/>
      <c r="BU64" s="28"/>
      <c r="BV64" s="28"/>
      <c r="BW64" s="28"/>
      <c r="BX64" s="28"/>
      <c r="BY64" s="28"/>
      <c r="BZ64" s="28"/>
      <c r="CA64" s="28"/>
      <c r="CB64" s="28"/>
      <c r="CC64" s="28"/>
      <c r="CD64" s="28"/>
      <c r="CE64" s="28"/>
      <c r="CF64" s="28"/>
      <c r="CG64" s="28"/>
      <c r="CH64" s="28"/>
      <c r="CI64" s="28"/>
      <c r="CJ64" s="28"/>
      <c r="CK64" s="28"/>
    </row>
    <row r="65" spans="1:89" s="6" customFormat="1" ht="12.95" customHeight="1" x14ac:dyDescent="0.2">
      <c r="A65" s="65"/>
      <c r="B65" s="401"/>
      <c r="C65" s="401"/>
      <c r="E65" s="28"/>
      <c r="F65" s="28"/>
      <c r="G65" s="34"/>
      <c r="H65" s="49"/>
      <c r="I65" s="49"/>
      <c r="J65" s="49"/>
      <c r="K65" s="49"/>
      <c r="L65" s="49"/>
      <c r="M65" s="49"/>
      <c r="N65" s="73"/>
      <c r="O65" s="73"/>
      <c r="P65" s="73"/>
      <c r="Q65" s="73"/>
      <c r="R65" s="73"/>
      <c r="S65" s="73"/>
      <c r="T65" s="75"/>
      <c r="U65" s="75"/>
      <c r="V65" s="75"/>
      <c r="W65" s="75"/>
      <c r="X65" s="75"/>
      <c r="Y65" s="75"/>
      <c r="Z65" s="75"/>
      <c r="AA65" s="75"/>
      <c r="AB65" s="75"/>
      <c r="AC65" s="75"/>
      <c r="AD65" s="75"/>
      <c r="AE65" s="75"/>
      <c r="AF65" s="73"/>
      <c r="AG65" s="73"/>
      <c r="AH65" s="73"/>
      <c r="AI65" s="73"/>
      <c r="AJ65" s="73"/>
      <c r="AK65" s="73"/>
      <c r="AL65" s="73"/>
      <c r="AM65" s="73"/>
      <c r="AN65" s="73"/>
      <c r="AO65" s="73"/>
      <c r="AP65" s="73"/>
      <c r="AQ65" s="73"/>
      <c r="AR65" s="73"/>
      <c r="AS65" s="73"/>
      <c r="AT65" s="73"/>
      <c r="AU65" s="73"/>
      <c r="AV65" s="73"/>
      <c r="AW65" s="73"/>
      <c r="AX65" s="73"/>
      <c r="AY65" s="73"/>
      <c r="AZ65" s="73"/>
      <c r="BA65" s="73"/>
      <c r="BB65" s="73"/>
      <c r="BC65" s="73"/>
      <c r="BD65" s="73"/>
      <c r="BE65" s="73"/>
      <c r="BF65" s="73"/>
      <c r="BG65" s="73"/>
      <c r="BH65" s="73"/>
      <c r="BI65" s="73"/>
      <c r="BJ65" s="73"/>
      <c r="BK65" s="73"/>
      <c r="BL65" s="73"/>
      <c r="BM65" s="73"/>
      <c r="BN65" s="73"/>
      <c r="BO65" s="73"/>
      <c r="BP65" s="73"/>
      <c r="BQ65" s="73"/>
      <c r="BR65" s="73"/>
      <c r="BS65" s="73"/>
      <c r="BT65" s="73"/>
      <c r="BU65" s="73"/>
      <c r="BV65" s="73"/>
      <c r="BW65" s="73"/>
      <c r="BX65" s="73"/>
      <c r="BY65" s="73"/>
      <c r="BZ65" s="73"/>
      <c r="CA65" s="73"/>
      <c r="CB65" s="73"/>
      <c r="CC65" s="73"/>
      <c r="CD65" s="73"/>
      <c r="CE65" s="73"/>
      <c r="CF65" s="73"/>
      <c r="CG65" s="73"/>
      <c r="CH65" s="73"/>
      <c r="CI65" s="73"/>
      <c r="CJ65" s="73"/>
      <c r="CK65" s="73"/>
    </row>
    <row r="66" spans="1:89" ht="12.95" customHeight="1" x14ac:dyDescent="0.2">
      <c r="B66" s="2"/>
      <c r="E66" s="28"/>
      <c r="F66" s="28"/>
      <c r="G66" s="33"/>
      <c r="AA66" s="11"/>
      <c r="AB66" s="11"/>
      <c r="AC66" s="11"/>
      <c r="AD66" s="11"/>
      <c r="AE66" s="11"/>
    </row>
    <row r="67" spans="1:89" ht="12.95" customHeight="1" x14ac:dyDescent="0.2">
      <c r="B67" s="2" t="str">
        <f>VLOOKUP(37,Textbausteine_Menu[],Hilfsgrössen!$D$2,FALSE)</f>
        <v>Groupe Suisse</v>
      </c>
      <c r="C67" s="2"/>
      <c r="E67" s="10"/>
      <c r="G67" s="33"/>
    </row>
    <row r="68" spans="1:89" ht="12.95" customHeight="1" x14ac:dyDescent="0.2">
      <c r="C68" s="4" t="str">
        <f>VLOOKUP(91,Textbausteine_405[],Hilfsgrössen!$D$2,FALSE)</f>
        <v>Classe d'âge</v>
      </c>
      <c r="E68" s="11"/>
      <c r="H68" s="49"/>
      <c r="I68" s="49"/>
      <c r="J68" s="49"/>
      <c r="K68" s="49"/>
      <c r="L68" s="49"/>
      <c r="M68" s="49"/>
      <c r="T68" s="9"/>
      <c r="U68" s="9"/>
      <c r="V68" s="9"/>
      <c r="W68" s="9"/>
      <c r="X68" s="9"/>
      <c r="Y68" s="9"/>
      <c r="Z68" s="9"/>
    </row>
    <row r="69" spans="1:89" ht="12.95" customHeight="1" x14ac:dyDescent="0.2">
      <c r="C69" s="142" t="str">
        <f>VLOOKUP(92,Textbausteine_405[],Hilfsgrössen!$D$2,FALSE)</f>
        <v>Moins de 20 ans</v>
      </c>
      <c r="D69" s="1" t="str">
        <f>VLOOKUP(11,Textbausteine_405[],Hilfsgrössen!$D$2,FALSE)</f>
        <v>% des personnes</v>
      </c>
      <c r="E69" s="9" t="s">
        <v>69</v>
      </c>
      <c r="F69" s="9" t="s">
        <v>147</v>
      </c>
      <c r="H69" s="11">
        <v>0.8</v>
      </c>
      <c r="I69" s="14">
        <v>0.75853436192007206</v>
      </c>
      <c r="J69" s="14">
        <v>0.72263723862857954</v>
      </c>
      <c r="K69" s="11">
        <v>0.7</v>
      </c>
      <c r="L69" s="11">
        <v>0.7</v>
      </c>
      <c r="M69" s="11">
        <v>0.6</v>
      </c>
      <c r="N69" s="9">
        <v>0.6</v>
      </c>
      <c r="O69" s="9">
        <v>0.7</v>
      </c>
      <c r="P69" s="9">
        <v>0.7</v>
      </c>
      <c r="Q69" s="9">
        <v>0.7414526622821811</v>
      </c>
      <c r="R69" s="9">
        <v>0.6</v>
      </c>
      <c r="S69" s="9">
        <v>0.65583945381193698</v>
      </c>
      <c r="T69" s="9">
        <v>0.6</v>
      </c>
      <c r="U69" s="9">
        <v>0.5</v>
      </c>
      <c r="V69" s="9">
        <v>0.55000000000000004</v>
      </c>
      <c r="W69" s="9">
        <v>0.64</v>
      </c>
      <c r="X69" s="9">
        <v>0.54281229028381883</v>
      </c>
      <c r="Y69" s="9">
        <v>0.50378688119009496</v>
      </c>
      <c r="Z69" s="9">
        <v>0.53334853308796548</v>
      </c>
    </row>
    <row r="70" spans="1:89" ht="12.95" customHeight="1" x14ac:dyDescent="0.2">
      <c r="C70" s="142" t="str">
        <f>VLOOKUP(93,Textbausteine_405[],Hilfsgrössen!$D$2,FALSE)</f>
        <v>20–29</v>
      </c>
      <c r="D70" s="1" t="str">
        <f>VLOOKUP(11,Textbausteine_405[],Hilfsgrössen!$D$2,FALSE)</f>
        <v>% des personnes</v>
      </c>
      <c r="E70" s="9" t="s">
        <v>69</v>
      </c>
      <c r="F70" s="9" t="s">
        <v>147</v>
      </c>
      <c r="H70" s="11">
        <v>12.2</v>
      </c>
      <c r="I70" s="14">
        <v>11.456261211366733</v>
      </c>
      <c r="J70" s="14">
        <v>10.947345763682705</v>
      </c>
      <c r="K70" s="11">
        <v>10.8</v>
      </c>
      <c r="L70" s="14">
        <v>11</v>
      </c>
      <c r="M70" s="11">
        <v>11.4</v>
      </c>
      <c r="N70" s="9">
        <v>11</v>
      </c>
      <c r="O70" s="9">
        <v>11.3</v>
      </c>
      <c r="P70" s="9">
        <v>12.8</v>
      </c>
      <c r="Q70" s="9">
        <v>12.746129869178008</v>
      </c>
      <c r="R70" s="9">
        <v>11.7</v>
      </c>
      <c r="S70" s="9">
        <v>11.784593634702301</v>
      </c>
      <c r="T70" s="9">
        <v>11.8</v>
      </c>
      <c r="U70" s="9">
        <v>11.4</v>
      </c>
      <c r="V70" s="9">
        <v>11.16</v>
      </c>
      <c r="W70" s="9">
        <v>11.3</v>
      </c>
      <c r="X70" s="9">
        <v>11.518231326722733</v>
      </c>
      <c r="Y70" s="9">
        <v>12.204212256885413</v>
      </c>
      <c r="Z70" s="9">
        <v>12.544276070972016</v>
      </c>
    </row>
    <row r="71" spans="1:89" ht="12.95" customHeight="1" x14ac:dyDescent="0.2">
      <c r="C71" s="142" t="str">
        <f>VLOOKUP(94,Textbausteine_405[],Hilfsgrössen!$D$2,FALSE)</f>
        <v>30–39</v>
      </c>
      <c r="D71" s="1" t="str">
        <f>VLOOKUP(11,Textbausteine_405[],Hilfsgrössen!$D$2,FALSE)</f>
        <v>% des personnes</v>
      </c>
      <c r="E71" s="9" t="s">
        <v>69</v>
      </c>
      <c r="F71" s="9" t="s">
        <v>147</v>
      </c>
      <c r="H71" s="11">
        <v>29.8</v>
      </c>
      <c r="I71" s="14">
        <v>28.273228971641984</v>
      </c>
      <c r="J71" s="14">
        <v>26.617106492079223</v>
      </c>
      <c r="K71" s="11">
        <v>25.5</v>
      </c>
      <c r="L71" s="11">
        <v>24.3</v>
      </c>
      <c r="M71" s="14">
        <v>23</v>
      </c>
      <c r="N71" s="9">
        <v>21.7</v>
      </c>
      <c r="O71" s="9">
        <v>20.3</v>
      </c>
      <c r="P71" s="9">
        <v>18.600000000000001</v>
      </c>
      <c r="Q71" s="9">
        <v>18.596085994914251</v>
      </c>
      <c r="R71" s="9">
        <v>17.7</v>
      </c>
      <c r="S71" s="9">
        <v>17.344919140719298</v>
      </c>
      <c r="T71" s="9">
        <v>17.2</v>
      </c>
      <c r="U71" s="9">
        <v>17.2</v>
      </c>
      <c r="V71" s="9">
        <v>17.420000000000002</v>
      </c>
      <c r="W71" s="9">
        <v>17.5</v>
      </c>
      <c r="X71" s="9">
        <v>18.115914773323425</v>
      </c>
      <c r="Y71" s="9">
        <v>18.846617345432207</v>
      </c>
      <c r="Z71" s="9">
        <v>19.406965287560375</v>
      </c>
    </row>
    <row r="72" spans="1:89" ht="12.95" customHeight="1" x14ac:dyDescent="0.2">
      <c r="C72" s="142" t="str">
        <f>VLOOKUP(95,Textbausteine_405[],Hilfsgrössen!$D$2,FALSE)</f>
        <v>40–49</v>
      </c>
      <c r="D72" s="1" t="str">
        <f>VLOOKUP(11,Textbausteine_405[],Hilfsgrössen!$D$2,FALSE)</f>
        <v>% des personnes</v>
      </c>
      <c r="E72" s="9" t="s">
        <v>69</v>
      </c>
      <c r="F72" s="11" t="s">
        <v>147</v>
      </c>
      <c r="G72" s="267"/>
      <c r="H72" s="11">
        <v>30.9</v>
      </c>
      <c r="I72" s="14">
        <v>31.863644294578354</v>
      </c>
      <c r="J72" s="14">
        <v>32.641711619999484</v>
      </c>
      <c r="K72" s="11">
        <v>33.200000000000003</v>
      </c>
      <c r="L72" s="11">
        <v>33.200000000000003</v>
      </c>
      <c r="M72" s="11">
        <v>33.4</v>
      </c>
      <c r="N72" s="9">
        <v>33.6</v>
      </c>
      <c r="O72" s="9">
        <v>33.6</v>
      </c>
      <c r="P72" s="9">
        <v>33.299999999999997</v>
      </c>
      <c r="Q72" s="9">
        <v>33.341698738199248</v>
      </c>
      <c r="R72" s="9">
        <v>31.9</v>
      </c>
      <c r="S72" s="9">
        <v>30.374297438019401</v>
      </c>
      <c r="T72" s="9">
        <v>29</v>
      </c>
      <c r="U72" s="9">
        <v>27.9</v>
      </c>
      <c r="V72" s="9">
        <v>26.81</v>
      </c>
      <c r="W72" s="9">
        <v>25.4</v>
      </c>
      <c r="X72" s="9">
        <v>24.183851433345083</v>
      </c>
      <c r="Y72" s="9">
        <v>22.897662428871286</v>
      </c>
      <c r="Z72" s="9">
        <v>21.805608709459428</v>
      </c>
    </row>
    <row r="73" spans="1:89" ht="12.95" customHeight="1" x14ac:dyDescent="0.2">
      <c r="C73" s="142" t="str">
        <f>VLOOKUP(96,Textbausteine_405[],Hilfsgrössen!$D$2,FALSE)</f>
        <v>50–59</v>
      </c>
      <c r="D73" s="1" t="str">
        <f>VLOOKUP(11,Textbausteine_405[],Hilfsgrössen!$D$2,FALSE)</f>
        <v>% des personnes</v>
      </c>
      <c r="E73" s="9" t="s">
        <v>69</v>
      </c>
      <c r="F73" s="9" t="s">
        <v>147</v>
      </c>
      <c r="H73" s="11">
        <v>22.8</v>
      </c>
      <c r="I73" s="14">
        <v>23.920360332101513</v>
      </c>
      <c r="J73" s="14">
        <v>24.948244699802391</v>
      </c>
      <c r="K73" s="11">
        <v>26.1</v>
      </c>
      <c r="L73" s="11">
        <v>26.5</v>
      </c>
      <c r="M73" s="11">
        <v>26.7</v>
      </c>
      <c r="N73" s="9">
        <v>26.5</v>
      </c>
      <c r="O73" s="9">
        <v>26.9</v>
      </c>
      <c r="P73" s="9">
        <v>28.4</v>
      </c>
      <c r="Q73" s="9">
        <v>28.424184389991645</v>
      </c>
      <c r="R73" s="9">
        <v>29.9</v>
      </c>
      <c r="S73" s="9">
        <v>30.6625633598841</v>
      </c>
      <c r="T73" s="9">
        <v>31.4</v>
      </c>
      <c r="U73" s="9">
        <v>32.1</v>
      </c>
      <c r="V73" s="9">
        <v>32.74</v>
      </c>
      <c r="W73" s="9">
        <v>33.4</v>
      </c>
      <c r="X73" s="9">
        <v>33.92695591580275</v>
      </c>
      <c r="Y73" s="9">
        <v>33.901964070518112</v>
      </c>
      <c r="Z73" s="9">
        <v>33.551694094081</v>
      </c>
    </row>
    <row r="74" spans="1:89" ht="12.95" customHeight="1" x14ac:dyDescent="0.2">
      <c r="C74" s="142" t="str">
        <f>VLOOKUP(97,Textbausteine_405[],Hilfsgrössen!$D$2,FALSE)</f>
        <v>60 ans et plus</v>
      </c>
      <c r="D74" s="1" t="str">
        <f>VLOOKUP(11,Textbausteine_405[],Hilfsgrössen!$D$2,FALSE)</f>
        <v>% des personnes</v>
      </c>
      <c r="E74" s="9" t="s">
        <v>69</v>
      </c>
      <c r="F74" s="9" t="s">
        <v>147</v>
      </c>
      <c r="H74" s="11">
        <v>3.5</v>
      </c>
      <c r="I74" s="14">
        <v>3.7279727888489176</v>
      </c>
      <c r="J74" s="14">
        <v>4.1229521775503466</v>
      </c>
      <c r="K74" s="11">
        <v>3.7</v>
      </c>
      <c r="L74" s="11">
        <v>4.3</v>
      </c>
      <c r="M74" s="11">
        <v>4.9000000000000004</v>
      </c>
      <c r="N74" s="9">
        <v>6.6</v>
      </c>
      <c r="O74" s="9">
        <v>7.2</v>
      </c>
      <c r="P74" s="9">
        <v>6.2</v>
      </c>
      <c r="Q74" s="9">
        <v>6.1504483454346666</v>
      </c>
      <c r="R74" s="9">
        <v>8.3000000000000007</v>
      </c>
      <c r="S74" s="9">
        <v>9.1777869728630108</v>
      </c>
      <c r="T74" s="9">
        <v>10</v>
      </c>
      <c r="U74" s="9">
        <v>10.9</v>
      </c>
      <c r="V74" s="9">
        <v>11.32</v>
      </c>
      <c r="W74" s="9">
        <v>11.79</v>
      </c>
      <c r="X74" s="9">
        <v>11.712234260522202</v>
      </c>
      <c r="Y74" s="9">
        <v>11.645757017102824</v>
      </c>
      <c r="Z74" s="9">
        <v>12.158107304839225</v>
      </c>
    </row>
    <row r="75" spans="1:89" ht="12.95" customHeight="1" x14ac:dyDescent="0.2">
      <c r="C75" s="108" t="str">
        <f>VLOOKUP(98,Textbausteine_405[],Hilfsgrössen!$D$2,FALSE)</f>
        <v>Age moyen</v>
      </c>
      <c r="D75" s="1" t="str">
        <f>VLOOKUP(13,Textbausteine_405[],Hilfsgrössen!$D$2,FALSE)</f>
        <v>Années</v>
      </c>
      <c r="E75" s="9" t="s">
        <v>69</v>
      </c>
      <c r="F75" s="11" t="s">
        <v>147</v>
      </c>
      <c r="G75" s="267"/>
      <c r="H75" s="11">
        <v>41.9</v>
      </c>
      <c r="I75" s="14">
        <v>42.3</v>
      </c>
      <c r="J75" s="14">
        <v>42.7</v>
      </c>
      <c r="K75" s="11">
        <v>42.9</v>
      </c>
      <c r="L75" s="11">
        <v>43.2</v>
      </c>
      <c r="M75" s="11">
        <v>43.4</v>
      </c>
      <c r="N75" s="9">
        <v>44.2</v>
      </c>
      <c r="O75" s="9">
        <v>44.4</v>
      </c>
      <c r="P75" s="9">
        <v>44.7</v>
      </c>
      <c r="Q75" s="9">
        <v>44.8</v>
      </c>
      <c r="R75" s="9">
        <v>45.1</v>
      </c>
      <c r="S75" s="9">
        <v>45.3</v>
      </c>
      <c r="T75" s="9">
        <v>45.6</v>
      </c>
      <c r="U75" s="9">
        <v>46</v>
      </c>
      <c r="V75" s="9">
        <v>46.1</v>
      </c>
      <c r="W75" s="9">
        <v>46.1</v>
      </c>
      <c r="X75" s="9">
        <v>45.958331397779503</v>
      </c>
      <c r="Y75" s="9">
        <v>45.848130020374199</v>
      </c>
      <c r="Z75" s="9">
        <v>45.840119945738799</v>
      </c>
    </row>
    <row r="76" spans="1:89" ht="12.95" customHeight="1" x14ac:dyDescent="0.2">
      <c r="C76" s="142"/>
      <c r="H76" s="49"/>
      <c r="I76" s="49"/>
      <c r="J76" s="49"/>
      <c r="K76" s="49"/>
      <c r="L76" s="49"/>
      <c r="M76" s="49"/>
      <c r="T76" s="9"/>
      <c r="U76" s="9"/>
      <c r="V76" s="9"/>
      <c r="W76" s="9"/>
      <c r="X76" s="9"/>
      <c r="Y76" s="9"/>
      <c r="Z76" s="9"/>
    </row>
    <row r="77" spans="1:89" ht="12.95" customHeight="1" x14ac:dyDescent="0.25">
      <c r="B77" s="266" t="str">
        <f>VLOOKUP(141,Textbausteine_405[],Hilfsgrössen!$D$2,FALSE)</f>
        <v>1) Valeurs annuelles moyennes</v>
      </c>
      <c r="H77" s="49"/>
      <c r="I77" s="49"/>
      <c r="J77" s="49"/>
      <c r="K77" s="49"/>
      <c r="L77" s="49"/>
      <c r="M77" s="49"/>
      <c r="T77" s="9"/>
      <c r="U77" s="9"/>
      <c r="V77" s="9"/>
      <c r="W77" s="9"/>
      <c r="X77" s="9"/>
      <c r="Y77" s="9"/>
      <c r="Z77" s="9"/>
    </row>
    <row r="78" spans="1:89" s="366" customFormat="1" ht="12.95" customHeight="1" x14ac:dyDescent="0.25">
      <c r="A78" s="66"/>
      <c r="B78" s="277" t="str">
        <f>VLOOKUP(142,Textbausteine_405[],Hilfsgrössen!$D$2,FALSE)</f>
        <v>2) Groupe Suisse: données du systèmes du personnel, actuellement sans données sur 1402 unités du personnel ou 5582 personnes des sociétés du groupe B-Sped Logistics (Suisse) SA, Epsilon SA, Direct Mail Company AG, PubliBike SA, Destinas AG, KLARA Business SA, Relatra AG, BPS Speditions-Service AG, Arlesheim, BPS Speditions-Service AG, Pfungen, Walli-Trans AG, ASMIQ AG, notime AG, notime (Suisse) SA, Dialog Verwaltungs-Data AG, SwissSign SA, Tresorit AG, Bring! Labs AG, Livesystems Group SA, Livesystems SA, Livesystems dooh SA, Iemoli Trasporti SA, InTraLog Hermes AG, InTraLog Overseas AG, Otto Schmidt SA, Steriplus AG, Stericenter SA, Mediwar AG, Marcel Blanc et Cie SA, Unblu Inc., Groupe T2i Suisse SA, Hacknowledge SA, Stella Brandenberger Transporte AG, axsana AG, eoscop AG, H. Bucher Internationale Transporte AG, adiacom AG, Kickbag GmbH</v>
      </c>
      <c r="E78" s="367"/>
      <c r="F78" s="367"/>
      <c r="G78" s="368"/>
      <c r="H78" s="49"/>
      <c r="I78" s="49"/>
      <c r="J78" s="49"/>
      <c r="K78" s="49"/>
      <c r="L78" s="49"/>
      <c r="M78" s="49"/>
      <c r="N78" s="367"/>
      <c r="O78" s="367"/>
      <c r="P78" s="367"/>
      <c r="Q78" s="367"/>
      <c r="R78" s="367"/>
      <c r="S78" s="367"/>
      <c r="T78" s="367"/>
      <c r="U78" s="367"/>
      <c r="V78" s="367"/>
      <c r="W78" s="367"/>
      <c r="X78" s="367"/>
      <c r="Y78" s="367"/>
      <c r="Z78" s="367"/>
      <c r="AA78" s="367"/>
      <c r="AB78" s="367"/>
      <c r="AC78" s="367"/>
      <c r="AD78" s="367"/>
      <c r="AE78" s="367"/>
      <c r="AF78" s="367"/>
      <c r="AG78" s="367"/>
      <c r="AH78" s="367"/>
      <c r="AI78" s="367"/>
      <c r="AJ78" s="367"/>
      <c r="AK78" s="367"/>
      <c r="AL78" s="367"/>
      <c r="AM78" s="367"/>
      <c r="AN78" s="367"/>
      <c r="AO78" s="367"/>
      <c r="AP78" s="367"/>
      <c r="AQ78" s="367"/>
      <c r="AR78" s="367"/>
      <c r="AS78" s="367"/>
      <c r="AT78" s="367"/>
      <c r="AU78" s="367"/>
      <c r="AV78" s="367"/>
      <c r="AW78" s="367"/>
      <c r="AX78" s="367"/>
      <c r="AY78" s="367"/>
      <c r="AZ78" s="367"/>
      <c r="BA78" s="367"/>
      <c r="BB78" s="367"/>
      <c r="BC78" s="367"/>
      <c r="BD78" s="367"/>
      <c r="BE78" s="367"/>
      <c r="BF78" s="367"/>
      <c r="BG78" s="367"/>
      <c r="BH78" s="367"/>
      <c r="BI78" s="367"/>
      <c r="BJ78" s="367"/>
      <c r="BK78" s="367"/>
      <c r="BL78" s="367"/>
      <c r="BM78" s="367"/>
      <c r="BN78" s="367"/>
      <c r="BO78" s="367"/>
      <c r="BP78" s="367"/>
      <c r="BQ78" s="367"/>
      <c r="BR78" s="367"/>
      <c r="BS78" s="367"/>
      <c r="BT78" s="367"/>
      <c r="BU78" s="367"/>
      <c r="BV78" s="367"/>
      <c r="BW78" s="367"/>
      <c r="BX78" s="367"/>
      <c r="BY78" s="367"/>
      <c r="BZ78" s="367"/>
      <c r="CA78" s="367"/>
      <c r="CB78" s="367"/>
      <c r="CC78" s="367"/>
      <c r="CD78" s="367"/>
      <c r="CE78" s="367"/>
      <c r="CF78" s="367"/>
      <c r="CG78" s="367"/>
      <c r="CH78" s="367"/>
      <c r="CI78" s="367"/>
      <c r="CJ78" s="367"/>
      <c r="CK78" s="367"/>
    </row>
    <row r="79" spans="1:89" ht="12.95" customHeight="1" x14ac:dyDescent="0.25">
      <c r="B79" s="266" t="str">
        <f>VLOOKUP(143,Textbausteine_405[],Hilfsgrössen!$D$2,FALSE)</f>
        <v>3) Sans les apprentis</v>
      </c>
      <c r="H79" s="49"/>
      <c r="I79" s="49"/>
      <c r="J79" s="49"/>
      <c r="K79" s="49"/>
      <c r="L79" s="49"/>
      <c r="M79" s="49"/>
      <c r="T79" s="9"/>
      <c r="U79" s="9"/>
      <c r="V79" s="9"/>
      <c r="W79" s="9"/>
      <c r="X79" s="9"/>
      <c r="Y79" s="9"/>
      <c r="Z79" s="9"/>
    </row>
    <row r="80" spans="1:89" ht="12.95" customHeight="1" x14ac:dyDescent="0.2">
      <c r="H80" s="49"/>
      <c r="I80" s="49"/>
      <c r="J80" s="49"/>
      <c r="K80" s="49"/>
      <c r="L80" s="49"/>
      <c r="M80" s="49"/>
      <c r="T80" s="9"/>
      <c r="U80" s="9"/>
      <c r="V80" s="9"/>
      <c r="W80" s="9"/>
      <c r="X80" s="9"/>
      <c r="Y80" s="9"/>
      <c r="Z80" s="9"/>
    </row>
    <row r="81" spans="5:26" ht="12.95" customHeight="1" x14ac:dyDescent="0.2">
      <c r="H81" s="49"/>
      <c r="I81" s="49"/>
      <c r="J81" s="49"/>
      <c r="K81" s="49"/>
      <c r="L81" s="49"/>
      <c r="M81" s="49"/>
      <c r="T81" s="9"/>
      <c r="U81" s="9"/>
      <c r="V81" s="9"/>
      <c r="W81" s="9"/>
      <c r="X81" s="9"/>
      <c r="Y81" s="9"/>
      <c r="Z81" s="9"/>
    </row>
    <row r="82" spans="5:26" ht="12.95" customHeight="1" x14ac:dyDescent="0.2">
      <c r="E82" s="11"/>
      <c r="T82" s="9"/>
      <c r="U82" s="9"/>
      <c r="V82" s="9"/>
      <c r="W82" s="9"/>
      <c r="X82" s="9"/>
      <c r="Y82" s="9"/>
      <c r="Z82" s="9"/>
    </row>
    <row r="83" spans="5:26" ht="12.95" customHeight="1" x14ac:dyDescent="0.2">
      <c r="E83" s="11"/>
      <c r="T83" s="9"/>
      <c r="U83" s="9"/>
      <c r="V83" s="9"/>
      <c r="W83" s="9"/>
      <c r="X83" s="9"/>
      <c r="Y83" s="9"/>
      <c r="Z83" s="9"/>
    </row>
    <row r="84" spans="5:26" ht="12.95" customHeight="1" x14ac:dyDescent="0.2">
      <c r="E84" s="11"/>
      <c r="T84" s="9"/>
      <c r="U84" s="9"/>
      <c r="V84" s="9"/>
      <c r="W84" s="9"/>
      <c r="X84" s="9"/>
      <c r="Y84" s="9"/>
      <c r="Z84" s="9"/>
    </row>
    <row r="85" spans="5:26" ht="12.95" customHeight="1" x14ac:dyDescent="0.2">
      <c r="T85" s="9"/>
      <c r="U85" s="9"/>
      <c r="V85" s="9"/>
      <c r="W85" s="9"/>
      <c r="X85" s="9"/>
      <c r="Y85" s="9"/>
      <c r="Z85" s="9"/>
    </row>
    <row r="86" spans="5:26" ht="12.95" customHeight="1" x14ac:dyDescent="0.2">
      <c r="T86" s="9"/>
      <c r="U86" s="9"/>
      <c r="V86" s="9"/>
      <c r="W86" s="9"/>
      <c r="X86" s="9"/>
      <c r="Y86" s="9"/>
      <c r="Z86" s="9"/>
    </row>
    <row r="87" spans="5:26" ht="12.95" customHeight="1" x14ac:dyDescent="0.2">
      <c r="E87" s="29"/>
      <c r="F87" s="29"/>
      <c r="G87" s="35"/>
      <c r="H87" s="51"/>
      <c r="I87" s="51"/>
      <c r="J87" s="51"/>
      <c r="K87" s="51"/>
      <c r="L87" s="51"/>
      <c r="M87" s="51"/>
      <c r="T87" s="9"/>
      <c r="U87" s="9"/>
      <c r="V87" s="9"/>
      <c r="W87" s="9"/>
      <c r="X87" s="9"/>
      <c r="Y87" s="9"/>
      <c r="Z87" s="9"/>
    </row>
    <row r="88" spans="5:26" ht="12.95" customHeight="1" x14ac:dyDescent="0.2">
      <c r="E88" s="29"/>
      <c r="F88" s="29"/>
      <c r="G88" s="35"/>
      <c r="H88" s="51"/>
      <c r="I88" s="51"/>
      <c r="J88" s="51"/>
      <c r="K88" s="51"/>
      <c r="L88" s="51"/>
      <c r="M88" s="51"/>
      <c r="T88" s="9"/>
      <c r="U88" s="9"/>
      <c r="V88" s="9"/>
      <c r="W88" s="9"/>
      <c r="X88" s="9"/>
      <c r="Y88" s="9"/>
      <c r="Z88" s="9"/>
    </row>
    <row r="89" spans="5:26" ht="12.95" customHeight="1" x14ac:dyDescent="0.2">
      <c r="E89" s="29"/>
      <c r="F89" s="29"/>
      <c r="G89" s="35"/>
      <c r="H89" s="51"/>
      <c r="I89" s="51"/>
      <c r="J89" s="51"/>
      <c r="K89" s="51"/>
      <c r="L89" s="51"/>
      <c r="M89" s="51"/>
      <c r="T89" s="9"/>
      <c r="U89" s="9"/>
      <c r="V89" s="9"/>
      <c r="W89" s="9"/>
      <c r="X89" s="9"/>
      <c r="Y89" s="9"/>
      <c r="Z89" s="9"/>
    </row>
    <row r="90" spans="5:26" ht="12.95" customHeight="1" x14ac:dyDescent="0.2">
      <c r="E90" s="29"/>
      <c r="F90" s="29"/>
      <c r="G90" s="35"/>
      <c r="H90" s="72"/>
      <c r="I90" s="72"/>
      <c r="J90" s="72"/>
      <c r="K90" s="72"/>
      <c r="L90" s="72"/>
      <c r="M90" s="72"/>
    </row>
    <row r="91" spans="5:26" ht="12.95" customHeight="1" x14ac:dyDescent="0.2">
      <c r="E91" s="29"/>
      <c r="F91" s="29"/>
      <c r="G91" s="35"/>
      <c r="H91" s="73"/>
      <c r="I91" s="73"/>
      <c r="J91" s="73"/>
      <c r="K91" s="73"/>
      <c r="L91" s="73"/>
      <c r="M91" s="73"/>
    </row>
    <row r="92" spans="5:26" ht="12.95" customHeight="1" x14ac:dyDescent="0.25">
      <c r="E92" s="30"/>
      <c r="F92" s="30"/>
      <c r="G92" s="36"/>
    </row>
    <row r="94" spans="5:26" ht="12.95" customHeight="1" x14ac:dyDescent="0.2">
      <c r="H94" s="268"/>
      <c r="I94" s="268"/>
      <c r="J94" s="268"/>
      <c r="K94" s="268"/>
      <c r="L94" s="268"/>
      <c r="M94" s="268"/>
    </row>
    <row r="95" spans="5:26" ht="12.95" customHeight="1" x14ac:dyDescent="0.2">
      <c r="H95" s="268"/>
      <c r="I95" s="268"/>
      <c r="J95" s="268"/>
      <c r="K95" s="268"/>
      <c r="L95" s="268"/>
      <c r="M95" s="268"/>
    </row>
    <row r="96" spans="5:26" ht="12.95" customHeight="1" x14ac:dyDescent="0.2">
      <c r="E96" s="28"/>
      <c r="F96" s="28"/>
      <c r="G96" s="33"/>
      <c r="H96" s="268"/>
      <c r="I96" s="268"/>
      <c r="J96" s="268"/>
      <c r="K96" s="268"/>
      <c r="L96" s="268"/>
      <c r="M96" s="268"/>
    </row>
    <row r="97" spans="5:26" ht="12.95" customHeight="1" x14ac:dyDescent="0.2">
      <c r="E97" s="28"/>
      <c r="F97" s="28"/>
      <c r="G97" s="33"/>
      <c r="H97" s="268"/>
      <c r="I97" s="268"/>
      <c r="J97" s="268"/>
      <c r="K97" s="268"/>
      <c r="L97" s="268"/>
      <c r="M97" s="268"/>
    </row>
    <row r="98" spans="5:26" ht="12.95" customHeight="1" x14ac:dyDescent="0.2">
      <c r="E98" s="11"/>
      <c r="H98" s="51"/>
      <c r="I98" s="51"/>
      <c r="J98" s="51"/>
      <c r="K98" s="51"/>
      <c r="L98" s="51"/>
      <c r="M98" s="51"/>
      <c r="T98" s="75"/>
      <c r="U98" s="75"/>
      <c r="V98" s="75"/>
      <c r="W98" s="75"/>
      <c r="X98" s="75"/>
      <c r="Y98" s="75"/>
      <c r="Z98" s="75"/>
    </row>
    <row r="99" spans="5:26" ht="12.95" customHeight="1" x14ac:dyDescent="0.2">
      <c r="E99" s="28"/>
      <c r="F99" s="28"/>
      <c r="G99" s="33"/>
      <c r="H99" s="51"/>
      <c r="I99" s="51"/>
      <c r="J99" s="51"/>
      <c r="K99" s="51"/>
      <c r="L99" s="51"/>
      <c r="M99" s="51"/>
      <c r="T99" s="75"/>
      <c r="U99" s="75"/>
      <c r="V99" s="75"/>
      <c r="W99" s="75"/>
      <c r="X99" s="75"/>
      <c r="Y99" s="75"/>
      <c r="Z99" s="75"/>
    </row>
    <row r="100" spans="5:26" ht="12.95" customHeight="1" x14ac:dyDescent="0.2">
      <c r="E100" s="11"/>
      <c r="H100" s="51"/>
      <c r="I100" s="51"/>
      <c r="J100" s="51"/>
      <c r="K100" s="51"/>
      <c r="L100" s="51"/>
      <c r="M100" s="51"/>
    </row>
    <row r="101" spans="5:26" ht="12.95" customHeight="1" x14ac:dyDescent="0.2">
      <c r="E101" s="11"/>
      <c r="H101" s="72"/>
      <c r="I101" s="72"/>
      <c r="J101" s="72"/>
      <c r="K101" s="72"/>
      <c r="L101" s="72"/>
      <c r="M101" s="72"/>
      <c r="T101" s="9"/>
      <c r="U101" s="9"/>
      <c r="V101" s="9"/>
      <c r="W101" s="9"/>
      <c r="X101" s="9"/>
      <c r="Y101" s="9"/>
      <c r="Z101" s="9"/>
    </row>
    <row r="102" spans="5:26" ht="12.95" customHeight="1" x14ac:dyDescent="0.2">
      <c r="E102" s="11"/>
      <c r="H102" s="72"/>
      <c r="I102" s="72"/>
      <c r="J102" s="72"/>
      <c r="K102" s="72"/>
      <c r="L102" s="72"/>
      <c r="M102" s="72"/>
      <c r="T102" s="9"/>
      <c r="U102" s="9"/>
      <c r="V102" s="9"/>
      <c r="W102" s="9"/>
      <c r="X102" s="9"/>
      <c r="Y102" s="9"/>
      <c r="Z102" s="9"/>
    </row>
    <row r="103" spans="5:26" ht="12.95" customHeight="1" x14ac:dyDescent="0.2">
      <c r="E103" s="11"/>
      <c r="T103" s="9"/>
      <c r="U103" s="9"/>
      <c r="V103" s="9"/>
      <c r="W103" s="9"/>
      <c r="X103" s="9"/>
      <c r="Y103" s="9"/>
      <c r="Z103" s="9"/>
    </row>
    <row r="104" spans="5:26" ht="12.95" customHeight="1" x14ac:dyDescent="0.2">
      <c r="E104" s="31"/>
      <c r="F104" s="31"/>
      <c r="T104" s="9"/>
      <c r="U104" s="9"/>
      <c r="V104" s="9"/>
      <c r="W104" s="9"/>
      <c r="X104" s="9"/>
      <c r="Y104" s="9"/>
      <c r="Z104" s="9"/>
    </row>
    <row r="105" spans="5:26" ht="12.95" customHeight="1" x14ac:dyDescent="0.2">
      <c r="E105" s="31"/>
      <c r="F105" s="31"/>
      <c r="T105" s="9"/>
      <c r="U105" s="9"/>
      <c r="V105" s="9"/>
      <c r="W105" s="9"/>
      <c r="X105" s="9"/>
      <c r="Y105" s="9"/>
      <c r="Z105" s="9"/>
    </row>
    <row r="106" spans="5:26" ht="12.95" customHeight="1" x14ac:dyDescent="0.2">
      <c r="E106" s="31"/>
      <c r="F106" s="31"/>
      <c r="H106" s="268"/>
      <c r="I106" s="268"/>
      <c r="J106" s="268"/>
      <c r="K106" s="268"/>
      <c r="L106" s="268"/>
      <c r="M106" s="268"/>
      <c r="T106" s="9"/>
      <c r="U106" s="9"/>
      <c r="V106" s="9"/>
      <c r="W106" s="9"/>
      <c r="X106" s="9"/>
      <c r="Y106" s="9"/>
      <c r="Z106" s="9"/>
    </row>
    <row r="107" spans="5:26" ht="12.95" customHeight="1" x14ac:dyDescent="0.2">
      <c r="H107" s="268"/>
      <c r="I107" s="268"/>
      <c r="J107" s="268"/>
      <c r="K107" s="268"/>
      <c r="L107" s="268"/>
      <c r="M107" s="268"/>
      <c r="T107" s="9"/>
      <c r="U107" s="9"/>
      <c r="V107" s="9"/>
      <c r="W107" s="9"/>
      <c r="X107" s="9"/>
      <c r="Y107" s="9"/>
      <c r="Z107" s="9"/>
    </row>
    <row r="108" spans="5:26" ht="12.95" customHeight="1" x14ac:dyDescent="0.2">
      <c r="H108" s="268"/>
      <c r="I108" s="268"/>
      <c r="J108" s="268"/>
      <c r="K108" s="268"/>
      <c r="L108" s="268"/>
      <c r="M108" s="268"/>
      <c r="T108" s="9"/>
      <c r="U108" s="9"/>
      <c r="V108" s="9"/>
      <c r="W108" s="9"/>
      <c r="X108" s="9"/>
      <c r="Y108" s="9"/>
      <c r="Z108" s="9"/>
    </row>
    <row r="109" spans="5:26" ht="12.95" customHeight="1" x14ac:dyDescent="0.2">
      <c r="H109" s="268"/>
      <c r="I109" s="268"/>
      <c r="J109" s="268"/>
      <c r="K109" s="268"/>
      <c r="L109" s="268"/>
      <c r="M109" s="268"/>
      <c r="T109" s="75"/>
      <c r="U109" s="75"/>
      <c r="V109" s="75"/>
      <c r="W109" s="75"/>
      <c r="X109" s="75"/>
      <c r="Y109" s="75"/>
      <c r="Z109" s="75"/>
    </row>
    <row r="110" spans="5:26" ht="12.95" customHeight="1" x14ac:dyDescent="0.2">
      <c r="H110" s="268"/>
      <c r="I110" s="268"/>
      <c r="J110" s="268"/>
      <c r="K110" s="268"/>
      <c r="L110" s="268"/>
      <c r="M110" s="268"/>
      <c r="T110" s="75"/>
      <c r="U110" s="75"/>
      <c r="V110" s="75"/>
      <c r="W110" s="75"/>
      <c r="X110" s="75"/>
      <c r="Y110" s="75"/>
      <c r="Z110" s="75"/>
    </row>
    <row r="111" spans="5:26" ht="12.95" customHeight="1" x14ac:dyDescent="0.2">
      <c r="H111" s="268"/>
      <c r="I111" s="268"/>
      <c r="J111" s="268"/>
      <c r="K111" s="268"/>
      <c r="L111" s="268"/>
      <c r="M111" s="268"/>
    </row>
    <row r="112" spans="5:26" ht="12.95" customHeight="1" x14ac:dyDescent="0.2">
      <c r="H112" s="268"/>
      <c r="I112" s="268"/>
      <c r="J112" s="268"/>
      <c r="K112" s="268"/>
      <c r="L112" s="268"/>
      <c r="M112" s="268"/>
    </row>
    <row r="113" spans="8:26" ht="12.95" customHeight="1" x14ac:dyDescent="0.2">
      <c r="H113" s="268"/>
      <c r="I113" s="268"/>
      <c r="J113" s="268"/>
      <c r="K113" s="268"/>
      <c r="L113" s="268"/>
      <c r="M113" s="268"/>
    </row>
    <row r="114" spans="8:26" ht="12.95" customHeight="1" x14ac:dyDescent="0.2">
      <c r="H114" s="268"/>
      <c r="I114" s="268"/>
      <c r="J114" s="268"/>
      <c r="K114" s="268"/>
      <c r="L114" s="268"/>
      <c r="M114" s="268"/>
      <c r="T114" s="9"/>
      <c r="U114" s="9"/>
      <c r="V114" s="9"/>
      <c r="W114" s="9"/>
      <c r="X114" s="9"/>
      <c r="Y114" s="9"/>
      <c r="Z114" s="9"/>
    </row>
    <row r="115" spans="8:26" ht="12.95" customHeight="1" x14ac:dyDescent="0.2">
      <c r="H115" s="268"/>
      <c r="I115" s="268"/>
      <c r="J115" s="268"/>
      <c r="K115" s="268"/>
      <c r="L115" s="268"/>
      <c r="M115" s="268"/>
      <c r="T115" s="9"/>
      <c r="U115" s="9"/>
      <c r="V115" s="9"/>
      <c r="W115" s="9"/>
      <c r="X115" s="9"/>
      <c r="Y115" s="9"/>
      <c r="Z115" s="9"/>
    </row>
    <row r="116" spans="8:26" ht="12.95" customHeight="1" x14ac:dyDescent="0.2">
      <c r="H116" s="268"/>
      <c r="I116" s="268"/>
      <c r="J116" s="268"/>
      <c r="K116" s="268"/>
      <c r="L116" s="268"/>
      <c r="M116" s="268"/>
      <c r="T116" s="9"/>
      <c r="U116" s="9"/>
      <c r="V116" s="9"/>
      <c r="W116" s="9"/>
      <c r="X116" s="9"/>
      <c r="Y116" s="9"/>
      <c r="Z116" s="9"/>
    </row>
    <row r="117" spans="8:26" ht="12.95" customHeight="1" x14ac:dyDescent="0.2">
      <c r="H117" s="268"/>
      <c r="I117" s="268"/>
      <c r="J117" s="268"/>
      <c r="K117" s="268"/>
      <c r="L117" s="268"/>
      <c r="M117" s="268"/>
      <c r="T117" s="9"/>
      <c r="U117" s="9"/>
      <c r="V117" s="9"/>
      <c r="W117" s="9"/>
      <c r="X117" s="9"/>
      <c r="Y117" s="9"/>
      <c r="Z117" s="9"/>
    </row>
    <row r="118" spans="8:26" ht="12.95" customHeight="1" x14ac:dyDescent="0.2">
      <c r="H118" s="268"/>
      <c r="I118" s="268"/>
      <c r="J118" s="268"/>
      <c r="K118" s="268"/>
      <c r="L118" s="268"/>
      <c r="M118" s="268"/>
      <c r="T118" s="9"/>
      <c r="U118" s="9"/>
      <c r="V118" s="9"/>
      <c r="W118" s="9"/>
      <c r="X118" s="9"/>
      <c r="Y118" s="9"/>
      <c r="Z118" s="9"/>
    </row>
    <row r="119" spans="8:26" ht="12.95" customHeight="1" x14ac:dyDescent="0.2">
      <c r="H119" s="268"/>
      <c r="I119" s="268"/>
      <c r="J119" s="268"/>
      <c r="K119" s="268"/>
      <c r="L119" s="268"/>
      <c r="M119" s="268"/>
      <c r="T119" s="9"/>
      <c r="U119" s="9"/>
      <c r="V119" s="9"/>
      <c r="W119" s="9"/>
      <c r="X119" s="9"/>
      <c r="Y119" s="9"/>
      <c r="Z119" s="9"/>
    </row>
    <row r="120" spans="8:26" ht="12.95" customHeight="1" x14ac:dyDescent="0.2">
      <c r="H120" s="268"/>
      <c r="I120" s="268"/>
      <c r="J120" s="268"/>
      <c r="K120" s="268"/>
      <c r="L120" s="268"/>
      <c r="M120" s="268"/>
      <c r="T120" s="9"/>
      <c r="U120" s="9"/>
      <c r="V120" s="9"/>
      <c r="W120" s="9"/>
      <c r="X120" s="9"/>
      <c r="Y120" s="9"/>
      <c r="Z120" s="9"/>
    </row>
    <row r="121" spans="8:26" ht="12.95" customHeight="1" x14ac:dyDescent="0.2">
      <c r="H121" s="268"/>
      <c r="I121" s="268"/>
      <c r="J121" s="268"/>
      <c r="K121" s="268"/>
      <c r="L121" s="268"/>
      <c r="M121" s="268"/>
      <c r="T121" s="9"/>
      <c r="U121" s="9"/>
      <c r="V121" s="9"/>
      <c r="W121" s="9"/>
      <c r="X121" s="9"/>
      <c r="Y121" s="9"/>
      <c r="Z121" s="9"/>
    </row>
    <row r="122" spans="8:26" ht="12.95" customHeight="1" x14ac:dyDescent="0.2">
      <c r="H122" s="268"/>
      <c r="I122" s="268"/>
      <c r="J122" s="268"/>
      <c r="K122" s="268"/>
      <c r="L122" s="268"/>
      <c r="M122" s="268"/>
      <c r="T122" s="9"/>
      <c r="U122" s="9"/>
      <c r="V122" s="9"/>
      <c r="W122" s="9"/>
      <c r="X122" s="9"/>
      <c r="Y122" s="9"/>
      <c r="Z122" s="9"/>
    </row>
    <row r="123" spans="8:26" ht="12.95" customHeight="1" x14ac:dyDescent="0.2">
      <c r="H123" s="268"/>
      <c r="I123" s="268"/>
      <c r="J123" s="268"/>
      <c r="K123" s="268"/>
      <c r="L123" s="268"/>
      <c r="M123" s="268"/>
      <c r="T123" s="9"/>
      <c r="U123" s="9"/>
      <c r="V123" s="9"/>
      <c r="W123" s="9"/>
      <c r="X123" s="9"/>
      <c r="Y123" s="9"/>
      <c r="Z123" s="9"/>
    </row>
    <row r="124" spans="8:26" ht="12.95" customHeight="1" x14ac:dyDescent="0.2">
      <c r="T124" s="9"/>
      <c r="U124" s="9"/>
      <c r="V124" s="9"/>
      <c r="W124" s="9"/>
      <c r="X124" s="9"/>
      <c r="Y124" s="9"/>
      <c r="Z124" s="9"/>
    </row>
    <row r="125" spans="8:26" ht="12.95" customHeight="1" x14ac:dyDescent="0.2">
      <c r="T125" s="9"/>
      <c r="U125" s="9"/>
      <c r="V125" s="9"/>
      <c r="W125" s="9"/>
      <c r="X125" s="9"/>
      <c r="Y125" s="9"/>
      <c r="Z125" s="9"/>
    </row>
    <row r="126" spans="8:26" ht="12.95" customHeight="1" x14ac:dyDescent="0.2">
      <c r="T126" s="9"/>
      <c r="U126" s="9"/>
      <c r="V126" s="9"/>
      <c r="W126" s="9"/>
      <c r="X126" s="9"/>
      <c r="Y126" s="9"/>
      <c r="Z126" s="9"/>
    </row>
    <row r="127" spans="8:26" ht="12.95" customHeight="1" x14ac:dyDescent="0.2">
      <c r="T127" s="9"/>
      <c r="U127" s="9"/>
      <c r="V127" s="9"/>
      <c r="W127" s="9"/>
      <c r="X127" s="9"/>
      <c r="Y127" s="9"/>
      <c r="Z127" s="9"/>
    </row>
    <row r="128" spans="8:26" ht="12.95" customHeight="1" x14ac:dyDescent="0.2">
      <c r="T128" s="9"/>
      <c r="U128" s="9"/>
      <c r="V128" s="9"/>
      <c r="W128" s="9"/>
      <c r="X128" s="9"/>
      <c r="Y128" s="9"/>
      <c r="Z128" s="9"/>
    </row>
    <row r="129" spans="7:26" ht="12.95" customHeight="1" x14ac:dyDescent="0.2">
      <c r="T129" s="9"/>
      <c r="U129" s="9"/>
      <c r="V129" s="9"/>
      <c r="W129" s="9"/>
      <c r="X129" s="9"/>
      <c r="Y129" s="9"/>
      <c r="Z129" s="9"/>
    </row>
    <row r="130" spans="7:26" ht="12.95" customHeight="1" x14ac:dyDescent="0.2">
      <c r="H130" s="72"/>
      <c r="I130" s="72"/>
      <c r="J130" s="72"/>
      <c r="K130" s="72"/>
      <c r="L130" s="72"/>
      <c r="M130" s="72"/>
      <c r="T130" s="9"/>
      <c r="U130" s="9"/>
      <c r="V130" s="9"/>
      <c r="W130" s="9"/>
      <c r="X130" s="9"/>
      <c r="Y130" s="9"/>
      <c r="Z130" s="9"/>
    </row>
    <row r="131" spans="7:26" ht="12.95" customHeight="1" x14ac:dyDescent="0.2">
      <c r="H131" s="72"/>
      <c r="I131" s="72"/>
      <c r="J131" s="72"/>
      <c r="K131" s="72"/>
      <c r="L131" s="72"/>
      <c r="M131" s="72"/>
      <c r="T131" s="9"/>
      <c r="U131" s="9"/>
      <c r="V131" s="9"/>
      <c r="W131" s="9"/>
      <c r="X131" s="9"/>
      <c r="Y131" s="9"/>
      <c r="Z131" s="9"/>
    </row>
    <row r="133" spans="7:26" ht="12.95" customHeight="1" x14ac:dyDescent="0.2">
      <c r="H133" s="7"/>
      <c r="I133" s="7"/>
      <c r="J133" s="7"/>
      <c r="K133" s="7"/>
      <c r="L133" s="7"/>
      <c r="M133" s="7"/>
    </row>
    <row r="134" spans="7:26" ht="12.95" customHeight="1" x14ac:dyDescent="0.2">
      <c r="G134" s="33"/>
    </row>
    <row r="135" spans="7:26" ht="12.95" customHeight="1" x14ac:dyDescent="0.2">
      <c r="G135" s="33"/>
    </row>
    <row r="137" spans="7:26" ht="12.95" customHeight="1" x14ac:dyDescent="0.2">
      <c r="G137" s="33"/>
    </row>
    <row r="138" spans="7:26" ht="12.95" customHeight="1" x14ac:dyDescent="0.2">
      <c r="T138" s="75"/>
      <c r="U138" s="75"/>
      <c r="V138" s="75"/>
      <c r="W138" s="75"/>
      <c r="X138" s="75"/>
      <c r="Y138" s="75"/>
      <c r="Z138" s="75"/>
    </row>
    <row r="139" spans="7:26" ht="12.95" customHeight="1" x14ac:dyDescent="0.2">
      <c r="T139" s="75"/>
      <c r="U139" s="75"/>
      <c r="V139" s="75"/>
      <c r="W139" s="75"/>
      <c r="X139" s="75"/>
      <c r="Y139" s="75"/>
      <c r="Z139" s="75"/>
    </row>
    <row r="142" spans="7:26" ht="12.95" customHeight="1" x14ac:dyDescent="0.2">
      <c r="G142" s="37"/>
    </row>
    <row r="143" spans="7:26" ht="12.95" customHeight="1" x14ac:dyDescent="0.2">
      <c r="G143" s="37"/>
      <c r="T143" s="81"/>
      <c r="U143" s="81"/>
      <c r="V143" s="81"/>
      <c r="W143" s="81"/>
      <c r="X143" s="81"/>
      <c r="Y143" s="81"/>
      <c r="Z143" s="81"/>
    </row>
    <row r="144" spans="7:26" ht="12.95" customHeight="1" x14ac:dyDescent="0.2">
      <c r="G144" s="37"/>
      <c r="T144" s="81"/>
      <c r="U144" s="81"/>
      <c r="V144" s="81"/>
      <c r="W144" s="81"/>
      <c r="X144" s="81"/>
      <c r="Y144" s="81"/>
      <c r="Z144" s="81"/>
    </row>
    <row r="145" spans="8:26" ht="12.95" customHeight="1" x14ac:dyDescent="0.2">
      <c r="T145" s="81"/>
      <c r="U145" s="81"/>
      <c r="V145" s="81"/>
      <c r="W145" s="81"/>
      <c r="X145" s="81"/>
      <c r="Y145" s="81"/>
      <c r="Z145" s="81"/>
    </row>
    <row r="146" spans="8:26" ht="12.95" customHeight="1" x14ac:dyDescent="0.2">
      <c r="T146" s="81"/>
      <c r="U146" s="81"/>
      <c r="V146" s="81"/>
      <c r="W146" s="81"/>
      <c r="X146" s="81"/>
      <c r="Y146" s="81"/>
      <c r="Z146" s="81"/>
    </row>
    <row r="147" spans="8:26" ht="12.95" customHeight="1" x14ac:dyDescent="0.2">
      <c r="T147" s="81"/>
      <c r="U147" s="81"/>
      <c r="V147" s="81"/>
      <c r="W147" s="81"/>
      <c r="X147" s="81"/>
      <c r="Y147" s="81"/>
      <c r="Z147" s="81"/>
    </row>
    <row r="148" spans="8:26" ht="12.95" customHeight="1" x14ac:dyDescent="0.2">
      <c r="T148" s="81"/>
      <c r="U148" s="81"/>
      <c r="V148" s="81"/>
      <c r="W148" s="81"/>
      <c r="X148" s="81"/>
      <c r="Y148" s="81"/>
      <c r="Z148" s="81"/>
    </row>
    <row r="149" spans="8:26" ht="12.95" customHeight="1" x14ac:dyDescent="0.2">
      <c r="T149" s="81"/>
      <c r="U149" s="81"/>
      <c r="V149" s="81"/>
      <c r="W149" s="81"/>
      <c r="X149" s="81"/>
      <c r="Y149" s="81"/>
      <c r="Z149" s="81"/>
    </row>
    <row r="150" spans="8:26" ht="12.95" customHeight="1" x14ac:dyDescent="0.2">
      <c r="T150" s="81"/>
      <c r="U150" s="81"/>
      <c r="V150" s="81"/>
      <c r="W150" s="81"/>
      <c r="X150" s="81"/>
      <c r="Y150" s="81"/>
      <c r="Z150" s="81"/>
    </row>
    <row r="152" spans="8:26" ht="12.95" customHeight="1" x14ac:dyDescent="0.2">
      <c r="H152" s="72"/>
      <c r="I152" s="72"/>
      <c r="J152" s="72"/>
      <c r="K152" s="72"/>
      <c r="L152" s="72"/>
      <c r="M152" s="72"/>
    </row>
    <row r="153" spans="8:26" ht="12.95" customHeight="1" x14ac:dyDescent="0.2">
      <c r="H153" s="73"/>
      <c r="I153" s="73"/>
      <c r="J153" s="73"/>
      <c r="K153" s="73"/>
      <c r="L153" s="73"/>
      <c r="M153" s="73"/>
    </row>
    <row r="156" spans="8:26" ht="12.95" customHeight="1" x14ac:dyDescent="0.2">
      <c r="H156" s="268"/>
      <c r="I156" s="268"/>
      <c r="J156" s="268"/>
      <c r="K156" s="268"/>
      <c r="L156" s="268"/>
      <c r="M156" s="268"/>
    </row>
    <row r="157" spans="8:26" ht="12.95" customHeight="1" x14ac:dyDescent="0.2">
      <c r="H157" s="268"/>
      <c r="I157" s="268"/>
      <c r="J157" s="268"/>
      <c r="K157" s="268"/>
      <c r="L157" s="268"/>
      <c r="M157" s="268"/>
    </row>
    <row r="158" spans="8:26" ht="12.95" customHeight="1" x14ac:dyDescent="0.2">
      <c r="H158" s="268"/>
      <c r="I158" s="268"/>
      <c r="J158" s="268"/>
      <c r="K158" s="268"/>
      <c r="L158" s="268"/>
      <c r="M158" s="268"/>
    </row>
  </sheetData>
  <sheetProtection algorithmName="SHA-512" hashValue="OEU8rn+X0eeu+IhCLycTC7EGbnoGxpstWA6jRrxuvjCiNrhh5Jg2AYoUD4WP9X1IMTsYOZ43/BB4wIiauZoJkw==" saltValue="GpfkXIMIP2DIOBLAldE+1g==" spinCount="100000" sheet="1" objects="1" scenarios="1"/>
  <mergeCells count="7">
    <mergeCell ref="D2:E2"/>
    <mergeCell ref="B29:C30"/>
    <mergeCell ref="B64:C65"/>
    <mergeCell ref="B44:C45"/>
    <mergeCell ref="B2:C2"/>
    <mergeCell ref="B3:C3"/>
    <mergeCell ref="B13:C14"/>
  </mergeCells>
  <conditionalFormatting sqref="H13:Y16 H19:X21 I18 H23:Y32 J22:X22 H17:X17 H38:Y47 H33:X37 H58:Y68 H48:X57 H76:Y10002 H69:X75 AA13:CE10002">
    <cfRule type="expression" dxfId="165" priority="136">
      <formula>AND($D13&lt;&gt;"",H$13&lt;&gt;"",H13="")</formula>
    </cfRule>
    <cfRule type="expression" dxfId="164" priority="137">
      <formula>AND($A13="",ABS(H13)=0)</formula>
    </cfRule>
    <cfRule type="expression" dxfId="163" priority="138">
      <formula>AND($A13="",ABS(H13)&lt;10)</formula>
    </cfRule>
    <cfRule type="expression" dxfId="162" priority="139">
      <formula>AND($A13="",ABS(H13)&lt;100)</formula>
    </cfRule>
    <cfRule type="expression" dxfId="161" priority="140">
      <formula>AND($A13="",ABS(H13)&gt;=100)</formula>
    </cfRule>
  </conditionalFormatting>
  <conditionalFormatting sqref="Y69:Y75">
    <cfRule type="expression" dxfId="160" priority="101">
      <formula>AND($D69&lt;&gt;"",Y$13&lt;&gt;"",Y69="")</formula>
    </cfRule>
    <cfRule type="expression" dxfId="159" priority="102">
      <formula>AND($A69="",ABS(Y69)=0)</formula>
    </cfRule>
    <cfRule type="expression" dxfId="158" priority="103">
      <formula>AND($A69="",ABS(Y69)&lt;10)</formula>
    </cfRule>
    <cfRule type="expression" dxfId="157" priority="104">
      <formula>AND($A69="",ABS(Y69)&lt;100)</formula>
    </cfRule>
    <cfRule type="expression" dxfId="156" priority="105">
      <formula>AND($A69="",ABS(Y69)&gt;=100)</formula>
    </cfRule>
  </conditionalFormatting>
  <conditionalFormatting sqref="Y17 Y19:Y22">
    <cfRule type="expression" dxfId="155" priority="121">
      <formula>AND($D17&lt;&gt;"",Y$13&lt;&gt;"",Y17="")</formula>
    </cfRule>
    <cfRule type="expression" dxfId="154" priority="122">
      <formula>AND($A17="",ABS(Y17)=0)</formula>
    </cfRule>
    <cfRule type="expression" dxfId="153" priority="123">
      <formula>AND($A17="",ABS(Y17)&lt;10)</formula>
    </cfRule>
    <cfRule type="expression" dxfId="152" priority="124">
      <formula>AND($A17="",ABS(Y17)&lt;100)</formula>
    </cfRule>
    <cfRule type="expression" dxfId="151" priority="125">
      <formula>AND($A17="",ABS(Y17)&gt;=100)</formula>
    </cfRule>
  </conditionalFormatting>
  <conditionalFormatting sqref="Y18">
    <cfRule type="expression" dxfId="150" priority="116">
      <formula>AND($D18&lt;&gt;"",Y$13&lt;&gt;"",Y18="")</formula>
    </cfRule>
    <cfRule type="expression" dxfId="149" priority="117">
      <formula>AND($A18="",ABS(Y18)=0)</formula>
    </cfRule>
    <cfRule type="expression" dxfId="148" priority="118">
      <formula>AND($A18="",ABS(Y18)&lt;10)</formula>
    </cfRule>
    <cfRule type="expression" dxfId="147" priority="119">
      <formula>AND($A18="",ABS(Y18)&lt;100)</formula>
    </cfRule>
    <cfRule type="expression" dxfId="146" priority="120">
      <formula>AND($A18="",ABS(Y18)&gt;=100)</formula>
    </cfRule>
  </conditionalFormatting>
  <conditionalFormatting sqref="Y33:Y36">
    <cfRule type="expression" dxfId="145" priority="111">
      <formula>AND($D33&lt;&gt;"",Y$13&lt;&gt;"",Y33="")</formula>
    </cfRule>
    <cfRule type="expression" dxfId="144" priority="112">
      <formula>AND($A33="",ABS(Y33)=0)</formula>
    </cfRule>
    <cfRule type="expression" dxfId="143" priority="113">
      <formula>AND($A33="",ABS(Y33)&lt;10)</formula>
    </cfRule>
    <cfRule type="expression" dxfId="142" priority="114">
      <formula>AND($A33="",ABS(Y33)&lt;100)</formula>
    </cfRule>
    <cfRule type="expression" dxfId="141" priority="115">
      <formula>AND($A33="",ABS(Y33)&gt;=100)</formula>
    </cfRule>
  </conditionalFormatting>
  <conditionalFormatting sqref="Y48:Y52 Y54:Y57">
    <cfRule type="expression" dxfId="140" priority="106">
      <formula>AND($D48&lt;&gt;"",Y$13&lt;&gt;"",Y48="")</formula>
    </cfRule>
    <cfRule type="expression" dxfId="139" priority="107">
      <formula>AND($A48="",ABS(Y48)=0)</formula>
    </cfRule>
    <cfRule type="expression" dxfId="138" priority="108">
      <formula>AND($A48="",ABS(Y48)&lt;10)</formula>
    </cfRule>
    <cfRule type="expression" dxfId="137" priority="109">
      <formula>AND($A48="",ABS(Y48)&lt;100)</formula>
    </cfRule>
    <cfRule type="expression" dxfId="136" priority="110">
      <formula>AND($A48="",ABS(Y48)&gt;=100)</formula>
    </cfRule>
  </conditionalFormatting>
  <conditionalFormatting sqref="Y53">
    <cfRule type="expression" dxfId="135" priority="96">
      <formula>AND($D53&lt;&gt;"",Y$13&lt;&gt;"",Y53="")</formula>
    </cfRule>
    <cfRule type="expression" dxfId="134" priority="97">
      <formula>AND($A53="",ABS(Y53)=0)</formula>
    </cfRule>
    <cfRule type="expression" dxfId="133" priority="98">
      <formula>AND($A53="",ABS(Y53)&lt;10)</formula>
    </cfRule>
    <cfRule type="expression" dxfId="132" priority="99">
      <formula>AND($A53="",ABS(Y53)&lt;100)</formula>
    </cfRule>
    <cfRule type="expression" dxfId="131" priority="100">
      <formula>AND($A53="",ABS(Y53)&gt;=100)</formula>
    </cfRule>
  </conditionalFormatting>
  <conditionalFormatting sqref="Y37">
    <cfRule type="expression" dxfId="130" priority="91">
      <formula>AND($D37&lt;&gt;"",Y$13&lt;&gt;"",Y37="")</formula>
    </cfRule>
    <cfRule type="expression" dxfId="129" priority="92">
      <formula>AND($A37="",ABS(Y37)=0)</formula>
    </cfRule>
    <cfRule type="expression" dxfId="128" priority="93">
      <formula>AND($A37="",ABS(Y37)&lt;10)</formula>
    </cfRule>
    <cfRule type="expression" dxfId="127" priority="94">
      <formula>AND($A37="",ABS(Y37)&lt;100)</formula>
    </cfRule>
    <cfRule type="expression" dxfId="126" priority="95">
      <formula>AND($A37="",ABS(Y37)&gt;=100)</formula>
    </cfRule>
  </conditionalFormatting>
  <conditionalFormatting sqref="Z13:Z16 Z23:Z32 Z38:Z47 Z58:Z68 Z76:Z10002">
    <cfRule type="expression" dxfId="125" priority="36">
      <formula>AND($D13&lt;&gt;"",Z$13&lt;&gt;"",Z13="")</formula>
    </cfRule>
    <cfRule type="expression" dxfId="124" priority="37">
      <formula>AND($A13="",ABS(Z13)=0)</formula>
    </cfRule>
    <cfRule type="expression" dxfId="123" priority="38">
      <formula>AND($A13="",ABS(Z13)&lt;10)</formula>
    </cfRule>
    <cfRule type="expression" dxfId="122" priority="39">
      <formula>AND($A13="",ABS(Z13)&lt;100)</formula>
    </cfRule>
    <cfRule type="expression" dxfId="121" priority="40">
      <formula>AND($A13="",ABS(Z13)&gt;=100)</formula>
    </cfRule>
  </conditionalFormatting>
  <conditionalFormatting sqref="Z69:Z75">
    <cfRule type="expression" dxfId="120" priority="11">
      <formula>AND($D69&lt;&gt;"",Z$13&lt;&gt;"",Z69="")</formula>
    </cfRule>
    <cfRule type="expression" dxfId="119" priority="12">
      <formula>AND($A69="",ABS(Z69)=0)</formula>
    </cfRule>
    <cfRule type="expression" dxfId="118" priority="13">
      <formula>AND($A69="",ABS(Z69)&lt;10)</formula>
    </cfRule>
    <cfRule type="expression" dxfId="117" priority="14">
      <formula>AND($A69="",ABS(Z69)&lt;100)</formula>
    </cfRule>
    <cfRule type="expression" dxfId="116" priority="15">
      <formula>AND($A69="",ABS(Z69)&gt;=100)</formula>
    </cfRule>
  </conditionalFormatting>
  <conditionalFormatting sqref="Z17 Z19:Z22">
    <cfRule type="expression" dxfId="115" priority="31">
      <formula>AND($D17&lt;&gt;"",Z$13&lt;&gt;"",Z17="")</formula>
    </cfRule>
    <cfRule type="expression" dxfId="114" priority="32">
      <formula>AND($A17="",ABS(Z17)=0)</formula>
    </cfRule>
    <cfRule type="expression" dxfId="113" priority="33">
      <formula>AND($A17="",ABS(Z17)&lt;10)</formula>
    </cfRule>
    <cfRule type="expression" dxfId="112" priority="34">
      <formula>AND($A17="",ABS(Z17)&lt;100)</formula>
    </cfRule>
    <cfRule type="expression" dxfId="111" priority="35">
      <formula>AND($A17="",ABS(Z17)&gt;=100)</formula>
    </cfRule>
  </conditionalFormatting>
  <conditionalFormatting sqref="Z18">
    <cfRule type="expression" dxfId="110" priority="26">
      <formula>AND($D18&lt;&gt;"",Z$13&lt;&gt;"",Z18="")</formula>
    </cfRule>
    <cfRule type="expression" dxfId="109" priority="27">
      <formula>AND($A18="",ABS(Z18)=0)</formula>
    </cfRule>
    <cfRule type="expression" dxfId="108" priority="28">
      <formula>AND($A18="",ABS(Z18)&lt;10)</formula>
    </cfRule>
    <cfRule type="expression" dxfId="107" priority="29">
      <formula>AND($A18="",ABS(Z18)&lt;100)</formula>
    </cfRule>
    <cfRule type="expression" dxfId="106" priority="30">
      <formula>AND($A18="",ABS(Z18)&gt;=100)</formula>
    </cfRule>
  </conditionalFormatting>
  <conditionalFormatting sqref="Z33:Z36">
    <cfRule type="expression" dxfId="105" priority="21">
      <formula>AND($D33&lt;&gt;"",Z$13&lt;&gt;"",Z33="")</formula>
    </cfRule>
    <cfRule type="expression" dxfId="104" priority="22">
      <formula>AND($A33="",ABS(Z33)=0)</formula>
    </cfRule>
    <cfRule type="expression" dxfId="103" priority="23">
      <formula>AND($A33="",ABS(Z33)&lt;10)</formula>
    </cfRule>
    <cfRule type="expression" dxfId="102" priority="24">
      <formula>AND($A33="",ABS(Z33)&lt;100)</formula>
    </cfRule>
    <cfRule type="expression" dxfId="101" priority="25">
      <formula>AND($A33="",ABS(Z33)&gt;=100)</formula>
    </cfRule>
  </conditionalFormatting>
  <conditionalFormatting sqref="Z48:Z52 Z54:Z57">
    <cfRule type="expression" dxfId="100" priority="16">
      <formula>AND($D48&lt;&gt;"",Z$13&lt;&gt;"",Z48="")</formula>
    </cfRule>
    <cfRule type="expression" dxfId="99" priority="17">
      <formula>AND($A48="",ABS(Z48)=0)</formula>
    </cfRule>
    <cfRule type="expression" dxfId="98" priority="18">
      <formula>AND($A48="",ABS(Z48)&lt;10)</formula>
    </cfRule>
    <cfRule type="expression" dxfId="97" priority="19">
      <formula>AND($A48="",ABS(Z48)&lt;100)</formula>
    </cfRule>
    <cfRule type="expression" dxfId="96" priority="20">
      <formula>AND($A48="",ABS(Z48)&gt;=100)</formula>
    </cfRule>
  </conditionalFormatting>
  <conditionalFormatting sqref="Z53">
    <cfRule type="expression" dxfId="95" priority="6">
      <formula>AND($D53&lt;&gt;"",Z$13&lt;&gt;"",Z53="")</formula>
    </cfRule>
    <cfRule type="expression" dxfId="94" priority="7">
      <formula>AND($A53="",ABS(Z53)=0)</formula>
    </cfRule>
    <cfRule type="expression" dxfId="93" priority="8">
      <formula>AND($A53="",ABS(Z53)&lt;10)</formula>
    </cfRule>
    <cfRule type="expression" dxfId="92" priority="9">
      <formula>AND($A53="",ABS(Z53)&lt;100)</formula>
    </cfRule>
    <cfRule type="expression" dxfId="91" priority="10">
      <formula>AND($A53="",ABS(Z53)&gt;=100)</formula>
    </cfRule>
  </conditionalFormatting>
  <conditionalFormatting sqref="Z37">
    <cfRule type="expression" dxfId="90" priority="1">
      <formula>AND($D37&lt;&gt;"",Z$13&lt;&gt;"",Z37="")</formula>
    </cfRule>
    <cfRule type="expression" dxfId="89" priority="2">
      <formula>AND($A37="",ABS(Z37)=0)</formula>
    </cfRule>
    <cfRule type="expression" dxfId="88" priority="3">
      <formula>AND($A37="",ABS(Z37)&lt;10)</formula>
    </cfRule>
    <cfRule type="expression" dxfId="87" priority="4">
      <formula>AND($A37="",ABS(Z37)&lt;100)</formula>
    </cfRule>
    <cfRule type="expression" dxfId="86" priority="5">
      <formula>AND($A37="",ABS(Z37)&gt;=100)</formula>
    </cfRule>
  </conditionalFormatting>
  <dataValidations count="2">
    <dataValidation type="list" allowBlank="1" showInputMessage="1" showErrorMessage="1" sqref="G2" xr:uid="{00000000-0002-0000-0A00-000000000000}">
      <formula1>Sprache</formula1>
    </dataValidation>
    <dataValidation allowBlank="1" showInputMessage="1" showErrorMessage="1" sqref="F2" xr:uid="{A4999C2C-1D33-44E0-B207-92F874F08008}"/>
  </dataValidations>
  <hyperlinks>
    <hyperlink ref="A13" location="GRI_405" display="Ó" xr:uid="{00000000-0004-0000-0A00-000000000000}"/>
    <hyperlink ref="D2" location="Home" display="Home" xr:uid="{00000000-0004-0000-0A00-000001000000}"/>
    <hyperlink ref="A29" location="GRI_405" display="Ó" xr:uid="{00000000-0004-0000-0A00-000002000000}"/>
    <hyperlink ref="A64" location="GRI_405" display="Ó" xr:uid="{00000000-0004-0000-0A00-000003000000}"/>
    <hyperlink ref="A44" location="GRI_405" display="Ó" xr:uid="{00000000-0004-0000-0A00-000004000000}"/>
    <hyperlink ref="C7" location="GRI_405_1" display="GRI_405_1" xr:uid="{00000000-0004-0000-0A00-000005000000}"/>
    <hyperlink ref="C8" location="GRI_405_1b" display="GRI_405_1b" xr:uid="{00000000-0004-0000-0A00-000006000000}"/>
    <hyperlink ref="C9" location="GRI_405_1c" display="GRI_405_1c" xr:uid="{00000000-0004-0000-0A00-000007000000}"/>
    <hyperlink ref="C10" location="GRI_405_1d" display="GRI_405_1d" xr:uid="{00000000-0004-0000-0A00-000008000000}"/>
  </hyperlinks>
  <pageMargins left="0.7" right="0.7" top="0.78740157499999996" bottom="0.78740157499999996" header="0.3" footer="0.3"/>
  <pageSetup paperSize="9" orientation="portrait" r:id="rId1"/>
  <ignoredErrors>
    <ignoredError sqref="E17:E19 E69:E75 E48:E57 E33:E37" twoDigitTextYea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belle6">
    <tabColor theme="3"/>
  </sheetPr>
  <dimension ref="A1:BT355"/>
  <sheetViews>
    <sheetView showRowColHeaders="0" zoomScale="90" zoomScaleNormal="90" workbookViewId="0">
      <selection activeCell="E8" sqref="E8"/>
    </sheetView>
  </sheetViews>
  <sheetFormatPr baseColWidth="10" defaultColWidth="11.42578125" defaultRowHeight="12.75" x14ac:dyDescent="0.2"/>
  <cols>
    <col min="2" max="5" width="31.7109375" customWidth="1"/>
    <col min="8" max="11" width="27.85546875" customWidth="1"/>
    <col min="20" max="23" width="21.7109375" customWidth="1"/>
    <col min="38" max="41" width="16.28515625" customWidth="1"/>
    <col min="56" max="56" width="15.85546875" customWidth="1"/>
  </cols>
  <sheetData>
    <row r="1" spans="1:72" x14ac:dyDescent="0.2">
      <c r="A1" t="s">
        <v>148</v>
      </c>
      <c r="B1" t="s">
        <v>0</v>
      </c>
      <c r="C1" t="s">
        <v>149</v>
      </c>
      <c r="D1" t="s">
        <v>150</v>
      </c>
      <c r="E1" t="s">
        <v>151</v>
      </c>
      <c r="G1" t="s">
        <v>148</v>
      </c>
      <c r="H1" t="s">
        <v>0</v>
      </c>
      <c r="I1" t="s">
        <v>149</v>
      </c>
      <c r="J1" t="s">
        <v>150</v>
      </c>
      <c r="K1" t="s">
        <v>151</v>
      </c>
      <c r="M1" t="s">
        <v>148</v>
      </c>
      <c r="N1" t="s">
        <v>0</v>
      </c>
      <c r="O1" t="s">
        <v>149</v>
      </c>
      <c r="P1" t="s">
        <v>150</v>
      </c>
      <c r="Q1" t="s">
        <v>151</v>
      </c>
      <c r="S1" t="s">
        <v>148</v>
      </c>
      <c r="T1" t="s">
        <v>0</v>
      </c>
      <c r="U1" t="s">
        <v>149</v>
      </c>
      <c r="V1" t="s">
        <v>150</v>
      </c>
      <c r="W1" t="s">
        <v>151</v>
      </c>
      <c r="Y1" t="s">
        <v>148</v>
      </c>
      <c r="Z1" t="s">
        <v>0</v>
      </c>
      <c r="AA1" t="s">
        <v>149</v>
      </c>
      <c r="AB1" t="s">
        <v>150</v>
      </c>
      <c r="AC1" t="s">
        <v>151</v>
      </c>
      <c r="AE1" t="s">
        <v>148</v>
      </c>
      <c r="AF1" t="s">
        <v>0</v>
      </c>
      <c r="AG1" t="s">
        <v>149</v>
      </c>
      <c r="AH1" t="s">
        <v>150</v>
      </c>
      <c r="AI1" t="s">
        <v>151</v>
      </c>
      <c r="AK1" t="s">
        <v>148</v>
      </c>
      <c r="AL1" t="s">
        <v>0</v>
      </c>
      <c r="AM1" t="s">
        <v>149</v>
      </c>
      <c r="AN1" t="s">
        <v>150</v>
      </c>
      <c r="AO1" t="s">
        <v>151</v>
      </c>
      <c r="AP1" s="333" t="s">
        <v>152</v>
      </c>
      <c r="AQ1" t="s">
        <v>148</v>
      </c>
      <c r="AR1" t="s">
        <v>0</v>
      </c>
      <c r="AS1" t="s">
        <v>149</v>
      </c>
      <c r="AT1" t="s">
        <v>150</v>
      </c>
      <c r="AU1" t="s">
        <v>151</v>
      </c>
      <c r="AW1" t="s">
        <v>148</v>
      </c>
      <c r="AX1" t="s">
        <v>0</v>
      </c>
      <c r="AY1" t="s">
        <v>149</v>
      </c>
      <c r="AZ1" t="s">
        <v>150</v>
      </c>
      <c r="BA1" t="s">
        <v>151</v>
      </c>
      <c r="BC1" t="s">
        <v>148</v>
      </c>
      <c r="BD1" t="s">
        <v>0</v>
      </c>
      <c r="BE1" t="s">
        <v>149</v>
      </c>
      <c r="BF1" t="s">
        <v>150</v>
      </c>
      <c r="BG1" t="s">
        <v>151</v>
      </c>
      <c r="BH1" t="s">
        <v>152</v>
      </c>
      <c r="BJ1" t="s">
        <v>148</v>
      </c>
      <c r="BK1" t="s">
        <v>0</v>
      </c>
      <c r="BL1" t="s">
        <v>149</v>
      </c>
      <c r="BM1" t="s">
        <v>150</v>
      </c>
      <c r="BN1" t="s">
        <v>151</v>
      </c>
      <c r="BP1" t="s">
        <v>148</v>
      </c>
      <c r="BQ1" t="s">
        <v>0</v>
      </c>
      <c r="BR1" t="s">
        <v>149</v>
      </c>
      <c r="BS1" t="s">
        <v>150</v>
      </c>
      <c r="BT1" t="s">
        <v>151</v>
      </c>
    </row>
    <row r="2" spans="1:72" x14ac:dyDescent="0.2">
      <c r="A2">
        <f t="shared" ref="A2:A8" si="0">ROW()-1</f>
        <v>1</v>
      </c>
      <c r="B2" t="s">
        <v>153</v>
      </c>
      <c r="C2" t="s">
        <v>154</v>
      </c>
      <c r="D2" t="s">
        <v>155</v>
      </c>
      <c r="E2" t="s">
        <v>156</v>
      </c>
      <c r="G2">
        <f>ROW()-1</f>
        <v>1</v>
      </c>
      <c r="H2" t="s">
        <v>157</v>
      </c>
      <c r="I2" t="s">
        <v>158</v>
      </c>
      <c r="J2" t="s">
        <v>159</v>
      </c>
      <c r="K2" t="s">
        <v>160</v>
      </c>
      <c r="M2">
        <f>ROW()-1</f>
        <v>1</v>
      </c>
      <c r="N2" t="s">
        <v>161</v>
      </c>
      <c r="O2" t="s">
        <v>162</v>
      </c>
      <c r="P2" t="s">
        <v>163</v>
      </c>
      <c r="Q2" t="s">
        <v>164</v>
      </c>
      <c r="S2">
        <f>ROW()-1</f>
        <v>1</v>
      </c>
      <c r="T2" t="s">
        <v>165</v>
      </c>
      <c r="U2" t="s">
        <v>166</v>
      </c>
      <c r="V2" t="s">
        <v>167</v>
      </c>
      <c r="W2" t="s">
        <v>168</v>
      </c>
      <c r="Y2">
        <f>ROW()-1</f>
        <v>1</v>
      </c>
      <c r="Z2" t="s">
        <v>169</v>
      </c>
      <c r="AA2" t="s">
        <v>170</v>
      </c>
      <c r="AB2" t="s">
        <v>171</v>
      </c>
      <c r="AC2" t="s">
        <v>172</v>
      </c>
      <c r="AE2">
        <f>ROW()-1</f>
        <v>1</v>
      </c>
      <c r="AF2" t="s">
        <v>173</v>
      </c>
      <c r="AG2" t="s">
        <v>174</v>
      </c>
      <c r="AH2" t="s">
        <v>175</v>
      </c>
      <c r="AI2" t="s">
        <v>176</v>
      </c>
      <c r="AK2">
        <f>ROW()-1</f>
        <v>1</v>
      </c>
      <c r="AL2" t="s">
        <v>177</v>
      </c>
      <c r="AM2" t="s">
        <v>178</v>
      </c>
      <c r="AN2" t="s">
        <v>179</v>
      </c>
      <c r="AO2" t="s">
        <v>180</v>
      </c>
      <c r="AP2" s="333"/>
      <c r="AQ2">
        <f>ROW()-1</f>
        <v>1</v>
      </c>
      <c r="AR2" t="s">
        <v>181</v>
      </c>
      <c r="AS2" t="s">
        <v>182</v>
      </c>
      <c r="AT2" t="s">
        <v>183</v>
      </c>
      <c r="AU2" t="s">
        <v>184</v>
      </c>
      <c r="AW2">
        <f>ROW()-1</f>
        <v>1</v>
      </c>
      <c r="AX2" t="s">
        <v>185</v>
      </c>
      <c r="AY2" t="s">
        <v>186</v>
      </c>
      <c r="AZ2" t="s">
        <v>187</v>
      </c>
      <c r="BA2" t="s">
        <v>188</v>
      </c>
      <c r="BC2">
        <f>ROW()-1</f>
        <v>1</v>
      </c>
      <c r="BD2" t="s">
        <v>189</v>
      </c>
      <c r="BE2" t="s">
        <v>190</v>
      </c>
      <c r="BF2" t="s">
        <v>191</v>
      </c>
      <c r="BG2" t="s">
        <v>192</v>
      </c>
      <c r="BJ2">
        <f>ROW()-1</f>
        <v>1</v>
      </c>
      <c r="BK2" t="s">
        <v>193</v>
      </c>
      <c r="BL2" t="s">
        <v>194</v>
      </c>
      <c r="BM2" t="s">
        <v>195</v>
      </c>
      <c r="BN2" t="s">
        <v>196</v>
      </c>
      <c r="BP2">
        <f>ROW()-1</f>
        <v>1</v>
      </c>
      <c r="BQ2" t="s">
        <v>197</v>
      </c>
      <c r="BR2" t="s">
        <v>198</v>
      </c>
      <c r="BS2" t="s">
        <v>199</v>
      </c>
      <c r="BT2" t="s">
        <v>200</v>
      </c>
    </row>
    <row r="3" spans="1:72" x14ac:dyDescent="0.2">
      <c r="A3">
        <f t="shared" si="0"/>
        <v>2</v>
      </c>
      <c r="B3" t="s">
        <v>201</v>
      </c>
      <c r="C3" t="s">
        <v>202</v>
      </c>
      <c r="D3" t="s">
        <v>203</v>
      </c>
      <c r="E3" t="s">
        <v>204</v>
      </c>
      <c r="G3">
        <f>ROW()-1</f>
        <v>2</v>
      </c>
      <c r="H3" t="s">
        <v>205</v>
      </c>
      <c r="I3" t="s">
        <v>206</v>
      </c>
      <c r="J3" t="s">
        <v>207</v>
      </c>
      <c r="K3" t="s">
        <v>208</v>
      </c>
      <c r="M3">
        <f t="shared" ref="M3:M66" si="1">ROW()-1</f>
        <v>2</v>
      </c>
      <c r="N3" t="s">
        <v>209</v>
      </c>
      <c r="O3" t="s">
        <v>210</v>
      </c>
      <c r="P3" t="s">
        <v>211</v>
      </c>
      <c r="Q3" t="s">
        <v>212</v>
      </c>
      <c r="S3">
        <f t="shared" ref="S3:S66" si="2">ROW()-1</f>
        <v>2</v>
      </c>
      <c r="T3" t="s">
        <v>213</v>
      </c>
      <c r="U3" t="s">
        <v>214</v>
      </c>
      <c r="V3" t="s">
        <v>215</v>
      </c>
      <c r="W3" t="s">
        <v>216</v>
      </c>
      <c r="Y3">
        <f t="shared" ref="Y3:Y66" si="3">ROW()-1</f>
        <v>2</v>
      </c>
      <c r="AE3">
        <f t="shared" ref="AE3:AE66" si="4">ROW()-1</f>
        <v>2</v>
      </c>
      <c r="AF3" t="s">
        <v>217</v>
      </c>
      <c r="AG3" t="s">
        <v>218</v>
      </c>
      <c r="AH3" t="s">
        <v>219</v>
      </c>
      <c r="AI3" t="s">
        <v>220</v>
      </c>
      <c r="AK3">
        <f t="shared" ref="AK3:AK66" si="5">ROW()-1</f>
        <v>2</v>
      </c>
      <c r="AL3" t="s">
        <v>221</v>
      </c>
      <c r="AM3" t="s">
        <v>222</v>
      </c>
      <c r="AN3" t="s">
        <v>223</v>
      </c>
      <c r="AO3" t="s">
        <v>224</v>
      </c>
      <c r="AP3" s="333"/>
      <c r="AQ3">
        <f t="shared" ref="AQ3:AQ66" si="6">ROW()-1</f>
        <v>2</v>
      </c>
      <c r="AR3" t="s">
        <v>225</v>
      </c>
      <c r="AS3" t="s">
        <v>226</v>
      </c>
      <c r="AT3" t="s">
        <v>227</v>
      </c>
      <c r="AU3" t="s">
        <v>228</v>
      </c>
      <c r="AW3">
        <f t="shared" ref="AW3:AW66" si="7">ROW()-1</f>
        <v>2</v>
      </c>
      <c r="AX3" t="s">
        <v>229</v>
      </c>
      <c r="AY3" t="s">
        <v>230</v>
      </c>
      <c r="AZ3" t="s">
        <v>231</v>
      </c>
      <c r="BA3" t="s">
        <v>232</v>
      </c>
      <c r="BC3">
        <f t="shared" ref="BC3:BC66" si="8">ROW()-1</f>
        <v>2</v>
      </c>
      <c r="BJ3">
        <f t="shared" ref="BJ3:BJ66" si="9">ROW()-1</f>
        <v>2</v>
      </c>
      <c r="BK3" t="s">
        <v>233</v>
      </c>
      <c r="BL3" t="s">
        <v>234</v>
      </c>
      <c r="BM3" t="s">
        <v>235</v>
      </c>
      <c r="BN3" t="s">
        <v>236</v>
      </c>
      <c r="BP3">
        <f t="shared" ref="BP3:BP66" si="10">ROW()-1</f>
        <v>2</v>
      </c>
      <c r="BQ3" t="s">
        <v>237</v>
      </c>
      <c r="BR3" t="s">
        <v>238</v>
      </c>
      <c r="BS3" t="s">
        <v>239</v>
      </c>
      <c r="BT3" t="s">
        <v>240</v>
      </c>
    </row>
    <row r="4" spans="1:72" x14ac:dyDescent="0.2">
      <c r="A4">
        <f t="shared" si="0"/>
        <v>3</v>
      </c>
      <c r="B4" t="s">
        <v>241</v>
      </c>
      <c r="C4" t="s">
        <v>242</v>
      </c>
      <c r="D4" t="s">
        <v>243</v>
      </c>
      <c r="E4" t="s">
        <v>244</v>
      </c>
      <c r="G4">
        <f>ROW()-1</f>
        <v>3</v>
      </c>
      <c r="H4" t="s">
        <v>245</v>
      </c>
      <c r="I4" t="s">
        <v>246</v>
      </c>
      <c r="J4" t="s">
        <v>247</v>
      </c>
      <c r="K4" t="s">
        <v>248</v>
      </c>
      <c r="M4">
        <f t="shared" si="1"/>
        <v>3</v>
      </c>
      <c r="N4" t="s">
        <v>249</v>
      </c>
      <c r="O4" t="s">
        <v>250</v>
      </c>
      <c r="P4" t="s">
        <v>251</v>
      </c>
      <c r="Q4" t="s">
        <v>252</v>
      </c>
      <c r="S4">
        <f t="shared" si="2"/>
        <v>3</v>
      </c>
      <c r="T4" t="s">
        <v>253</v>
      </c>
      <c r="U4" t="s">
        <v>254</v>
      </c>
      <c r="V4" t="s">
        <v>255</v>
      </c>
      <c r="W4" t="s">
        <v>256</v>
      </c>
      <c r="Y4">
        <f t="shared" si="3"/>
        <v>3</v>
      </c>
      <c r="AE4">
        <f t="shared" si="4"/>
        <v>3</v>
      </c>
      <c r="AF4" t="s">
        <v>257</v>
      </c>
      <c r="AG4" t="s">
        <v>258</v>
      </c>
      <c r="AH4" t="s">
        <v>259</v>
      </c>
      <c r="AI4" t="s">
        <v>260</v>
      </c>
      <c r="AK4">
        <f t="shared" si="5"/>
        <v>3</v>
      </c>
      <c r="AP4" s="333"/>
      <c r="AQ4">
        <f t="shared" si="6"/>
        <v>3</v>
      </c>
      <c r="AR4" t="s">
        <v>261</v>
      </c>
      <c r="AS4" t="s">
        <v>262</v>
      </c>
      <c r="AT4" t="s">
        <v>263</v>
      </c>
      <c r="AU4" t="s">
        <v>264</v>
      </c>
      <c r="AW4">
        <f t="shared" si="7"/>
        <v>3</v>
      </c>
      <c r="AX4" t="s">
        <v>265</v>
      </c>
      <c r="AY4" t="s">
        <v>266</v>
      </c>
      <c r="AZ4" t="s">
        <v>267</v>
      </c>
      <c r="BA4" t="s">
        <v>268</v>
      </c>
      <c r="BC4">
        <f t="shared" si="8"/>
        <v>3</v>
      </c>
      <c r="BJ4">
        <f t="shared" si="9"/>
        <v>3</v>
      </c>
      <c r="BK4" t="s">
        <v>269</v>
      </c>
      <c r="BL4" t="s">
        <v>270</v>
      </c>
      <c r="BM4" t="s">
        <v>271</v>
      </c>
      <c r="BN4" t="s">
        <v>272</v>
      </c>
      <c r="BP4">
        <f t="shared" si="10"/>
        <v>3</v>
      </c>
      <c r="BQ4" t="s">
        <v>273</v>
      </c>
      <c r="BR4" t="s">
        <v>274</v>
      </c>
      <c r="BS4" t="s">
        <v>275</v>
      </c>
      <c r="BT4" t="s">
        <v>276</v>
      </c>
    </row>
    <row r="5" spans="1:72" x14ac:dyDescent="0.2">
      <c r="A5">
        <f t="shared" si="0"/>
        <v>4</v>
      </c>
      <c r="B5" t="s">
        <v>277</v>
      </c>
      <c r="C5" t="s">
        <v>278</v>
      </c>
      <c r="D5" t="s">
        <v>279</v>
      </c>
      <c r="E5" t="s">
        <v>280</v>
      </c>
      <c r="G5">
        <f>ROW()-1</f>
        <v>4</v>
      </c>
      <c r="H5" t="s">
        <v>281</v>
      </c>
      <c r="I5" t="s">
        <v>282</v>
      </c>
      <c r="J5" t="s">
        <v>283</v>
      </c>
      <c r="K5" t="s">
        <v>284</v>
      </c>
      <c r="M5">
        <f t="shared" si="1"/>
        <v>4</v>
      </c>
      <c r="N5" t="s">
        <v>285</v>
      </c>
      <c r="O5" t="s">
        <v>286</v>
      </c>
      <c r="P5" t="s">
        <v>287</v>
      </c>
      <c r="Q5" t="s">
        <v>288</v>
      </c>
      <c r="S5">
        <f t="shared" si="2"/>
        <v>4</v>
      </c>
      <c r="Y5">
        <f t="shared" si="3"/>
        <v>4</v>
      </c>
      <c r="AE5">
        <f t="shared" si="4"/>
        <v>4</v>
      </c>
      <c r="AF5" t="s">
        <v>289</v>
      </c>
      <c r="AG5" t="s">
        <v>290</v>
      </c>
      <c r="AH5" t="s">
        <v>291</v>
      </c>
      <c r="AI5" t="s">
        <v>292</v>
      </c>
      <c r="AK5">
        <f t="shared" si="5"/>
        <v>4</v>
      </c>
      <c r="AP5" s="333"/>
      <c r="AQ5">
        <f t="shared" si="6"/>
        <v>4</v>
      </c>
      <c r="AR5" t="s">
        <v>293</v>
      </c>
      <c r="AS5" t="s">
        <v>294</v>
      </c>
      <c r="AT5" t="s">
        <v>295</v>
      </c>
      <c r="AU5" t="s">
        <v>296</v>
      </c>
      <c r="AW5">
        <f t="shared" si="7"/>
        <v>4</v>
      </c>
      <c r="BC5">
        <f t="shared" si="8"/>
        <v>4</v>
      </c>
      <c r="BJ5">
        <f t="shared" si="9"/>
        <v>4</v>
      </c>
      <c r="BP5">
        <f t="shared" si="10"/>
        <v>4</v>
      </c>
      <c r="BQ5" t="s">
        <v>297</v>
      </c>
      <c r="BR5" t="s">
        <v>298</v>
      </c>
      <c r="BS5" t="s">
        <v>299</v>
      </c>
      <c r="BT5" t="s">
        <v>300</v>
      </c>
    </row>
    <row r="6" spans="1:72" x14ac:dyDescent="0.2">
      <c r="A6">
        <f t="shared" si="0"/>
        <v>5</v>
      </c>
      <c r="B6" t="s">
        <v>301</v>
      </c>
      <c r="C6" t="s">
        <v>302</v>
      </c>
      <c r="D6" t="s">
        <v>303</v>
      </c>
      <c r="E6" t="s">
        <v>304</v>
      </c>
      <c r="G6">
        <f t="shared" ref="G6:G8" si="11">ROW()-1</f>
        <v>5</v>
      </c>
      <c r="H6" t="s">
        <v>305</v>
      </c>
      <c r="I6" t="s">
        <v>306</v>
      </c>
      <c r="J6" t="s">
        <v>307</v>
      </c>
      <c r="K6" t="s">
        <v>308</v>
      </c>
      <c r="M6">
        <f t="shared" si="1"/>
        <v>5</v>
      </c>
      <c r="N6" t="s">
        <v>309</v>
      </c>
      <c r="O6" t="s">
        <v>310</v>
      </c>
      <c r="P6" t="s">
        <v>311</v>
      </c>
      <c r="Q6" t="s">
        <v>312</v>
      </c>
      <c r="S6">
        <f t="shared" si="2"/>
        <v>5</v>
      </c>
      <c r="Y6">
        <f t="shared" si="3"/>
        <v>5</v>
      </c>
      <c r="AE6">
        <f t="shared" si="4"/>
        <v>5</v>
      </c>
      <c r="AF6" t="s">
        <v>313</v>
      </c>
      <c r="AG6" t="s">
        <v>314</v>
      </c>
      <c r="AH6" t="s">
        <v>315</v>
      </c>
      <c r="AI6" t="s">
        <v>316</v>
      </c>
      <c r="AK6">
        <f t="shared" si="5"/>
        <v>5</v>
      </c>
      <c r="AP6" s="333"/>
      <c r="AQ6">
        <f t="shared" si="6"/>
        <v>5</v>
      </c>
      <c r="AR6" t="s">
        <v>317</v>
      </c>
      <c r="AS6" t="s">
        <v>318</v>
      </c>
      <c r="AT6" t="s">
        <v>319</v>
      </c>
      <c r="AU6" t="s">
        <v>320</v>
      </c>
      <c r="AW6">
        <f t="shared" si="7"/>
        <v>5</v>
      </c>
      <c r="BC6">
        <f t="shared" si="8"/>
        <v>5</v>
      </c>
      <c r="BJ6">
        <f t="shared" si="9"/>
        <v>5</v>
      </c>
      <c r="BP6">
        <f t="shared" si="10"/>
        <v>5</v>
      </c>
    </row>
    <row r="7" spans="1:72" x14ac:dyDescent="0.2">
      <c r="A7">
        <f t="shared" si="0"/>
        <v>6</v>
      </c>
      <c r="B7" t="s">
        <v>321</v>
      </c>
      <c r="C7" t="s">
        <v>322</v>
      </c>
      <c r="D7" t="s">
        <v>323</v>
      </c>
      <c r="E7" t="s">
        <v>324</v>
      </c>
      <c r="G7">
        <f t="shared" si="11"/>
        <v>6</v>
      </c>
      <c r="H7" t="s">
        <v>325</v>
      </c>
      <c r="I7" t="s">
        <v>326</v>
      </c>
      <c r="J7" t="s">
        <v>327</v>
      </c>
      <c r="K7" t="s">
        <v>328</v>
      </c>
      <c r="M7">
        <f t="shared" si="1"/>
        <v>6</v>
      </c>
      <c r="N7" t="s">
        <v>329</v>
      </c>
      <c r="O7" t="s">
        <v>330</v>
      </c>
      <c r="P7" t="s">
        <v>331</v>
      </c>
      <c r="Q7" t="s">
        <v>332</v>
      </c>
      <c r="S7">
        <f t="shared" si="2"/>
        <v>6</v>
      </c>
      <c r="Y7">
        <f t="shared" si="3"/>
        <v>6</v>
      </c>
      <c r="AE7">
        <f t="shared" si="4"/>
        <v>6</v>
      </c>
      <c r="AF7" t="s">
        <v>333</v>
      </c>
      <c r="AG7" t="s">
        <v>334</v>
      </c>
      <c r="AH7" t="s">
        <v>335</v>
      </c>
      <c r="AI7" t="s">
        <v>336</v>
      </c>
      <c r="AK7">
        <f t="shared" si="5"/>
        <v>6</v>
      </c>
      <c r="AP7" s="333"/>
      <c r="AQ7">
        <f t="shared" si="6"/>
        <v>6</v>
      </c>
      <c r="AW7">
        <f t="shared" si="7"/>
        <v>6</v>
      </c>
      <c r="BC7">
        <f t="shared" si="8"/>
        <v>6</v>
      </c>
      <c r="BJ7">
        <f t="shared" si="9"/>
        <v>6</v>
      </c>
      <c r="BP7">
        <f t="shared" si="10"/>
        <v>6</v>
      </c>
    </row>
    <row r="8" spans="1:72" x14ac:dyDescent="0.2">
      <c r="A8">
        <f t="shared" si="0"/>
        <v>7</v>
      </c>
      <c r="B8" t="s">
        <v>3163</v>
      </c>
      <c r="C8" t="s">
        <v>3164</v>
      </c>
      <c r="D8" t="s">
        <v>3165</v>
      </c>
      <c r="E8" t="s">
        <v>3166</v>
      </c>
      <c r="G8">
        <f t="shared" si="11"/>
        <v>7</v>
      </c>
      <c r="H8" t="s">
        <v>337</v>
      </c>
      <c r="I8" t="s">
        <v>338</v>
      </c>
      <c r="J8" t="s">
        <v>339</v>
      </c>
      <c r="K8" t="s">
        <v>340</v>
      </c>
      <c r="M8">
        <f t="shared" si="1"/>
        <v>7</v>
      </c>
      <c r="N8" t="s">
        <v>341</v>
      </c>
      <c r="O8" t="s">
        <v>342</v>
      </c>
      <c r="P8" t="s">
        <v>343</v>
      </c>
      <c r="Q8" t="s">
        <v>344</v>
      </c>
      <c r="S8">
        <f t="shared" si="2"/>
        <v>7</v>
      </c>
      <c r="Y8">
        <f t="shared" si="3"/>
        <v>7</v>
      </c>
      <c r="AE8">
        <f t="shared" si="4"/>
        <v>7</v>
      </c>
      <c r="AF8" t="s">
        <v>345</v>
      </c>
      <c r="AG8" t="s">
        <v>346</v>
      </c>
      <c r="AH8" t="s">
        <v>347</v>
      </c>
      <c r="AI8" t="s">
        <v>348</v>
      </c>
      <c r="AK8">
        <f t="shared" si="5"/>
        <v>7</v>
      </c>
      <c r="AP8" s="333"/>
      <c r="AQ8">
        <f t="shared" si="6"/>
        <v>7</v>
      </c>
      <c r="AW8">
        <f t="shared" si="7"/>
        <v>7</v>
      </c>
      <c r="BC8">
        <f t="shared" si="8"/>
        <v>7</v>
      </c>
      <c r="BJ8">
        <f t="shared" si="9"/>
        <v>7</v>
      </c>
      <c r="BP8">
        <f t="shared" si="10"/>
        <v>7</v>
      </c>
    </row>
    <row r="9" spans="1:72" x14ac:dyDescent="0.2">
      <c r="A9">
        <f t="shared" ref="A9:A13" si="12">ROW()-1</f>
        <v>8</v>
      </c>
      <c r="B9" t="s">
        <v>349</v>
      </c>
      <c r="C9" t="s">
        <v>350</v>
      </c>
      <c r="D9" t="s">
        <v>351</v>
      </c>
      <c r="E9" t="s">
        <v>352</v>
      </c>
      <c r="G9">
        <f>ROW()-1</f>
        <v>8</v>
      </c>
      <c r="H9" t="s">
        <v>353</v>
      </c>
      <c r="I9" t="s">
        <v>354</v>
      </c>
      <c r="J9" t="s">
        <v>355</v>
      </c>
      <c r="K9" t="s">
        <v>356</v>
      </c>
      <c r="M9">
        <f t="shared" si="1"/>
        <v>8</v>
      </c>
      <c r="N9" t="s">
        <v>357</v>
      </c>
      <c r="O9" t="s">
        <v>358</v>
      </c>
      <c r="P9" t="s">
        <v>359</v>
      </c>
      <c r="Q9" t="s">
        <v>360</v>
      </c>
      <c r="S9">
        <f t="shared" si="2"/>
        <v>8</v>
      </c>
      <c r="Y9">
        <f t="shared" si="3"/>
        <v>8</v>
      </c>
      <c r="AE9">
        <f t="shared" si="4"/>
        <v>8</v>
      </c>
      <c r="AK9">
        <f t="shared" si="5"/>
        <v>8</v>
      </c>
      <c r="AP9" s="333"/>
      <c r="AQ9">
        <f t="shared" si="6"/>
        <v>8</v>
      </c>
      <c r="AW9">
        <f t="shared" si="7"/>
        <v>8</v>
      </c>
      <c r="BC9">
        <f t="shared" si="8"/>
        <v>8</v>
      </c>
      <c r="BJ9">
        <f t="shared" si="9"/>
        <v>8</v>
      </c>
      <c r="BP9">
        <f t="shared" si="10"/>
        <v>8</v>
      </c>
    </row>
    <row r="10" spans="1:72" x14ac:dyDescent="0.2">
      <c r="A10">
        <f t="shared" si="12"/>
        <v>9</v>
      </c>
      <c r="B10" t="s">
        <v>361</v>
      </c>
      <c r="C10" t="s">
        <v>362</v>
      </c>
      <c r="D10" t="s">
        <v>363</v>
      </c>
      <c r="E10" t="s">
        <v>364</v>
      </c>
      <c r="G10">
        <f t="shared" ref="G10:G14" si="13">ROW()-1</f>
        <v>9</v>
      </c>
      <c r="H10" t="s">
        <v>365</v>
      </c>
      <c r="I10" t="s">
        <v>366</v>
      </c>
      <c r="J10" t="s">
        <v>367</v>
      </c>
      <c r="K10" t="s">
        <v>368</v>
      </c>
      <c r="M10">
        <f t="shared" si="1"/>
        <v>9</v>
      </c>
      <c r="N10" t="s">
        <v>369</v>
      </c>
      <c r="O10" t="s">
        <v>370</v>
      </c>
      <c r="P10" t="s">
        <v>371</v>
      </c>
      <c r="Q10" t="s">
        <v>372</v>
      </c>
      <c r="S10">
        <f t="shared" si="2"/>
        <v>9</v>
      </c>
      <c r="Y10">
        <f t="shared" si="3"/>
        <v>9</v>
      </c>
      <c r="AE10">
        <f t="shared" si="4"/>
        <v>9</v>
      </c>
      <c r="AK10">
        <f t="shared" si="5"/>
        <v>9</v>
      </c>
      <c r="AP10" s="333"/>
      <c r="AQ10">
        <f t="shared" si="6"/>
        <v>9</v>
      </c>
      <c r="AW10">
        <f t="shared" si="7"/>
        <v>9</v>
      </c>
      <c r="BC10">
        <f t="shared" si="8"/>
        <v>9</v>
      </c>
      <c r="BJ10">
        <f t="shared" si="9"/>
        <v>9</v>
      </c>
      <c r="BP10">
        <f t="shared" si="10"/>
        <v>9</v>
      </c>
    </row>
    <row r="11" spans="1:72" x14ac:dyDescent="0.2">
      <c r="A11">
        <f t="shared" si="12"/>
        <v>10</v>
      </c>
      <c r="B11" t="s">
        <v>373</v>
      </c>
      <c r="C11" t="s">
        <v>374</v>
      </c>
      <c r="D11" t="s">
        <v>375</v>
      </c>
      <c r="E11" t="s">
        <v>376</v>
      </c>
      <c r="G11">
        <f t="shared" si="13"/>
        <v>10</v>
      </c>
      <c r="H11" t="s">
        <v>377</v>
      </c>
      <c r="I11" t="s">
        <v>378</v>
      </c>
      <c r="J11" t="s">
        <v>379</v>
      </c>
      <c r="K11" t="s">
        <v>380</v>
      </c>
      <c r="M11">
        <f t="shared" si="1"/>
        <v>10</v>
      </c>
      <c r="N11" t="s">
        <v>381</v>
      </c>
      <c r="O11" t="s">
        <v>382</v>
      </c>
      <c r="P11" t="s">
        <v>383</v>
      </c>
      <c r="Q11" t="s">
        <v>384</v>
      </c>
      <c r="S11">
        <f t="shared" si="2"/>
        <v>10</v>
      </c>
      <c r="Y11">
        <f t="shared" si="3"/>
        <v>10</v>
      </c>
      <c r="AE11">
        <f t="shared" si="4"/>
        <v>10</v>
      </c>
      <c r="AK11">
        <f t="shared" si="5"/>
        <v>10</v>
      </c>
      <c r="AP11" s="333"/>
      <c r="AQ11">
        <f t="shared" si="6"/>
        <v>10</v>
      </c>
      <c r="AW11">
        <f t="shared" si="7"/>
        <v>10</v>
      </c>
      <c r="BC11">
        <f t="shared" si="8"/>
        <v>10</v>
      </c>
      <c r="BJ11">
        <f t="shared" si="9"/>
        <v>10</v>
      </c>
      <c r="BP11">
        <f t="shared" si="10"/>
        <v>10</v>
      </c>
    </row>
    <row r="12" spans="1:72" x14ac:dyDescent="0.2">
      <c r="A12">
        <f t="shared" si="12"/>
        <v>11</v>
      </c>
      <c r="B12" t="s">
        <v>385</v>
      </c>
      <c r="C12" t="s">
        <v>386</v>
      </c>
      <c r="D12" t="s">
        <v>387</v>
      </c>
      <c r="E12" t="s">
        <v>388</v>
      </c>
      <c r="G12">
        <f t="shared" si="13"/>
        <v>11</v>
      </c>
      <c r="H12" t="s">
        <v>389</v>
      </c>
      <c r="I12" t="s">
        <v>390</v>
      </c>
      <c r="J12" t="s">
        <v>391</v>
      </c>
      <c r="K12" t="s">
        <v>392</v>
      </c>
      <c r="M12">
        <f t="shared" si="1"/>
        <v>11</v>
      </c>
      <c r="N12" t="s">
        <v>393</v>
      </c>
      <c r="O12" t="s">
        <v>394</v>
      </c>
      <c r="P12" t="s">
        <v>395</v>
      </c>
      <c r="Q12" t="s">
        <v>396</v>
      </c>
      <c r="S12">
        <f t="shared" si="2"/>
        <v>11</v>
      </c>
      <c r="T12" t="s">
        <v>397</v>
      </c>
      <c r="U12" t="s">
        <v>398</v>
      </c>
      <c r="V12" t="s">
        <v>399</v>
      </c>
      <c r="W12" t="s">
        <v>400</v>
      </c>
      <c r="Y12">
        <f t="shared" si="3"/>
        <v>11</v>
      </c>
      <c r="Z12" t="s">
        <v>401</v>
      </c>
      <c r="AA12" t="s">
        <v>401</v>
      </c>
      <c r="AB12" t="s">
        <v>401</v>
      </c>
      <c r="AC12" t="s">
        <v>401</v>
      </c>
      <c r="AE12">
        <f t="shared" si="4"/>
        <v>11</v>
      </c>
      <c r="AF12" t="s">
        <v>397</v>
      </c>
      <c r="AG12" t="s">
        <v>398</v>
      </c>
      <c r="AH12" t="s">
        <v>399</v>
      </c>
      <c r="AI12" t="s">
        <v>400</v>
      </c>
      <c r="AK12">
        <f t="shared" si="5"/>
        <v>11</v>
      </c>
      <c r="AL12" t="s">
        <v>402</v>
      </c>
      <c r="AM12" t="s">
        <v>402</v>
      </c>
      <c r="AN12" t="s">
        <v>402</v>
      </c>
      <c r="AO12" t="s">
        <v>402</v>
      </c>
      <c r="AP12" s="333"/>
      <c r="AQ12">
        <f t="shared" si="6"/>
        <v>11</v>
      </c>
      <c r="AR12" t="s">
        <v>403</v>
      </c>
      <c r="AS12" t="s">
        <v>404</v>
      </c>
      <c r="AT12" t="s">
        <v>405</v>
      </c>
      <c r="AU12" t="s">
        <v>406</v>
      </c>
      <c r="AW12">
        <f t="shared" si="7"/>
        <v>11</v>
      </c>
      <c r="AX12" t="s">
        <v>407</v>
      </c>
      <c r="AY12" t="s">
        <v>408</v>
      </c>
      <c r="AZ12" t="s">
        <v>409</v>
      </c>
      <c r="BA12" t="s">
        <v>410</v>
      </c>
      <c r="BC12">
        <f t="shared" si="8"/>
        <v>11</v>
      </c>
      <c r="BD12" t="s">
        <v>411</v>
      </c>
      <c r="BE12" t="s">
        <v>412</v>
      </c>
      <c r="BF12" t="s">
        <v>413</v>
      </c>
      <c r="BG12" t="s">
        <v>414</v>
      </c>
      <c r="BJ12">
        <f t="shared" si="9"/>
        <v>11</v>
      </c>
      <c r="BK12" t="s">
        <v>415</v>
      </c>
      <c r="BL12" t="s">
        <v>416</v>
      </c>
      <c r="BM12" t="s">
        <v>417</v>
      </c>
      <c r="BN12" t="s">
        <v>332</v>
      </c>
      <c r="BP12">
        <f t="shared" si="10"/>
        <v>11</v>
      </c>
      <c r="BQ12" t="s">
        <v>418</v>
      </c>
      <c r="BR12" t="s">
        <v>419</v>
      </c>
      <c r="BS12" t="s">
        <v>420</v>
      </c>
      <c r="BT12" t="s">
        <v>421</v>
      </c>
    </row>
    <row r="13" spans="1:72" x14ac:dyDescent="0.2">
      <c r="A13">
        <f t="shared" si="12"/>
        <v>12</v>
      </c>
      <c r="B13" t="s">
        <v>422</v>
      </c>
      <c r="C13" t="s">
        <v>423</v>
      </c>
      <c r="D13" t="s">
        <v>424</v>
      </c>
      <c r="E13" t="s">
        <v>425</v>
      </c>
      <c r="G13">
        <f t="shared" si="13"/>
        <v>12</v>
      </c>
      <c r="H13" t="s">
        <v>426</v>
      </c>
      <c r="I13" t="s">
        <v>427</v>
      </c>
      <c r="J13" t="s">
        <v>428</v>
      </c>
      <c r="K13" t="s">
        <v>429</v>
      </c>
      <c r="M13">
        <f t="shared" si="1"/>
        <v>12</v>
      </c>
      <c r="S13">
        <f t="shared" si="2"/>
        <v>12</v>
      </c>
      <c r="T13" t="s">
        <v>31</v>
      </c>
      <c r="U13" t="s">
        <v>31</v>
      </c>
      <c r="V13" t="s">
        <v>31</v>
      </c>
      <c r="W13" t="s">
        <v>31</v>
      </c>
      <c r="Y13">
        <f t="shared" si="3"/>
        <v>12</v>
      </c>
      <c r="Z13" t="s">
        <v>430</v>
      </c>
      <c r="AA13" t="s">
        <v>431</v>
      </c>
      <c r="AB13" t="s">
        <v>432</v>
      </c>
      <c r="AC13" t="s">
        <v>433</v>
      </c>
      <c r="AE13">
        <f t="shared" si="4"/>
        <v>12</v>
      </c>
      <c r="AF13" t="s">
        <v>31</v>
      </c>
      <c r="AG13" t="s">
        <v>31</v>
      </c>
      <c r="AH13" t="s">
        <v>31</v>
      </c>
      <c r="AI13" t="s">
        <v>31</v>
      </c>
      <c r="AK13">
        <f t="shared" si="5"/>
        <v>12</v>
      </c>
      <c r="AL13" t="s">
        <v>31</v>
      </c>
      <c r="AM13" t="s">
        <v>31</v>
      </c>
      <c r="AN13" t="s">
        <v>31</v>
      </c>
      <c r="AO13" t="s">
        <v>31</v>
      </c>
      <c r="AP13" s="333"/>
      <c r="AQ13">
        <f t="shared" si="6"/>
        <v>12</v>
      </c>
      <c r="AR13" t="s">
        <v>434</v>
      </c>
      <c r="AS13" t="s">
        <v>435</v>
      </c>
      <c r="AT13" t="s">
        <v>436</v>
      </c>
      <c r="AU13" t="s">
        <v>437</v>
      </c>
      <c r="AW13">
        <f t="shared" si="7"/>
        <v>12</v>
      </c>
      <c r="AX13" t="s">
        <v>438</v>
      </c>
      <c r="AY13" t="s">
        <v>439</v>
      </c>
      <c r="AZ13" t="s">
        <v>440</v>
      </c>
      <c r="BA13" t="s">
        <v>441</v>
      </c>
      <c r="BC13">
        <f t="shared" si="8"/>
        <v>12</v>
      </c>
      <c r="BD13" t="s">
        <v>442</v>
      </c>
      <c r="BE13" t="s">
        <v>443</v>
      </c>
      <c r="BF13" t="s">
        <v>444</v>
      </c>
      <c r="BG13" t="s">
        <v>445</v>
      </c>
      <c r="BJ13">
        <f t="shared" si="9"/>
        <v>12</v>
      </c>
      <c r="BK13" t="s">
        <v>446</v>
      </c>
      <c r="BL13" t="s">
        <v>447</v>
      </c>
      <c r="BM13" t="s">
        <v>448</v>
      </c>
      <c r="BN13" t="s">
        <v>449</v>
      </c>
      <c r="BP13">
        <f t="shared" si="10"/>
        <v>12</v>
      </c>
      <c r="BQ13" t="s">
        <v>442</v>
      </c>
      <c r="BR13" t="s">
        <v>443</v>
      </c>
      <c r="BS13" t="s">
        <v>444</v>
      </c>
      <c r="BT13" t="s">
        <v>445</v>
      </c>
    </row>
    <row r="14" spans="1:72" x14ac:dyDescent="0.2">
      <c r="A14">
        <f t="shared" ref="A14:A17" si="14">ROW()-1</f>
        <v>13</v>
      </c>
      <c r="B14" t="s">
        <v>450</v>
      </c>
      <c r="C14" t="s">
        <v>451</v>
      </c>
      <c r="D14" t="s">
        <v>452</v>
      </c>
      <c r="E14" t="s">
        <v>453</v>
      </c>
      <c r="G14">
        <f t="shared" si="13"/>
        <v>13</v>
      </c>
      <c r="H14" t="s">
        <v>454</v>
      </c>
      <c r="I14" t="s">
        <v>455</v>
      </c>
      <c r="J14" t="s">
        <v>456</v>
      </c>
      <c r="K14" t="s">
        <v>457</v>
      </c>
      <c r="M14">
        <f t="shared" si="1"/>
        <v>13</v>
      </c>
      <c r="S14">
        <f t="shared" si="2"/>
        <v>13</v>
      </c>
      <c r="Y14">
        <f t="shared" si="3"/>
        <v>13</v>
      </c>
      <c r="AE14">
        <f t="shared" si="4"/>
        <v>13</v>
      </c>
      <c r="AF14" t="s">
        <v>442</v>
      </c>
      <c r="AG14" t="s">
        <v>443</v>
      </c>
      <c r="AH14" t="s">
        <v>444</v>
      </c>
      <c r="AI14" t="s">
        <v>445</v>
      </c>
      <c r="AK14">
        <f t="shared" si="5"/>
        <v>13</v>
      </c>
      <c r="AP14" s="333"/>
      <c r="AQ14">
        <f t="shared" si="6"/>
        <v>13</v>
      </c>
      <c r="AR14" t="s">
        <v>458</v>
      </c>
      <c r="AS14" t="s">
        <v>459</v>
      </c>
      <c r="AT14" t="s">
        <v>460</v>
      </c>
      <c r="AU14" t="s">
        <v>461</v>
      </c>
      <c r="AW14">
        <f t="shared" si="7"/>
        <v>13</v>
      </c>
      <c r="AX14" t="s">
        <v>31</v>
      </c>
      <c r="AY14" t="s">
        <v>31</v>
      </c>
      <c r="AZ14" t="s">
        <v>31</v>
      </c>
      <c r="BA14" t="s">
        <v>31</v>
      </c>
      <c r="BC14">
        <f t="shared" si="8"/>
        <v>13</v>
      </c>
      <c r="BD14" t="s">
        <v>397</v>
      </c>
      <c r="BE14" t="s">
        <v>398</v>
      </c>
      <c r="BF14" t="s">
        <v>399</v>
      </c>
      <c r="BG14" t="s">
        <v>400</v>
      </c>
      <c r="BJ14">
        <f t="shared" si="9"/>
        <v>13</v>
      </c>
      <c r="BK14" t="s">
        <v>418</v>
      </c>
      <c r="BL14" t="s">
        <v>419</v>
      </c>
      <c r="BM14" t="s">
        <v>420</v>
      </c>
      <c r="BN14" t="s">
        <v>421</v>
      </c>
      <c r="BP14">
        <f t="shared" si="10"/>
        <v>13</v>
      </c>
      <c r="BQ14" t="s">
        <v>462</v>
      </c>
      <c r="BR14" t="s">
        <v>463</v>
      </c>
      <c r="BS14" t="s">
        <v>464</v>
      </c>
      <c r="BT14" t="s">
        <v>465</v>
      </c>
    </row>
    <row r="15" spans="1:72" x14ac:dyDescent="0.2">
      <c r="A15">
        <f t="shared" si="14"/>
        <v>14</v>
      </c>
      <c r="B15" t="s">
        <v>466</v>
      </c>
      <c r="C15" t="s">
        <v>466</v>
      </c>
      <c r="D15" t="s">
        <v>467</v>
      </c>
      <c r="E15" t="s">
        <v>468</v>
      </c>
      <c r="G15">
        <f t="shared" ref="G15:G20" si="15">ROW()-1</f>
        <v>14</v>
      </c>
      <c r="H15" t="s">
        <v>469</v>
      </c>
      <c r="I15" t="s">
        <v>470</v>
      </c>
      <c r="J15" t="s">
        <v>471</v>
      </c>
      <c r="K15" t="s">
        <v>472</v>
      </c>
      <c r="M15">
        <f t="shared" si="1"/>
        <v>14</v>
      </c>
      <c r="S15">
        <f t="shared" si="2"/>
        <v>14</v>
      </c>
      <c r="Y15">
        <f t="shared" si="3"/>
        <v>14</v>
      </c>
      <c r="AE15">
        <f t="shared" si="4"/>
        <v>14</v>
      </c>
      <c r="AF15" t="s">
        <v>473</v>
      </c>
      <c r="AG15" t="s">
        <v>474</v>
      </c>
      <c r="AH15" t="s">
        <v>475</v>
      </c>
      <c r="AI15" t="s">
        <v>476</v>
      </c>
      <c r="AK15">
        <f t="shared" si="5"/>
        <v>14</v>
      </c>
      <c r="AP15" s="333"/>
      <c r="AQ15">
        <f t="shared" si="6"/>
        <v>14</v>
      </c>
      <c r="AR15" t="s">
        <v>477</v>
      </c>
      <c r="AS15" t="s">
        <v>478</v>
      </c>
      <c r="AT15" t="s">
        <v>479</v>
      </c>
      <c r="AU15" t="s">
        <v>480</v>
      </c>
      <c r="AW15">
        <f t="shared" si="7"/>
        <v>14</v>
      </c>
      <c r="AX15" t="s">
        <v>481</v>
      </c>
      <c r="AY15" t="s">
        <v>482</v>
      </c>
      <c r="AZ15" t="s">
        <v>482</v>
      </c>
      <c r="BA15" t="s">
        <v>481</v>
      </c>
      <c r="BC15">
        <f t="shared" si="8"/>
        <v>14</v>
      </c>
      <c r="BD15" t="s">
        <v>483</v>
      </c>
      <c r="BE15" t="s">
        <v>484</v>
      </c>
      <c r="BF15" t="s">
        <v>485</v>
      </c>
      <c r="BG15" t="s">
        <v>486</v>
      </c>
      <c r="BJ15">
        <f t="shared" si="9"/>
        <v>14</v>
      </c>
      <c r="BK15" t="s">
        <v>442</v>
      </c>
      <c r="BL15" t="s">
        <v>443</v>
      </c>
      <c r="BM15" t="s">
        <v>444</v>
      </c>
      <c r="BN15" t="s">
        <v>445</v>
      </c>
      <c r="BP15">
        <f t="shared" si="10"/>
        <v>14</v>
      </c>
    </row>
    <row r="16" spans="1:72" x14ac:dyDescent="0.2">
      <c r="A16">
        <f t="shared" si="14"/>
        <v>15</v>
      </c>
      <c r="B16" t="s">
        <v>487</v>
      </c>
      <c r="C16" t="s">
        <v>488</v>
      </c>
      <c r="D16" t="s">
        <v>489</v>
      </c>
      <c r="E16" t="s">
        <v>488</v>
      </c>
      <c r="G16">
        <f t="shared" si="15"/>
        <v>15</v>
      </c>
      <c r="H16" t="s">
        <v>490</v>
      </c>
      <c r="I16" t="s">
        <v>491</v>
      </c>
      <c r="J16" t="s">
        <v>492</v>
      </c>
      <c r="K16" t="s">
        <v>493</v>
      </c>
      <c r="M16">
        <f t="shared" si="1"/>
        <v>15</v>
      </c>
      <c r="S16">
        <f t="shared" si="2"/>
        <v>15</v>
      </c>
      <c r="Y16">
        <f t="shared" si="3"/>
        <v>15</v>
      </c>
      <c r="AE16">
        <f t="shared" si="4"/>
        <v>15</v>
      </c>
      <c r="AF16" t="s">
        <v>494</v>
      </c>
      <c r="AG16" t="s">
        <v>495</v>
      </c>
      <c r="AH16" t="s">
        <v>496</v>
      </c>
      <c r="AI16" t="s">
        <v>497</v>
      </c>
      <c r="AK16">
        <f t="shared" si="5"/>
        <v>15</v>
      </c>
      <c r="AP16" s="333"/>
      <c r="AQ16">
        <f t="shared" si="6"/>
        <v>15</v>
      </c>
      <c r="AR16" t="s">
        <v>31</v>
      </c>
      <c r="AS16" t="s">
        <v>31</v>
      </c>
      <c r="AT16" t="s">
        <v>31</v>
      </c>
      <c r="AU16" t="s">
        <v>31</v>
      </c>
      <c r="AW16">
        <f t="shared" si="7"/>
        <v>15</v>
      </c>
      <c r="BC16">
        <f t="shared" si="8"/>
        <v>15</v>
      </c>
      <c r="BD16" t="s">
        <v>498</v>
      </c>
      <c r="BE16" t="s">
        <v>499</v>
      </c>
      <c r="BF16" t="s">
        <v>500</v>
      </c>
      <c r="BG16" t="s">
        <v>501</v>
      </c>
      <c r="BJ16">
        <f t="shared" si="9"/>
        <v>15</v>
      </c>
      <c r="BK16" t="s">
        <v>502</v>
      </c>
      <c r="BL16" t="s">
        <v>503</v>
      </c>
      <c r="BM16" t="s">
        <v>504</v>
      </c>
      <c r="BN16" t="s">
        <v>503</v>
      </c>
      <c r="BP16">
        <f t="shared" si="10"/>
        <v>15</v>
      </c>
    </row>
    <row r="17" spans="1:72" x14ac:dyDescent="0.2">
      <c r="A17">
        <f t="shared" si="14"/>
        <v>16</v>
      </c>
      <c r="B17" t="s">
        <v>505</v>
      </c>
      <c r="C17" t="s">
        <v>506</v>
      </c>
      <c r="D17" t="s">
        <v>507</v>
      </c>
      <c r="E17" t="s">
        <v>508</v>
      </c>
      <c r="G17">
        <f t="shared" si="15"/>
        <v>16</v>
      </c>
      <c r="H17" t="s">
        <v>509</v>
      </c>
      <c r="I17" t="s">
        <v>510</v>
      </c>
      <c r="J17" t="s">
        <v>511</v>
      </c>
      <c r="K17" t="s">
        <v>512</v>
      </c>
      <c r="M17">
        <f t="shared" si="1"/>
        <v>16</v>
      </c>
      <c r="S17">
        <f t="shared" si="2"/>
        <v>16</v>
      </c>
      <c r="Y17">
        <f t="shared" si="3"/>
        <v>16</v>
      </c>
      <c r="AE17">
        <f t="shared" si="4"/>
        <v>16</v>
      </c>
      <c r="AF17" t="s">
        <v>415</v>
      </c>
      <c r="AG17" t="s">
        <v>416</v>
      </c>
      <c r="AH17" t="s">
        <v>417</v>
      </c>
      <c r="AI17" t="s">
        <v>332</v>
      </c>
      <c r="AK17">
        <f t="shared" si="5"/>
        <v>16</v>
      </c>
      <c r="AP17" s="333"/>
      <c r="AQ17">
        <f t="shared" si="6"/>
        <v>16</v>
      </c>
      <c r="AR17" t="s">
        <v>513</v>
      </c>
      <c r="AS17" t="s">
        <v>514</v>
      </c>
      <c r="AT17" t="s">
        <v>513</v>
      </c>
      <c r="AU17" t="s">
        <v>513</v>
      </c>
      <c r="AW17">
        <f t="shared" si="7"/>
        <v>16</v>
      </c>
      <c r="BC17">
        <f t="shared" si="8"/>
        <v>16</v>
      </c>
      <c r="BJ17">
        <f t="shared" si="9"/>
        <v>16</v>
      </c>
      <c r="BP17">
        <f t="shared" si="10"/>
        <v>16</v>
      </c>
    </row>
    <row r="18" spans="1:72" x14ac:dyDescent="0.2">
      <c r="A18">
        <f t="shared" ref="A18:A31" si="16">ROW()-1</f>
        <v>17</v>
      </c>
      <c r="B18" t="s">
        <v>515</v>
      </c>
      <c r="C18" t="s">
        <v>516</v>
      </c>
      <c r="D18" t="s">
        <v>517</v>
      </c>
      <c r="E18" t="s">
        <v>518</v>
      </c>
      <c r="G18">
        <f t="shared" si="15"/>
        <v>17</v>
      </c>
      <c r="H18" t="s">
        <v>519</v>
      </c>
      <c r="I18" t="s">
        <v>520</v>
      </c>
      <c r="J18" t="s">
        <v>521</v>
      </c>
      <c r="K18" t="s">
        <v>522</v>
      </c>
      <c r="M18">
        <f t="shared" si="1"/>
        <v>17</v>
      </c>
      <c r="S18">
        <f t="shared" si="2"/>
        <v>17</v>
      </c>
      <c r="Y18">
        <f t="shared" si="3"/>
        <v>17</v>
      </c>
      <c r="AE18">
        <f t="shared" si="4"/>
        <v>17</v>
      </c>
      <c r="AF18" t="s">
        <v>481</v>
      </c>
      <c r="AG18" t="s">
        <v>482</v>
      </c>
      <c r="AH18" t="s">
        <v>482</v>
      </c>
      <c r="AI18" t="s">
        <v>481</v>
      </c>
      <c r="AK18">
        <f t="shared" si="5"/>
        <v>17</v>
      </c>
      <c r="AP18" s="333"/>
      <c r="AQ18">
        <f t="shared" si="6"/>
        <v>17</v>
      </c>
      <c r="AR18" t="s">
        <v>523</v>
      </c>
      <c r="AS18" t="s">
        <v>524</v>
      </c>
      <c r="AT18" t="s">
        <v>523</v>
      </c>
      <c r="AU18" t="s">
        <v>523</v>
      </c>
      <c r="AW18">
        <f t="shared" si="7"/>
        <v>17</v>
      </c>
      <c r="BC18">
        <f t="shared" si="8"/>
        <v>17</v>
      </c>
      <c r="BJ18">
        <f t="shared" si="9"/>
        <v>17</v>
      </c>
      <c r="BP18">
        <f t="shared" si="10"/>
        <v>17</v>
      </c>
    </row>
    <row r="19" spans="1:72" x14ac:dyDescent="0.2">
      <c r="A19">
        <f t="shared" si="16"/>
        <v>18</v>
      </c>
      <c r="B19" t="s">
        <v>525</v>
      </c>
      <c r="C19" t="s">
        <v>526</v>
      </c>
      <c r="D19" t="s">
        <v>527</v>
      </c>
      <c r="E19" t="s">
        <v>528</v>
      </c>
      <c r="G19">
        <f t="shared" si="15"/>
        <v>18</v>
      </c>
      <c r="H19" t="s">
        <v>529</v>
      </c>
      <c r="I19" t="s">
        <v>530</v>
      </c>
      <c r="J19" t="s">
        <v>531</v>
      </c>
      <c r="K19" t="s">
        <v>532</v>
      </c>
      <c r="M19">
        <f t="shared" si="1"/>
        <v>18</v>
      </c>
      <c r="S19">
        <f t="shared" si="2"/>
        <v>18</v>
      </c>
      <c r="Y19">
        <f t="shared" si="3"/>
        <v>18</v>
      </c>
      <c r="AE19">
        <f t="shared" si="4"/>
        <v>18</v>
      </c>
      <c r="AK19">
        <f t="shared" si="5"/>
        <v>18</v>
      </c>
      <c r="AP19" s="333"/>
      <c r="AQ19">
        <f t="shared" si="6"/>
        <v>18</v>
      </c>
      <c r="AW19">
        <f t="shared" si="7"/>
        <v>18</v>
      </c>
      <c r="BC19">
        <f t="shared" si="8"/>
        <v>18</v>
      </c>
      <c r="BJ19">
        <f t="shared" si="9"/>
        <v>18</v>
      </c>
      <c r="BP19">
        <f t="shared" si="10"/>
        <v>18</v>
      </c>
    </row>
    <row r="20" spans="1:72" ht="14.25" x14ac:dyDescent="0.25">
      <c r="A20">
        <f t="shared" si="16"/>
        <v>19</v>
      </c>
      <c r="B20" t="s">
        <v>533</v>
      </c>
      <c r="C20" t="s">
        <v>534</v>
      </c>
      <c r="D20" t="s">
        <v>535</v>
      </c>
      <c r="E20" t="s">
        <v>536</v>
      </c>
      <c r="G20">
        <f t="shared" si="15"/>
        <v>19</v>
      </c>
      <c r="H20" t="s">
        <v>537</v>
      </c>
      <c r="I20" t="s">
        <v>538</v>
      </c>
      <c r="J20" t="s">
        <v>539</v>
      </c>
      <c r="K20" t="s">
        <v>540</v>
      </c>
      <c r="M20">
        <f t="shared" si="1"/>
        <v>19</v>
      </c>
      <c r="S20">
        <f t="shared" si="2"/>
        <v>19</v>
      </c>
      <c r="Y20">
        <f t="shared" si="3"/>
        <v>19</v>
      </c>
      <c r="AE20">
        <f t="shared" si="4"/>
        <v>19</v>
      </c>
      <c r="AK20">
        <f t="shared" si="5"/>
        <v>19</v>
      </c>
      <c r="AP20" s="333"/>
      <c r="AQ20">
        <f t="shared" si="6"/>
        <v>19</v>
      </c>
      <c r="AW20">
        <f t="shared" si="7"/>
        <v>19</v>
      </c>
      <c r="BC20">
        <f t="shared" si="8"/>
        <v>19</v>
      </c>
      <c r="BJ20">
        <f t="shared" si="9"/>
        <v>19</v>
      </c>
      <c r="BP20">
        <f t="shared" si="10"/>
        <v>19</v>
      </c>
    </row>
    <row r="21" spans="1:72" x14ac:dyDescent="0.2">
      <c r="A21">
        <f t="shared" si="16"/>
        <v>20</v>
      </c>
      <c r="B21" t="s">
        <v>541</v>
      </c>
      <c r="C21" t="s">
        <v>542</v>
      </c>
      <c r="D21" t="s">
        <v>543</v>
      </c>
      <c r="E21" t="s">
        <v>544</v>
      </c>
      <c r="M21">
        <f t="shared" si="1"/>
        <v>20</v>
      </c>
      <c r="S21">
        <f t="shared" si="2"/>
        <v>20</v>
      </c>
      <c r="Y21">
        <f t="shared" si="3"/>
        <v>20</v>
      </c>
      <c r="AE21">
        <f t="shared" si="4"/>
        <v>20</v>
      </c>
      <c r="AK21">
        <f t="shared" si="5"/>
        <v>20</v>
      </c>
      <c r="AP21" s="333"/>
      <c r="AQ21">
        <f t="shared" si="6"/>
        <v>20</v>
      </c>
      <c r="AW21">
        <f t="shared" si="7"/>
        <v>20</v>
      </c>
      <c r="BC21">
        <f t="shared" si="8"/>
        <v>20</v>
      </c>
      <c r="BJ21">
        <f t="shared" si="9"/>
        <v>20</v>
      </c>
      <c r="BP21">
        <f t="shared" si="10"/>
        <v>20</v>
      </c>
    </row>
    <row r="22" spans="1:72" x14ac:dyDescent="0.2">
      <c r="A22">
        <f t="shared" si="16"/>
        <v>21</v>
      </c>
      <c r="B22" t="s">
        <v>545</v>
      </c>
      <c r="C22" t="s">
        <v>546</v>
      </c>
      <c r="D22" t="s">
        <v>547</v>
      </c>
      <c r="E22" t="s">
        <v>548</v>
      </c>
      <c r="M22">
        <f t="shared" si="1"/>
        <v>21</v>
      </c>
      <c r="N22" t="s">
        <v>31</v>
      </c>
      <c r="O22" t="s">
        <v>31</v>
      </c>
      <c r="P22" t="s">
        <v>31</v>
      </c>
      <c r="Q22" t="s">
        <v>31</v>
      </c>
      <c r="S22">
        <f t="shared" si="2"/>
        <v>21</v>
      </c>
      <c r="Y22">
        <f t="shared" si="3"/>
        <v>21</v>
      </c>
      <c r="AE22">
        <f t="shared" si="4"/>
        <v>21</v>
      </c>
      <c r="AK22">
        <f t="shared" si="5"/>
        <v>21</v>
      </c>
      <c r="AP22" s="333"/>
      <c r="AQ22">
        <f t="shared" si="6"/>
        <v>21</v>
      </c>
      <c r="AW22">
        <f t="shared" si="7"/>
        <v>21</v>
      </c>
      <c r="BC22">
        <f t="shared" si="8"/>
        <v>21</v>
      </c>
      <c r="BJ22">
        <f t="shared" si="9"/>
        <v>21</v>
      </c>
      <c r="BP22">
        <f t="shared" si="10"/>
        <v>21</v>
      </c>
    </row>
    <row r="23" spans="1:72" x14ac:dyDescent="0.2">
      <c r="A23">
        <f t="shared" si="16"/>
        <v>22</v>
      </c>
      <c r="B23" t="s">
        <v>549</v>
      </c>
      <c r="C23" t="s">
        <v>550</v>
      </c>
      <c r="D23" t="s">
        <v>551</v>
      </c>
      <c r="E23" t="s">
        <v>550</v>
      </c>
      <c r="M23">
        <f t="shared" si="1"/>
        <v>22</v>
      </c>
      <c r="N23" t="s">
        <v>397</v>
      </c>
      <c r="O23" t="s">
        <v>398</v>
      </c>
      <c r="P23" t="s">
        <v>399</v>
      </c>
      <c r="Q23" t="s">
        <v>400</v>
      </c>
      <c r="S23">
        <f t="shared" si="2"/>
        <v>22</v>
      </c>
      <c r="Y23">
        <f t="shared" si="3"/>
        <v>22</v>
      </c>
      <c r="AE23">
        <f t="shared" si="4"/>
        <v>22</v>
      </c>
      <c r="AK23">
        <f t="shared" si="5"/>
        <v>22</v>
      </c>
      <c r="AP23" s="333"/>
      <c r="AQ23">
        <f t="shared" si="6"/>
        <v>22</v>
      </c>
      <c r="AW23">
        <f t="shared" si="7"/>
        <v>22</v>
      </c>
      <c r="BC23">
        <f t="shared" si="8"/>
        <v>22</v>
      </c>
      <c r="BJ23">
        <f t="shared" si="9"/>
        <v>22</v>
      </c>
      <c r="BP23">
        <f t="shared" si="10"/>
        <v>22</v>
      </c>
    </row>
    <row r="24" spans="1:72" x14ac:dyDescent="0.2">
      <c r="A24">
        <f t="shared" si="16"/>
        <v>23</v>
      </c>
      <c r="B24" t="s">
        <v>552</v>
      </c>
      <c r="C24" t="s">
        <v>553</v>
      </c>
      <c r="D24" t="s">
        <v>554</v>
      </c>
      <c r="E24" t="s">
        <v>555</v>
      </c>
      <c r="M24">
        <f t="shared" si="1"/>
        <v>23</v>
      </c>
      <c r="N24" t="s">
        <v>556</v>
      </c>
      <c r="O24" t="s">
        <v>557</v>
      </c>
      <c r="P24" t="s">
        <v>558</v>
      </c>
      <c r="Q24" t="s">
        <v>559</v>
      </c>
      <c r="S24">
        <f t="shared" si="2"/>
        <v>23</v>
      </c>
      <c r="Y24">
        <f t="shared" si="3"/>
        <v>23</v>
      </c>
      <c r="AE24">
        <f t="shared" si="4"/>
        <v>23</v>
      </c>
      <c r="AK24">
        <f t="shared" si="5"/>
        <v>23</v>
      </c>
      <c r="AP24" s="333"/>
      <c r="AQ24">
        <f t="shared" si="6"/>
        <v>23</v>
      </c>
      <c r="AW24">
        <f t="shared" si="7"/>
        <v>23</v>
      </c>
      <c r="BC24">
        <f t="shared" si="8"/>
        <v>23</v>
      </c>
      <c r="BJ24">
        <f t="shared" si="9"/>
        <v>23</v>
      </c>
      <c r="BP24">
        <f t="shared" si="10"/>
        <v>23</v>
      </c>
    </row>
    <row r="25" spans="1:72" x14ac:dyDescent="0.2">
      <c r="A25">
        <f t="shared" si="16"/>
        <v>24</v>
      </c>
      <c r="B25" t="s">
        <v>560</v>
      </c>
      <c r="C25" t="s">
        <v>561</v>
      </c>
      <c r="D25" t="s">
        <v>562</v>
      </c>
      <c r="E25" t="s">
        <v>563</v>
      </c>
      <c r="M25">
        <f t="shared" si="1"/>
        <v>24</v>
      </c>
      <c r="N25" t="s">
        <v>477</v>
      </c>
      <c r="O25" t="s">
        <v>564</v>
      </c>
      <c r="P25" t="s">
        <v>479</v>
      </c>
      <c r="Q25" t="s">
        <v>565</v>
      </c>
      <c r="S25">
        <f t="shared" si="2"/>
        <v>24</v>
      </c>
      <c r="Y25">
        <f t="shared" si="3"/>
        <v>24</v>
      </c>
      <c r="AE25">
        <f t="shared" si="4"/>
        <v>24</v>
      </c>
      <c r="AK25">
        <f t="shared" si="5"/>
        <v>24</v>
      </c>
      <c r="AP25" s="333"/>
      <c r="AQ25">
        <f t="shared" si="6"/>
        <v>24</v>
      </c>
      <c r="AW25">
        <f t="shared" si="7"/>
        <v>24</v>
      </c>
      <c r="BC25">
        <f t="shared" si="8"/>
        <v>24</v>
      </c>
      <c r="BJ25">
        <f t="shared" si="9"/>
        <v>24</v>
      </c>
      <c r="BP25">
        <f t="shared" si="10"/>
        <v>24</v>
      </c>
    </row>
    <row r="26" spans="1:72" x14ac:dyDescent="0.2">
      <c r="A26">
        <f t="shared" si="16"/>
        <v>25</v>
      </c>
      <c r="B26" t="s">
        <v>566</v>
      </c>
      <c r="C26" t="s">
        <v>567</v>
      </c>
      <c r="D26" t="s">
        <v>568</v>
      </c>
      <c r="E26" t="s">
        <v>569</v>
      </c>
      <c r="M26">
        <f t="shared" si="1"/>
        <v>25</v>
      </c>
      <c r="N26" t="s">
        <v>570</v>
      </c>
      <c r="O26" t="s">
        <v>571</v>
      </c>
      <c r="P26" t="s">
        <v>572</v>
      </c>
      <c r="Q26" t="s">
        <v>573</v>
      </c>
      <c r="S26">
        <f t="shared" si="2"/>
        <v>25</v>
      </c>
      <c r="Y26">
        <f t="shared" si="3"/>
        <v>25</v>
      </c>
      <c r="AE26">
        <f t="shared" si="4"/>
        <v>25</v>
      </c>
      <c r="AK26">
        <f t="shared" si="5"/>
        <v>25</v>
      </c>
      <c r="AP26" s="333"/>
      <c r="AQ26">
        <f t="shared" si="6"/>
        <v>25</v>
      </c>
      <c r="AW26">
        <f t="shared" si="7"/>
        <v>25</v>
      </c>
      <c r="BC26">
        <f t="shared" si="8"/>
        <v>25</v>
      </c>
      <c r="BJ26">
        <f t="shared" si="9"/>
        <v>25</v>
      </c>
      <c r="BP26">
        <f t="shared" si="10"/>
        <v>25</v>
      </c>
    </row>
    <row r="27" spans="1:72" x14ac:dyDescent="0.2">
      <c r="A27">
        <f t="shared" si="16"/>
        <v>26</v>
      </c>
      <c r="B27" t="s">
        <v>574</v>
      </c>
      <c r="C27" t="s">
        <v>575</v>
      </c>
      <c r="D27" t="s">
        <v>576</v>
      </c>
      <c r="E27" t="s">
        <v>577</v>
      </c>
      <c r="M27">
        <f t="shared" si="1"/>
        <v>26</v>
      </c>
      <c r="N27" t="s">
        <v>578</v>
      </c>
      <c r="O27" t="s">
        <v>579</v>
      </c>
      <c r="P27" t="s">
        <v>580</v>
      </c>
      <c r="Q27" t="s">
        <v>581</v>
      </c>
      <c r="S27">
        <f t="shared" si="2"/>
        <v>26</v>
      </c>
      <c r="Y27">
        <f t="shared" si="3"/>
        <v>26</v>
      </c>
      <c r="AE27">
        <f t="shared" si="4"/>
        <v>26</v>
      </c>
      <c r="AK27">
        <f t="shared" si="5"/>
        <v>26</v>
      </c>
      <c r="AP27" s="333"/>
      <c r="AQ27">
        <f t="shared" si="6"/>
        <v>26</v>
      </c>
      <c r="AW27">
        <f t="shared" si="7"/>
        <v>26</v>
      </c>
      <c r="BC27">
        <f t="shared" si="8"/>
        <v>26</v>
      </c>
      <c r="BJ27">
        <f t="shared" si="9"/>
        <v>26</v>
      </c>
      <c r="BP27">
        <f t="shared" si="10"/>
        <v>26</v>
      </c>
    </row>
    <row r="28" spans="1:72" x14ac:dyDescent="0.2">
      <c r="A28">
        <f t="shared" si="16"/>
        <v>27</v>
      </c>
      <c r="B28" t="s">
        <v>582</v>
      </c>
      <c r="C28" t="s">
        <v>583</v>
      </c>
      <c r="D28" t="s">
        <v>584</v>
      </c>
      <c r="E28" t="s">
        <v>585</v>
      </c>
      <c r="M28">
        <f t="shared" si="1"/>
        <v>27</v>
      </c>
      <c r="N28" t="s">
        <v>586</v>
      </c>
      <c r="O28" t="s">
        <v>587</v>
      </c>
      <c r="P28" t="s">
        <v>588</v>
      </c>
      <c r="Q28" t="s">
        <v>589</v>
      </c>
      <c r="S28">
        <f t="shared" si="2"/>
        <v>27</v>
      </c>
      <c r="Y28">
        <f t="shared" si="3"/>
        <v>27</v>
      </c>
      <c r="AE28">
        <f t="shared" si="4"/>
        <v>27</v>
      </c>
      <c r="AK28">
        <f t="shared" si="5"/>
        <v>27</v>
      </c>
      <c r="AP28" s="333"/>
      <c r="AQ28">
        <f t="shared" si="6"/>
        <v>27</v>
      </c>
      <c r="AW28">
        <f t="shared" si="7"/>
        <v>27</v>
      </c>
      <c r="BC28">
        <f t="shared" si="8"/>
        <v>27</v>
      </c>
      <c r="BJ28">
        <f t="shared" si="9"/>
        <v>27</v>
      </c>
      <c r="BP28">
        <f t="shared" si="10"/>
        <v>27</v>
      </c>
    </row>
    <row r="29" spans="1:72" x14ac:dyDescent="0.2">
      <c r="A29">
        <f t="shared" si="16"/>
        <v>28</v>
      </c>
      <c r="B29" t="s">
        <v>590</v>
      </c>
      <c r="C29" t="s">
        <v>591</v>
      </c>
      <c r="D29" t="s">
        <v>592</v>
      </c>
      <c r="E29" t="s">
        <v>593</v>
      </c>
      <c r="M29">
        <f t="shared" si="1"/>
        <v>28</v>
      </c>
      <c r="N29" t="s">
        <v>442</v>
      </c>
      <c r="O29" t="s">
        <v>443</v>
      </c>
      <c r="P29" t="s">
        <v>444</v>
      </c>
      <c r="Q29" t="s">
        <v>445</v>
      </c>
      <c r="S29">
        <f t="shared" si="2"/>
        <v>28</v>
      </c>
      <c r="Y29">
        <f t="shared" si="3"/>
        <v>28</v>
      </c>
      <c r="AE29">
        <f t="shared" si="4"/>
        <v>28</v>
      </c>
      <c r="AK29">
        <f t="shared" si="5"/>
        <v>28</v>
      </c>
      <c r="AP29" s="333"/>
      <c r="AQ29">
        <f t="shared" si="6"/>
        <v>28</v>
      </c>
      <c r="AW29">
        <f t="shared" si="7"/>
        <v>28</v>
      </c>
      <c r="BC29">
        <f t="shared" si="8"/>
        <v>28</v>
      </c>
      <c r="BJ29">
        <f t="shared" si="9"/>
        <v>28</v>
      </c>
      <c r="BP29">
        <f t="shared" si="10"/>
        <v>28</v>
      </c>
    </row>
    <row r="30" spans="1:72" x14ac:dyDescent="0.2">
      <c r="A30">
        <f t="shared" si="16"/>
        <v>29</v>
      </c>
      <c r="B30" t="s">
        <v>594</v>
      </c>
      <c r="C30" t="s">
        <v>595</v>
      </c>
      <c r="D30" t="s">
        <v>596</v>
      </c>
      <c r="E30" t="s">
        <v>597</v>
      </c>
      <c r="M30">
        <f t="shared" si="1"/>
        <v>29</v>
      </c>
      <c r="N30" t="s">
        <v>598</v>
      </c>
      <c r="O30" t="s">
        <v>599</v>
      </c>
      <c r="P30" t="s">
        <v>598</v>
      </c>
      <c r="Q30" t="s">
        <v>598</v>
      </c>
      <c r="S30">
        <f t="shared" si="2"/>
        <v>29</v>
      </c>
      <c r="Y30">
        <f t="shared" si="3"/>
        <v>29</v>
      </c>
      <c r="AE30">
        <f t="shared" si="4"/>
        <v>29</v>
      </c>
      <c r="AK30">
        <f t="shared" si="5"/>
        <v>29</v>
      </c>
      <c r="AP30" s="333"/>
      <c r="AQ30">
        <f t="shared" si="6"/>
        <v>29</v>
      </c>
      <c r="AW30">
        <f t="shared" si="7"/>
        <v>29</v>
      </c>
      <c r="BC30">
        <f t="shared" si="8"/>
        <v>29</v>
      </c>
      <c r="BJ30">
        <f t="shared" si="9"/>
        <v>29</v>
      </c>
      <c r="BP30">
        <f t="shared" si="10"/>
        <v>29</v>
      </c>
    </row>
    <row r="31" spans="1:72" x14ac:dyDescent="0.2">
      <c r="A31">
        <f t="shared" si="16"/>
        <v>30</v>
      </c>
      <c r="B31" t="s">
        <v>600</v>
      </c>
      <c r="C31" t="s">
        <v>601</v>
      </c>
      <c r="D31" t="s">
        <v>602</v>
      </c>
      <c r="E31" t="s">
        <v>603</v>
      </c>
      <c r="M31">
        <f t="shared" si="1"/>
        <v>30</v>
      </c>
      <c r="N31" t="s">
        <v>604</v>
      </c>
      <c r="O31" t="s">
        <v>605</v>
      </c>
      <c r="P31" t="s">
        <v>606</v>
      </c>
      <c r="Q31" t="s">
        <v>607</v>
      </c>
      <c r="S31">
        <f t="shared" si="2"/>
        <v>30</v>
      </c>
      <c r="Y31">
        <f t="shared" si="3"/>
        <v>30</v>
      </c>
      <c r="AE31">
        <f t="shared" si="4"/>
        <v>30</v>
      </c>
      <c r="AK31">
        <f t="shared" si="5"/>
        <v>30</v>
      </c>
      <c r="AP31" s="333"/>
      <c r="AQ31">
        <f t="shared" si="6"/>
        <v>30</v>
      </c>
      <c r="AW31">
        <f t="shared" si="7"/>
        <v>30</v>
      </c>
      <c r="BC31">
        <f t="shared" si="8"/>
        <v>30</v>
      </c>
      <c r="BJ31">
        <f t="shared" si="9"/>
        <v>30</v>
      </c>
      <c r="BP31">
        <f t="shared" si="10"/>
        <v>30</v>
      </c>
    </row>
    <row r="32" spans="1:72" x14ac:dyDescent="0.2">
      <c r="A32">
        <f>ROW()-1</f>
        <v>31</v>
      </c>
      <c r="B32" t="s">
        <v>608</v>
      </c>
      <c r="C32" t="s">
        <v>609</v>
      </c>
      <c r="D32" t="s">
        <v>610</v>
      </c>
      <c r="E32" t="s">
        <v>611</v>
      </c>
      <c r="M32">
        <f t="shared" si="1"/>
        <v>31</v>
      </c>
      <c r="N32" t="s">
        <v>612</v>
      </c>
      <c r="O32" t="s">
        <v>613</v>
      </c>
      <c r="P32" t="s">
        <v>614</v>
      </c>
      <c r="Q32" t="s">
        <v>615</v>
      </c>
      <c r="S32">
        <f t="shared" si="2"/>
        <v>31</v>
      </c>
      <c r="T32" t="s">
        <v>616</v>
      </c>
      <c r="U32" t="s">
        <v>617</v>
      </c>
      <c r="V32" t="s">
        <v>618</v>
      </c>
      <c r="W32" t="s">
        <v>619</v>
      </c>
      <c r="Y32">
        <f t="shared" si="3"/>
        <v>31</v>
      </c>
      <c r="Z32" t="s">
        <v>620</v>
      </c>
      <c r="AA32" t="s">
        <v>621</v>
      </c>
      <c r="AB32" t="s">
        <v>622</v>
      </c>
      <c r="AC32" t="s">
        <v>623</v>
      </c>
      <c r="AE32">
        <f t="shared" si="4"/>
        <v>31</v>
      </c>
      <c r="AF32" t="s">
        <v>624</v>
      </c>
      <c r="AG32" t="s">
        <v>625</v>
      </c>
      <c r="AH32" t="s">
        <v>626</v>
      </c>
      <c r="AI32" t="s">
        <v>625</v>
      </c>
      <c r="AK32">
        <f t="shared" si="5"/>
        <v>31</v>
      </c>
      <c r="AL32" t="s">
        <v>627</v>
      </c>
      <c r="AM32" t="s">
        <v>628</v>
      </c>
      <c r="AN32" t="s">
        <v>629</v>
      </c>
      <c r="AO32" t="s">
        <v>630</v>
      </c>
      <c r="AP32" s="333"/>
      <c r="AQ32">
        <f t="shared" si="6"/>
        <v>31</v>
      </c>
      <c r="AR32" t="s">
        <v>631</v>
      </c>
      <c r="AS32" t="s">
        <v>632</v>
      </c>
      <c r="AT32" t="s">
        <v>633</v>
      </c>
      <c r="AU32" t="s">
        <v>634</v>
      </c>
      <c r="AW32">
        <f t="shared" si="7"/>
        <v>31</v>
      </c>
      <c r="AX32" t="s">
        <v>635</v>
      </c>
      <c r="AY32" t="s">
        <v>636</v>
      </c>
      <c r="AZ32" t="s">
        <v>637</v>
      </c>
      <c r="BA32" t="s">
        <v>638</v>
      </c>
      <c r="BC32">
        <f t="shared" si="8"/>
        <v>31</v>
      </c>
      <c r="BD32" t="s">
        <v>639</v>
      </c>
      <c r="BE32" t="s">
        <v>640</v>
      </c>
      <c r="BF32" t="s">
        <v>641</v>
      </c>
      <c r="BG32" t="s">
        <v>640</v>
      </c>
      <c r="BJ32">
        <f t="shared" si="9"/>
        <v>31</v>
      </c>
      <c r="BK32" t="s">
        <v>193</v>
      </c>
      <c r="BL32" t="s">
        <v>194</v>
      </c>
      <c r="BM32" t="s">
        <v>195</v>
      </c>
      <c r="BN32" t="s">
        <v>196</v>
      </c>
      <c r="BP32">
        <f t="shared" si="10"/>
        <v>31</v>
      </c>
      <c r="BQ32" t="s">
        <v>642</v>
      </c>
      <c r="BR32" t="s">
        <v>643</v>
      </c>
      <c r="BS32" t="s">
        <v>644</v>
      </c>
      <c r="BT32" t="s">
        <v>645</v>
      </c>
    </row>
    <row r="33" spans="1:72" x14ac:dyDescent="0.2">
      <c r="A33">
        <f t="shared" ref="A33:A36" si="17">ROW()-1</f>
        <v>32</v>
      </c>
      <c r="B33" t="s">
        <v>646</v>
      </c>
      <c r="C33" t="s">
        <v>647</v>
      </c>
      <c r="D33" t="s">
        <v>648</v>
      </c>
      <c r="E33" t="s">
        <v>649</v>
      </c>
      <c r="M33">
        <f t="shared" si="1"/>
        <v>32</v>
      </c>
      <c r="N33" t="s">
        <v>650</v>
      </c>
      <c r="O33" t="s">
        <v>651</v>
      </c>
      <c r="P33" t="s">
        <v>652</v>
      </c>
      <c r="Q33" t="s">
        <v>653</v>
      </c>
      <c r="S33">
        <f t="shared" si="2"/>
        <v>32</v>
      </c>
      <c r="T33" t="s">
        <v>654</v>
      </c>
      <c r="U33" t="s">
        <v>655</v>
      </c>
      <c r="V33" t="s">
        <v>656</v>
      </c>
      <c r="W33" t="s">
        <v>657</v>
      </c>
      <c r="Y33">
        <f t="shared" si="3"/>
        <v>32</v>
      </c>
      <c r="Z33" t="s">
        <v>658</v>
      </c>
      <c r="AA33" t="s">
        <v>659</v>
      </c>
      <c r="AB33" t="s">
        <v>660</v>
      </c>
      <c r="AC33" t="s">
        <v>661</v>
      </c>
      <c r="AE33">
        <f t="shared" si="4"/>
        <v>32</v>
      </c>
      <c r="AF33" t="s">
        <v>662</v>
      </c>
      <c r="AG33" t="s">
        <v>663</v>
      </c>
      <c r="AH33" t="s">
        <v>664</v>
      </c>
      <c r="AI33" t="s">
        <v>665</v>
      </c>
      <c r="AK33">
        <f t="shared" si="5"/>
        <v>32</v>
      </c>
      <c r="AL33" t="s">
        <v>666</v>
      </c>
      <c r="AM33" t="s">
        <v>667</v>
      </c>
      <c r="AN33" t="s">
        <v>668</v>
      </c>
      <c r="AO33" t="s">
        <v>669</v>
      </c>
      <c r="AP33" s="333"/>
      <c r="AQ33">
        <f t="shared" si="6"/>
        <v>32</v>
      </c>
      <c r="AR33" t="s">
        <v>670</v>
      </c>
      <c r="AS33" t="s">
        <v>671</v>
      </c>
      <c r="AT33" t="s">
        <v>672</v>
      </c>
      <c r="AU33" t="s">
        <v>673</v>
      </c>
      <c r="AW33">
        <f t="shared" si="7"/>
        <v>32</v>
      </c>
      <c r="AX33" t="s">
        <v>674</v>
      </c>
      <c r="AY33" t="s">
        <v>675</v>
      </c>
      <c r="AZ33" t="s">
        <v>676</v>
      </c>
      <c r="BA33" t="s">
        <v>677</v>
      </c>
      <c r="BC33">
        <f t="shared" si="8"/>
        <v>32</v>
      </c>
      <c r="BD33" t="s">
        <v>678</v>
      </c>
      <c r="BE33" t="s">
        <v>679</v>
      </c>
      <c r="BF33" t="s">
        <v>680</v>
      </c>
      <c r="BG33" t="s">
        <v>681</v>
      </c>
      <c r="BJ33">
        <f t="shared" si="9"/>
        <v>32</v>
      </c>
      <c r="BK33" t="s">
        <v>682</v>
      </c>
      <c r="BL33" t="s">
        <v>683</v>
      </c>
      <c r="BM33" t="s">
        <v>684</v>
      </c>
      <c r="BN33" t="s">
        <v>685</v>
      </c>
      <c r="BP33">
        <f t="shared" si="10"/>
        <v>32</v>
      </c>
      <c r="BQ33" t="s">
        <v>686</v>
      </c>
      <c r="BR33" t="s">
        <v>687</v>
      </c>
      <c r="BS33" t="s">
        <v>688</v>
      </c>
      <c r="BT33" t="s">
        <v>689</v>
      </c>
    </row>
    <row r="34" spans="1:72" x14ac:dyDescent="0.2">
      <c r="A34">
        <f t="shared" si="17"/>
        <v>33</v>
      </c>
      <c r="B34" t="s">
        <v>690</v>
      </c>
      <c r="C34" t="s">
        <v>691</v>
      </c>
      <c r="D34" t="s">
        <v>692</v>
      </c>
      <c r="E34" t="s">
        <v>693</v>
      </c>
      <c r="M34">
        <f t="shared" si="1"/>
        <v>33</v>
      </c>
      <c r="N34" t="s">
        <v>694</v>
      </c>
      <c r="O34" t="s">
        <v>695</v>
      </c>
      <c r="P34" t="s">
        <v>696</v>
      </c>
      <c r="Q34" t="s">
        <v>697</v>
      </c>
      <c r="S34">
        <f t="shared" si="2"/>
        <v>33</v>
      </c>
      <c r="T34" t="s">
        <v>698</v>
      </c>
      <c r="U34" t="s">
        <v>699</v>
      </c>
      <c r="V34" t="s">
        <v>700</v>
      </c>
      <c r="W34" t="s">
        <v>701</v>
      </c>
      <c r="Y34">
        <f t="shared" si="3"/>
        <v>33</v>
      </c>
      <c r="Z34" t="s">
        <v>702</v>
      </c>
      <c r="AA34" t="s">
        <v>703</v>
      </c>
      <c r="AB34" t="s">
        <v>704</v>
      </c>
      <c r="AC34" t="s">
        <v>705</v>
      </c>
      <c r="AE34">
        <f t="shared" si="4"/>
        <v>33</v>
      </c>
      <c r="AF34" t="s">
        <v>706</v>
      </c>
      <c r="AG34" t="s">
        <v>707</v>
      </c>
      <c r="AH34" t="s">
        <v>708</v>
      </c>
      <c r="AI34" t="s">
        <v>709</v>
      </c>
      <c r="AK34">
        <f t="shared" si="5"/>
        <v>33</v>
      </c>
      <c r="AL34" t="s">
        <v>710</v>
      </c>
      <c r="AM34" t="s">
        <v>711</v>
      </c>
      <c r="AN34" t="s">
        <v>712</v>
      </c>
      <c r="AO34" t="s">
        <v>713</v>
      </c>
      <c r="AP34" s="333"/>
      <c r="AQ34">
        <f t="shared" si="6"/>
        <v>33</v>
      </c>
      <c r="AR34" t="s">
        <v>714</v>
      </c>
      <c r="AS34" t="s">
        <v>715</v>
      </c>
      <c r="AT34" t="s">
        <v>716</v>
      </c>
      <c r="AU34" t="s">
        <v>717</v>
      </c>
      <c r="AW34">
        <f t="shared" si="7"/>
        <v>33</v>
      </c>
      <c r="AX34" t="s">
        <v>718</v>
      </c>
      <c r="AY34" t="s">
        <v>718</v>
      </c>
      <c r="AZ34" t="s">
        <v>719</v>
      </c>
      <c r="BA34" t="s">
        <v>718</v>
      </c>
      <c r="BC34">
        <f t="shared" si="8"/>
        <v>33</v>
      </c>
      <c r="BD34" t="s">
        <v>720</v>
      </c>
      <c r="BE34" t="s">
        <v>721</v>
      </c>
      <c r="BF34" t="s">
        <v>722</v>
      </c>
      <c r="BG34" t="s">
        <v>723</v>
      </c>
      <c r="BJ34">
        <f t="shared" si="9"/>
        <v>33</v>
      </c>
      <c r="BK34" t="s">
        <v>724</v>
      </c>
      <c r="BL34" t="s">
        <v>725</v>
      </c>
      <c r="BM34" t="s">
        <v>726</v>
      </c>
      <c r="BN34" t="s">
        <v>727</v>
      </c>
      <c r="BP34">
        <f t="shared" si="10"/>
        <v>33</v>
      </c>
      <c r="BQ34" t="s">
        <v>728</v>
      </c>
      <c r="BR34" t="s">
        <v>729</v>
      </c>
      <c r="BS34" t="s">
        <v>730</v>
      </c>
      <c r="BT34" t="s">
        <v>731</v>
      </c>
    </row>
    <row r="35" spans="1:72" x14ac:dyDescent="0.2">
      <c r="A35">
        <f t="shared" si="17"/>
        <v>34</v>
      </c>
      <c r="B35" t="s">
        <v>732</v>
      </c>
      <c r="C35" t="s">
        <v>732</v>
      </c>
      <c r="D35" t="s">
        <v>732</v>
      </c>
      <c r="E35" t="s">
        <v>732</v>
      </c>
      <c r="M35">
        <f t="shared" si="1"/>
        <v>34</v>
      </c>
      <c r="N35" t="s">
        <v>494</v>
      </c>
      <c r="O35" t="s">
        <v>495</v>
      </c>
      <c r="P35" t="s">
        <v>496</v>
      </c>
      <c r="Q35" t="s">
        <v>497</v>
      </c>
      <c r="S35">
        <f t="shared" si="2"/>
        <v>34</v>
      </c>
      <c r="T35" t="s">
        <v>733</v>
      </c>
      <c r="U35" t="s">
        <v>734</v>
      </c>
      <c r="V35" t="s">
        <v>735</v>
      </c>
      <c r="W35" t="s">
        <v>736</v>
      </c>
      <c r="Y35">
        <f t="shared" si="3"/>
        <v>34</v>
      </c>
      <c r="Z35" t="s">
        <v>737</v>
      </c>
      <c r="AA35" t="s">
        <v>738</v>
      </c>
      <c r="AB35" t="s">
        <v>739</v>
      </c>
      <c r="AC35" t="s">
        <v>740</v>
      </c>
      <c r="AE35">
        <f t="shared" si="4"/>
        <v>34</v>
      </c>
      <c r="AF35" t="s">
        <v>741</v>
      </c>
      <c r="AG35" t="s">
        <v>742</v>
      </c>
      <c r="AH35" t="s">
        <v>743</v>
      </c>
      <c r="AI35" t="s">
        <v>744</v>
      </c>
      <c r="AK35">
        <f t="shared" si="5"/>
        <v>34</v>
      </c>
      <c r="AL35" t="s">
        <v>745</v>
      </c>
      <c r="AM35" t="s">
        <v>746</v>
      </c>
      <c r="AN35" t="s">
        <v>747</v>
      </c>
      <c r="AO35" t="s">
        <v>748</v>
      </c>
      <c r="AP35" s="333"/>
      <c r="AQ35">
        <f t="shared" si="6"/>
        <v>34</v>
      </c>
      <c r="AR35" t="s">
        <v>749</v>
      </c>
      <c r="AS35" t="s">
        <v>750</v>
      </c>
      <c r="AT35" t="s">
        <v>751</v>
      </c>
      <c r="AU35" t="s">
        <v>752</v>
      </c>
      <c r="AW35">
        <f t="shared" si="7"/>
        <v>34</v>
      </c>
      <c r="AX35" t="s">
        <v>753</v>
      </c>
      <c r="AY35" t="s">
        <v>753</v>
      </c>
      <c r="AZ35" t="s">
        <v>753</v>
      </c>
      <c r="BA35" t="s">
        <v>754</v>
      </c>
      <c r="BC35">
        <f t="shared" si="8"/>
        <v>34</v>
      </c>
      <c r="BD35" t="s">
        <v>755</v>
      </c>
      <c r="BE35" t="s">
        <v>756</v>
      </c>
      <c r="BF35" t="s">
        <v>757</v>
      </c>
      <c r="BG35" t="s">
        <v>758</v>
      </c>
      <c r="BJ35">
        <f t="shared" si="9"/>
        <v>34</v>
      </c>
      <c r="BK35" t="s">
        <v>759</v>
      </c>
      <c r="BL35" t="s">
        <v>760</v>
      </c>
      <c r="BM35" t="s">
        <v>761</v>
      </c>
      <c r="BN35" t="s">
        <v>762</v>
      </c>
      <c r="BP35">
        <f t="shared" si="10"/>
        <v>34</v>
      </c>
      <c r="BQ35" t="s">
        <v>763</v>
      </c>
      <c r="BR35" t="s">
        <v>764</v>
      </c>
      <c r="BS35" t="s">
        <v>765</v>
      </c>
      <c r="BT35" t="s">
        <v>766</v>
      </c>
    </row>
    <row r="36" spans="1:72" x14ac:dyDescent="0.2">
      <c r="A36">
        <f t="shared" si="17"/>
        <v>35</v>
      </c>
      <c r="B36" t="s">
        <v>767</v>
      </c>
      <c r="C36" t="s">
        <v>768</v>
      </c>
      <c r="D36" t="s">
        <v>769</v>
      </c>
      <c r="E36" t="s">
        <v>770</v>
      </c>
      <c r="M36">
        <f t="shared" si="1"/>
        <v>35</v>
      </c>
      <c r="N36" t="s">
        <v>415</v>
      </c>
      <c r="O36" t="s">
        <v>416</v>
      </c>
      <c r="P36" t="s">
        <v>417</v>
      </c>
      <c r="Q36" t="s">
        <v>332</v>
      </c>
      <c r="S36">
        <f t="shared" si="2"/>
        <v>35</v>
      </c>
      <c r="T36" t="s">
        <v>771</v>
      </c>
      <c r="U36" t="s">
        <v>772</v>
      </c>
      <c r="V36" t="s">
        <v>773</v>
      </c>
      <c r="W36" t="s">
        <v>774</v>
      </c>
      <c r="Y36">
        <f t="shared" si="3"/>
        <v>35</v>
      </c>
      <c r="Z36" t="s">
        <v>775</v>
      </c>
      <c r="AA36" t="s">
        <v>776</v>
      </c>
      <c r="AB36" t="s">
        <v>777</v>
      </c>
      <c r="AC36" t="s">
        <v>778</v>
      </c>
      <c r="AE36">
        <f t="shared" si="4"/>
        <v>35</v>
      </c>
      <c r="AF36" t="s">
        <v>779</v>
      </c>
      <c r="AG36" t="s">
        <v>780</v>
      </c>
      <c r="AH36" t="s">
        <v>781</v>
      </c>
      <c r="AI36" t="s">
        <v>782</v>
      </c>
      <c r="AK36">
        <f t="shared" si="5"/>
        <v>35</v>
      </c>
      <c r="AL36" t="s">
        <v>783</v>
      </c>
      <c r="AM36" t="s">
        <v>784</v>
      </c>
      <c r="AN36" t="s">
        <v>785</v>
      </c>
      <c r="AO36" t="s">
        <v>786</v>
      </c>
      <c r="AP36" s="333"/>
      <c r="AQ36">
        <f t="shared" si="6"/>
        <v>35</v>
      </c>
      <c r="AR36" t="s">
        <v>787</v>
      </c>
      <c r="AS36" t="s">
        <v>788</v>
      </c>
      <c r="AT36" t="s">
        <v>789</v>
      </c>
      <c r="AU36" t="s">
        <v>790</v>
      </c>
      <c r="AW36">
        <f t="shared" si="7"/>
        <v>35</v>
      </c>
      <c r="AX36" t="s">
        <v>791</v>
      </c>
      <c r="AY36" t="s">
        <v>792</v>
      </c>
      <c r="AZ36" t="s">
        <v>793</v>
      </c>
      <c r="BA36" t="s">
        <v>794</v>
      </c>
      <c r="BC36">
        <f t="shared" si="8"/>
        <v>35</v>
      </c>
      <c r="BD36" t="s">
        <v>795</v>
      </c>
      <c r="BE36" t="s">
        <v>796</v>
      </c>
      <c r="BF36" t="s">
        <v>797</v>
      </c>
      <c r="BG36" t="s">
        <v>798</v>
      </c>
      <c r="BJ36">
        <f t="shared" si="9"/>
        <v>35</v>
      </c>
      <c r="BK36" t="s">
        <v>799</v>
      </c>
      <c r="BL36" t="s">
        <v>800</v>
      </c>
      <c r="BM36" t="s">
        <v>801</v>
      </c>
      <c r="BN36" t="s">
        <v>802</v>
      </c>
      <c r="BP36">
        <f t="shared" si="10"/>
        <v>35</v>
      </c>
      <c r="BQ36" t="s">
        <v>803</v>
      </c>
      <c r="BR36" t="s">
        <v>804</v>
      </c>
      <c r="BS36" t="s">
        <v>805</v>
      </c>
      <c r="BT36" t="s">
        <v>806</v>
      </c>
    </row>
    <row r="37" spans="1:72" x14ac:dyDescent="0.2">
      <c r="A37">
        <f t="shared" ref="A37:A47" si="18">ROW()-1</f>
        <v>36</v>
      </c>
      <c r="B37" t="s">
        <v>807</v>
      </c>
      <c r="C37" t="s">
        <v>808</v>
      </c>
      <c r="D37" t="s">
        <v>809</v>
      </c>
      <c r="E37" t="s">
        <v>810</v>
      </c>
      <c r="M37">
        <f t="shared" si="1"/>
        <v>36</v>
      </c>
      <c r="N37" t="s">
        <v>446</v>
      </c>
      <c r="O37" t="s">
        <v>447</v>
      </c>
      <c r="P37" t="s">
        <v>448</v>
      </c>
      <c r="Q37" t="s">
        <v>449</v>
      </c>
      <c r="S37">
        <f t="shared" si="2"/>
        <v>36</v>
      </c>
      <c r="T37" t="s">
        <v>811</v>
      </c>
      <c r="U37" t="s">
        <v>812</v>
      </c>
      <c r="V37" t="s">
        <v>813</v>
      </c>
      <c r="W37" t="s">
        <v>814</v>
      </c>
      <c r="Y37">
        <f t="shared" si="3"/>
        <v>36</v>
      </c>
      <c r="Z37" t="s">
        <v>815</v>
      </c>
      <c r="AA37" t="s">
        <v>816</v>
      </c>
      <c r="AB37" t="s">
        <v>817</v>
      </c>
      <c r="AC37" t="s">
        <v>818</v>
      </c>
      <c r="AE37">
        <f t="shared" si="4"/>
        <v>36</v>
      </c>
      <c r="AF37" t="s">
        <v>819</v>
      </c>
      <c r="AG37" t="s">
        <v>820</v>
      </c>
      <c r="AH37" t="s">
        <v>821</v>
      </c>
      <c r="AI37" t="s">
        <v>822</v>
      </c>
      <c r="AK37">
        <f t="shared" si="5"/>
        <v>36</v>
      </c>
      <c r="AL37" t="s">
        <v>823</v>
      </c>
      <c r="AM37" t="s">
        <v>824</v>
      </c>
      <c r="AN37" t="s">
        <v>825</v>
      </c>
      <c r="AO37" t="s">
        <v>826</v>
      </c>
      <c r="AP37" s="333"/>
      <c r="AQ37">
        <f t="shared" si="6"/>
        <v>36</v>
      </c>
      <c r="AR37" t="s">
        <v>827</v>
      </c>
      <c r="AS37" t="s">
        <v>828</v>
      </c>
      <c r="AT37" t="s">
        <v>829</v>
      </c>
      <c r="AU37" t="s">
        <v>830</v>
      </c>
      <c r="AW37">
        <f t="shared" si="7"/>
        <v>36</v>
      </c>
      <c r="AX37" t="s">
        <v>831</v>
      </c>
      <c r="AY37" t="s">
        <v>832</v>
      </c>
      <c r="AZ37" t="s">
        <v>833</v>
      </c>
      <c r="BA37" t="s">
        <v>834</v>
      </c>
      <c r="BC37">
        <f t="shared" si="8"/>
        <v>36</v>
      </c>
      <c r="BD37" t="s">
        <v>835</v>
      </c>
      <c r="BE37" t="s">
        <v>836</v>
      </c>
      <c r="BF37" t="s">
        <v>837</v>
      </c>
      <c r="BG37" t="s">
        <v>838</v>
      </c>
      <c r="BJ37">
        <f t="shared" si="9"/>
        <v>36</v>
      </c>
      <c r="BK37" t="s">
        <v>839</v>
      </c>
      <c r="BL37" t="s">
        <v>840</v>
      </c>
      <c r="BM37" t="s">
        <v>841</v>
      </c>
      <c r="BN37" t="s">
        <v>842</v>
      </c>
      <c r="BP37">
        <f t="shared" si="10"/>
        <v>36</v>
      </c>
      <c r="BQ37" t="s">
        <v>843</v>
      </c>
      <c r="BR37" t="s">
        <v>844</v>
      </c>
      <c r="BS37" t="s">
        <v>845</v>
      </c>
      <c r="BT37" t="s">
        <v>846</v>
      </c>
    </row>
    <row r="38" spans="1:72" x14ac:dyDescent="0.2">
      <c r="A38">
        <f t="shared" si="18"/>
        <v>37</v>
      </c>
      <c r="B38" t="s">
        <v>847</v>
      </c>
      <c r="C38" t="s">
        <v>848</v>
      </c>
      <c r="D38" t="s">
        <v>849</v>
      </c>
      <c r="E38" t="s">
        <v>850</v>
      </c>
      <c r="M38">
        <f t="shared" si="1"/>
        <v>37</v>
      </c>
      <c r="N38" t="s">
        <v>418</v>
      </c>
      <c r="O38" t="s">
        <v>419</v>
      </c>
      <c r="P38" t="s">
        <v>420</v>
      </c>
      <c r="Q38" t="s">
        <v>421</v>
      </c>
      <c r="S38">
        <f t="shared" si="2"/>
        <v>37</v>
      </c>
      <c r="T38" t="s">
        <v>851</v>
      </c>
      <c r="U38" t="s">
        <v>852</v>
      </c>
      <c r="V38" t="s">
        <v>853</v>
      </c>
      <c r="W38" t="s">
        <v>854</v>
      </c>
      <c r="Y38">
        <f t="shared" si="3"/>
        <v>37</v>
      </c>
      <c r="Z38" t="s">
        <v>855</v>
      </c>
      <c r="AA38" t="s">
        <v>856</v>
      </c>
      <c r="AB38" t="s">
        <v>857</v>
      </c>
      <c r="AC38" t="s">
        <v>858</v>
      </c>
      <c r="AE38">
        <f t="shared" si="4"/>
        <v>37</v>
      </c>
      <c r="AF38" t="s">
        <v>859</v>
      </c>
      <c r="AG38" t="s">
        <v>860</v>
      </c>
      <c r="AH38" t="s">
        <v>861</v>
      </c>
      <c r="AI38" t="s">
        <v>862</v>
      </c>
      <c r="AK38">
        <f t="shared" si="5"/>
        <v>37</v>
      </c>
      <c r="AL38" t="s">
        <v>863</v>
      </c>
      <c r="AM38" t="s">
        <v>864</v>
      </c>
      <c r="AN38" t="s">
        <v>865</v>
      </c>
      <c r="AO38" t="s">
        <v>866</v>
      </c>
      <c r="AP38" s="333"/>
      <c r="AQ38">
        <f t="shared" si="6"/>
        <v>37</v>
      </c>
      <c r="AR38" t="s">
        <v>867</v>
      </c>
      <c r="AS38" t="s">
        <v>868</v>
      </c>
      <c r="AT38" t="s">
        <v>869</v>
      </c>
      <c r="AU38" t="s">
        <v>870</v>
      </c>
      <c r="AW38">
        <f t="shared" si="7"/>
        <v>37</v>
      </c>
      <c r="AX38" t="s">
        <v>718</v>
      </c>
      <c r="AY38" t="s">
        <v>718</v>
      </c>
      <c r="AZ38" t="s">
        <v>719</v>
      </c>
      <c r="BA38" t="s">
        <v>718</v>
      </c>
      <c r="BC38">
        <f t="shared" si="8"/>
        <v>37</v>
      </c>
      <c r="BD38" t="s">
        <v>871</v>
      </c>
      <c r="BE38" t="s">
        <v>872</v>
      </c>
      <c r="BF38" t="s">
        <v>873</v>
      </c>
      <c r="BG38" t="s">
        <v>874</v>
      </c>
      <c r="BJ38">
        <f t="shared" si="9"/>
        <v>37</v>
      </c>
      <c r="BK38" t="s">
        <v>875</v>
      </c>
      <c r="BL38" t="s">
        <v>876</v>
      </c>
      <c r="BM38" t="s">
        <v>877</v>
      </c>
      <c r="BN38" t="s">
        <v>878</v>
      </c>
      <c r="BP38">
        <f t="shared" si="10"/>
        <v>37</v>
      </c>
    </row>
    <row r="39" spans="1:72" x14ac:dyDescent="0.2">
      <c r="A39">
        <f t="shared" si="18"/>
        <v>38</v>
      </c>
      <c r="B39" t="s">
        <v>879</v>
      </c>
      <c r="C39" t="s">
        <v>880</v>
      </c>
      <c r="D39" t="s">
        <v>881</v>
      </c>
      <c r="E39" t="s">
        <v>882</v>
      </c>
      <c r="M39">
        <f t="shared" si="1"/>
        <v>38</v>
      </c>
      <c r="N39" t="s">
        <v>481</v>
      </c>
      <c r="O39" t="s">
        <v>482</v>
      </c>
      <c r="P39" t="s">
        <v>482</v>
      </c>
      <c r="Q39" t="s">
        <v>481</v>
      </c>
      <c r="S39">
        <f t="shared" si="2"/>
        <v>38</v>
      </c>
      <c r="T39" t="s">
        <v>883</v>
      </c>
      <c r="U39" t="s">
        <v>852</v>
      </c>
      <c r="V39" t="s">
        <v>884</v>
      </c>
      <c r="W39" t="s">
        <v>885</v>
      </c>
      <c r="Y39">
        <f t="shared" si="3"/>
        <v>38</v>
      </c>
      <c r="Z39" s="1" t="s">
        <v>886</v>
      </c>
      <c r="AA39" t="s">
        <v>887</v>
      </c>
      <c r="AB39" t="s">
        <v>888</v>
      </c>
      <c r="AC39" t="s">
        <v>889</v>
      </c>
      <c r="AE39">
        <f t="shared" si="4"/>
        <v>38</v>
      </c>
      <c r="AK39">
        <f t="shared" si="5"/>
        <v>38</v>
      </c>
      <c r="AL39" t="s">
        <v>890</v>
      </c>
      <c r="AM39" t="s">
        <v>891</v>
      </c>
      <c r="AN39" t="s">
        <v>892</v>
      </c>
      <c r="AO39" t="s">
        <v>893</v>
      </c>
      <c r="AP39" s="333"/>
      <c r="AQ39">
        <f t="shared" si="6"/>
        <v>38</v>
      </c>
      <c r="AR39" t="s">
        <v>894</v>
      </c>
      <c r="AS39" t="s">
        <v>895</v>
      </c>
      <c r="AT39" t="s">
        <v>896</v>
      </c>
      <c r="AU39" t="s">
        <v>897</v>
      </c>
      <c r="AW39">
        <f t="shared" si="7"/>
        <v>38</v>
      </c>
      <c r="AX39" t="s">
        <v>753</v>
      </c>
      <c r="AY39" t="s">
        <v>753</v>
      </c>
      <c r="AZ39" t="s">
        <v>753</v>
      </c>
      <c r="BA39" t="s">
        <v>754</v>
      </c>
      <c r="BC39">
        <f t="shared" si="8"/>
        <v>38</v>
      </c>
      <c r="BD39" t="s">
        <v>898</v>
      </c>
      <c r="BE39" t="s">
        <v>899</v>
      </c>
      <c r="BF39" t="s">
        <v>900</v>
      </c>
      <c r="BG39" t="s">
        <v>901</v>
      </c>
      <c r="BJ39">
        <f t="shared" si="9"/>
        <v>38</v>
      </c>
      <c r="BK39" t="s">
        <v>902</v>
      </c>
      <c r="BL39" t="s">
        <v>903</v>
      </c>
      <c r="BM39" t="s">
        <v>904</v>
      </c>
      <c r="BN39" t="s">
        <v>905</v>
      </c>
      <c r="BP39">
        <f t="shared" si="10"/>
        <v>38</v>
      </c>
    </row>
    <row r="40" spans="1:72" x14ac:dyDescent="0.2">
      <c r="A40">
        <f t="shared" si="18"/>
        <v>39</v>
      </c>
      <c r="B40" t="s">
        <v>906</v>
      </c>
      <c r="C40" t="s">
        <v>907</v>
      </c>
      <c r="D40" t="s">
        <v>908</v>
      </c>
      <c r="E40" t="s">
        <v>909</v>
      </c>
      <c r="M40">
        <f t="shared" si="1"/>
        <v>39</v>
      </c>
      <c r="S40">
        <f t="shared" si="2"/>
        <v>39</v>
      </c>
      <c r="T40" t="s">
        <v>654</v>
      </c>
      <c r="U40" t="s">
        <v>655</v>
      </c>
      <c r="V40" t="s">
        <v>656</v>
      </c>
      <c r="W40" t="s">
        <v>657</v>
      </c>
      <c r="Y40">
        <f t="shared" si="3"/>
        <v>39</v>
      </c>
      <c r="AE40">
        <f t="shared" si="4"/>
        <v>39</v>
      </c>
      <c r="AK40">
        <f t="shared" si="5"/>
        <v>39</v>
      </c>
      <c r="AL40" t="s">
        <v>910</v>
      </c>
      <c r="AM40" t="s">
        <v>911</v>
      </c>
      <c r="AN40" t="s">
        <v>912</v>
      </c>
      <c r="AO40" t="s">
        <v>913</v>
      </c>
      <c r="AP40" s="333"/>
      <c r="AQ40">
        <f t="shared" si="6"/>
        <v>39</v>
      </c>
      <c r="AR40" t="s">
        <v>914</v>
      </c>
      <c r="AS40" t="s">
        <v>915</v>
      </c>
      <c r="AT40" t="s">
        <v>916</v>
      </c>
      <c r="AU40" t="s">
        <v>917</v>
      </c>
      <c r="AW40">
        <f t="shared" si="7"/>
        <v>39</v>
      </c>
      <c r="AX40" t="s">
        <v>791</v>
      </c>
      <c r="AY40" t="s">
        <v>792</v>
      </c>
      <c r="AZ40" t="s">
        <v>793</v>
      </c>
      <c r="BA40" t="s">
        <v>794</v>
      </c>
      <c r="BC40">
        <f t="shared" si="8"/>
        <v>39</v>
      </c>
      <c r="BD40" t="s">
        <v>918</v>
      </c>
      <c r="BE40" t="s">
        <v>919</v>
      </c>
      <c r="BF40" t="s">
        <v>920</v>
      </c>
      <c r="BG40" t="s">
        <v>921</v>
      </c>
      <c r="BJ40">
        <f t="shared" si="9"/>
        <v>39</v>
      </c>
      <c r="BK40" t="s">
        <v>922</v>
      </c>
      <c r="BL40" t="s">
        <v>923</v>
      </c>
      <c r="BM40" t="s">
        <v>924</v>
      </c>
      <c r="BN40" t="s">
        <v>925</v>
      </c>
      <c r="BP40">
        <f t="shared" si="10"/>
        <v>39</v>
      </c>
    </row>
    <row r="41" spans="1:72" x14ac:dyDescent="0.2">
      <c r="A41">
        <f t="shared" si="18"/>
        <v>40</v>
      </c>
      <c r="B41" t="s">
        <v>926</v>
      </c>
      <c r="C41" t="s">
        <v>927</v>
      </c>
      <c r="D41" t="s">
        <v>928</v>
      </c>
      <c r="E41" t="s">
        <v>929</v>
      </c>
      <c r="M41">
        <f t="shared" si="1"/>
        <v>40</v>
      </c>
      <c r="S41">
        <f t="shared" si="2"/>
        <v>40</v>
      </c>
      <c r="T41" t="s">
        <v>930</v>
      </c>
      <c r="U41" t="s">
        <v>931</v>
      </c>
      <c r="V41" t="s">
        <v>932</v>
      </c>
      <c r="W41" t="s">
        <v>933</v>
      </c>
      <c r="Y41">
        <f t="shared" si="3"/>
        <v>40</v>
      </c>
      <c r="AE41">
        <f t="shared" si="4"/>
        <v>40</v>
      </c>
      <c r="AK41">
        <f t="shared" si="5"/>
        <v>40</v>
      </c>
      <c r="AL41" t="s">
        <v>934</v>
      </c>
      <c r="AM41" t="s">
        <v>935</v>
      </c>
      <c r="AN41" t="s">
        <v>936</v>
      </c>
      <c r="AO41" t="s">
        <v>937</v>
      </c>
      <c r="AP41" s="333"/>
      <c r="AQ41">
        <f t="shared" si="6"/>
        <v>40</v>
      </c>
      <c r="AR41" t="s">
        <v>938</v>
      </c>
      <c r="AS41" t="s">
        <v>939</v>
      </c>
      <c r="AT41" t="s">
        <v>940</v>
      </c>
      <c r="AU41" t="s">
        <v>941</v>
      </c>
      <c r="AW41">
        <f t="shared" si="7"/>
        <v>40</v>
      </c>
      <c r="AX41" t="s">
        <v>942</v>
      </c>
      <c r="AY41" t="s">
        <v>943</v>
      </c>
      <c r="AZ41" t="s">
        <v>944</v>
      </c>
      <c r="BA41" t="s">
        <v>945</v>
      </c>
      <c r="BC41">
        <f t="shared" si="8"/>
        <v>40</v>
      </c>
      <c r="BD41" t="s">
        <v>946</v>
      </c>
      <c r="BE41" t="s">
        <v>947</v>
      </c>
      <c r="BF41" t="s">
        <v>948</v>
      </c>
      <c r="BG41" t="s">
        <v>949</v>
      </c>
      <c r="BJ41">
        <f t="shared" si="9"/>
        <v>40</v>
      </c>
      <c r="BK41" t="s">
        <v>950</v>
      </c>
      <c r="BL41" t="s">
        <v>951</v>
      </c>
      <c r="BM41" t="s">
        <v>952</v>
      </c>
      <c r="BN41" t="s">
        <v>953</v>
      </c>
      <c r="BP41">
        <f t="shared" si="10"/>
        <v>40</v>
      </c>
    </row>
    <row r="42" spans="1:72" x14ac:dyDescent="0.2">
      <c r="A42">
        <f t="shared" si="18"/>
        <v>41</v>
      </c>
      <c r="B42" t="s">
        <v>954</v>
      </c>
      <c r="C42" t="s">
        <v>955</v>
      </c>
      <c r="D42" t="s">
        <v>956</v>
      </c>
      <c r="E42" t="s">
        <v>957</v>
      </c>
      <c r="M42">
        <f t="shared" si="1"/>
        <v>41</v>
      </c>
      <c r="N42" t="s">
        <v>958</v>
      </c>
      <c r="O42" t="s">
        <v>959</v>
      </c>
      <c r="P42" t="s">
        <v>960</v>
      </c>
      <c r="Q42" t="s">
        <v>961</v>
      </c>
      <c r="S42">
        <f t="shared" si="2"/>
        <v>41</v>
      </c>
      <c r="T42" t="s">
        <v>962</v>
      </c>
      <c r="U42" t="s">
        <v>963</v>
      </c>
      <c r="V42" t="s">
        <v>964</v>
      </c>
      <c r="W42" t="s">
        <v>965</v>
      </c>
      <c r="Y42">
        <f t="shared" si="3"/>
        <v>41</v>
      </c>
      <c r="AE42">
        <f t="shared" si="4"/>
        <v>41</v>
      </c>
      <c r="AF42" t="s">
        <v>966</v>
      </c>
      <c r="AG42" t="s">
        <v>967</v>
      </c>
      <c r="AH42" t="s">
        <v>968</v>
      </c>
      <c r="AI42" t="s">
        <v>969</v>
      </c>
      <c r="AK42">
        <f t="shared" si="5"/>
        <v>41</v>
      </c>
      <c r="AL42" t="s">
        <v>970</v>
      </c>
      <c r="AM42" t="s">
        <v>971</v>
      </c>
      <c r="AN42" t="s">
        <v>972</v>
      </c>
      <c r="AO42" t="s">
        <v>973</v>
      </c>
      <c r="AP42" s="333"/>
      <c r="AQ42">
        <f t="shared" si="6"/>
        <v>41</v>
      </c>
      <c r="AR42" t="s">
        <v>974</v>
      </c>
      <c r="AS42" t="s">
        <v>975</v>
      </c>
      <c r="AT42" t="s">
        <v>976</v>
      </c>
      <c r="AU42" t="s">
        <v>977</v>
      </c>
      <c r="AW42">
        <f t="shared" si="7"/>
        <v>41</v>
      </c>
      <c r="AX42" t="s">
        <v>978</v>
      </c>
      <c r="AY42" t="s">
        <v>979</v>
      </c>
      <c r="AZ42" t="s">
        <v>980</v>
      </c>
      <c r="BA42" t="s">
        <v>981</v>
      </c>
      <c r="BC42">
        <f t="shared" si="8"/>
        <v>41</v>
      </c>
      <c r="BD42" t="s">
        <v>982</v>
      </c>
      <c r="BE42" t="s">
        <v>983</v>
      </c>
      <c r="BF42" t="s">
        <v>984</v>
      </c>
      <c r="BG42" t="s">
        <v>985</v>
      </c>
      <c r="BJ42">
        <f t="shared" si="9"/>
        <v>41</v>
      </c>
      <c r="BK42" t="s">
        <v>986</v>
      </c>
      <c r="BL42" t="s">
        <v>987</v>
      </c>
      <c r="BM42" t="s">
        <v>988</v>
      </c>
      <c r="BN42" t="s">
        <v>989</v>
      </c>
      <c r="BP42">
        <f t="shared" si="10"/>
        <v>41</v>
      </c>
    </row>
    <row r="43" spans="1:72" x14ac:dyDescent="0.2">
      <c r="A43">
        <f t="shared" si="18"/>
        <v>42</v>
      </c>
      <c r="B43" t="s">
        <v>990</v>
      </c>
      <c r="C43" t="s">
        <v>991</v>
      </c>
      <c r="D43" t="s">
        <v>992</v>
      </c>
      <c r="E43" t="s">
        <v>993</v>
      </c>
      <c r="M43">
        <f t="shared" si="1"/>
        <v>42</v>
      </c>
      <c r="N43" t="s">
        <v>994</v>
      </c>
      <c r="O43" t="s">
        <v>995</v>
      </c>
      <c r="P43" t="s">
        <v>996</v>
      </c>
      <c r="Q43" t="s">
        <v>997</v>
      </c>
      <c r="S43">
        <f t="shared" si="2"/>
        <v>42</v>
      </c>
      <c r="T43" t="s">
        <v>998</v>
      </c>
      <c r="U43" t="s">
        <v>999</v>
      </c>
      <c r="V43" t="s">
        <v>1000</v>
      </c>
      <c r="W43" t="s">
        <v>1001</v>
      </c>
      <c r="Y43">
        <f t="shared" si="3"/>
        <v>42</v>
      </c>
      <c r="AE43">
        <f t="shared" si="4"/>
        <v>42</v>
      </c>
      <c r="AF43" t="s">
        <v>1002</v>
      </c>
      <c r="AG43" t="s">
        <v>1003</v>
      </c>
      <c r="AH43" t="s">
        <v>1004</v>
      </c>
      <c r="AI43" t="s">
        <v>1005</v>
      </c>
      <c r="AK43">
        <f t="shared" si="5"/>
        <v>42</v>
      </c>
      <c r="AL43" t="s">
        <v>1006</v>
      </c>
      <c r="AM43" t="s">
        <v>1007</v>
      </c>
      <c r="AN43" t="s">
        <v>1008</v>
      </c>
      <c r="AO43" t="s">
        <v>1009</v>
      </c>
      <c r="AP43" s="333"/>
      <c r="AQ43">
        <f t="shared" si="6"/>
        <v>42</v>
      </c>
      <c r="AR43" t="s">
        <v>1010</v>
      </c>
      <c r="AS43" t="s">
        <v>1011</v>
      </c>
      <c r="AT43" t="s">
        <v>1012</v>
      </c>
      <c r="AU43" t="s">
        <v>1011</v>
      </c>
      <c r="AW43">
        <f t="shared" si="7"/>
        <v>42</v>
      </c>
      <c r="AX43" t="s">
        <v>1013</v>
      </c>
      <c r="AY43" t="s">
        <v>1014</v>
      </c>
      <c r="AZ43" t="s">
        <v>1015</v>
      </c>
      <c r="BA43" t="s">
        <v>1016</v>
      </c>
      <c r="BC43">
        <f t="shared" si="8"/>
        <v>42</v>
      </c>
      <c r="BD43" t="s">
        <v>1017</v>
      </c>
      <c r="BE43" t="s">
        <v>1018</v>
      </c>
      <c r="BF43" t="s">
        <v>1019</v>
      </c>
      <c r="BG43" t="s">
        <v>1020</v>
      </c>
      <c r="BJ43">
        <f t="shared" si="9"/>
        <v>42</v>
      </c>
      <c r="BK43" t="s">
        <v>1021</v>
      </c>
      <c r="BL43" t="s">
        <v>1022</v>
      </c>
      <c r="BM43" t="s">
        <v>1023</v>
      </c>
      <c r="BN43" t="s">
        <v>1024</v>
      </c>
      <c r="BP43">
        <f t="shared" si="10"/>
        <v>42</v>
      </c>
    </row>
    <row r="44" spans="1:72" x14ac:dyDescent="0.2">
      <c r="A44">
        <f t="shared" si="18"/>
        <v>43</v>
      </c>
      <c r="B44" t="s">
        <v>1025</v>
      </c>
      <c r="C44" t="s">
        <v>1026</v>
      </c>
      <c r="D44" t="s">
        <v>1027</v>
      </c>
      <c r="E44" t="s">
        <v>1028</v>
      </c>
      <c r="M44">
        <f t="shared" si="1"/>
        <v>43</v>
      </c>
      <c r="N44" t="s">
        <v>1029</v>
      </c>
      <c r="O44" t="s">
        <v>1030</v>
      </c>
      <c r="P44" t="s">
        <v>1031</v>
      </c>
      <c r="Q44" t="s">
        <v>1032</v>
      </c>
      <c r="S44">
        <f t="shared" si="2"/>
        <v>43</v>
      </c>
      <c r="T44" t="s">
        <v>1033</v>
      </c>
      <c r="U44" t="s">
        <v>1034</v>
      </c>
      <c r="V44" t="s">
        <v>1035</v>
      </c>
      <c r="W44" t="s">
        <v>1036</v>
      </c>
      <c r="Y44">
        <f t="shared" si="3"/>
        <v>43</v>
      </c>
      <c r="AE44">
        <f t="shared" si="4"/>
        <v>43</v>
      </c>
      <c r="AF44" t="s">
        <v>1037</v>
      </c>
      <c r="AG44" t="s">
        <v>1038</v>
      </c>
      <c r="AH44" t="s">
        <v>1039</v>
      </c>
      <c r="AI44" t="s">
        <v>1040</v>
      </c>
      <c r="AK44">
        <f t="shared" si="5"/>
        <v>43</v>
      </c>
      <c r="AL44" t="s">
        <v>1041</v>
      </c>
      <c r="AM44" t="s">
        <v>1042</v>
      </c>
      <c r="AN44" t="s">
        <v>1043</v>
      </c>
      <c r="AO44" t="s">
        <v>1044</v>
      </c>
      <c r="AP44" s="333"/>
      <c r="AQ44">
        <f t="shared" si="6"/>
        <v>43</v>
      </c>
      <c r="AR44" t="s">
        <v>1045</v>
      </c>
      <c r="AS44" t="s">
        <v>1046</v>
      </c>
      <c r="AT44" t="s">
        <v>1047</v>
      </c>
      <c r="AU44" t="s">
        <v>1048</v>
      </c>
      <c r="AW44">
        <f t="shared" si="7"/>
        <v>43</v>
      </c>
      <c r="AX44" t="s">
        <v>1049</v>
      </c>
      <c r="AY44" t="s">
        <v>1050</v>
      </c>
      <c r="AZ44" t="s">
        <v>1051</v>
      </c>
      <c r="BA44" t="s">
        <v>1052</v>
      </c>
      <c r="BC44">
        <f t="shared" si="8"/>
        <v>43</v>
      </c>
      <c r="BD44" t="s">
        <v>678</v>
      </c>
      <c r="BE44" t="s">
        <v>679</v>
      </c>
      <c r="BF44" t="s">
        <v>680</v>
      </c>
      <c r="BG44" t="s">
        <v>681</v>
      </c>
      <c r="BJ44">
        <f t="shared" si="9"/>
        <v>43</v>
      </c>
      <c r="BK44" t="s">
        <v>1053</v>
      </c>
      <c r="BL44" t="s">
        <v>1054</v>
      </c>
      <c r="BM44" t="s">
        <v>1055</v>
      </c>
      <c r="BN44" t="s">
        <v>1056</v>
      </c>
      <c r="BP44">
        <f t="shared" si="10"/>
        <v>43</v>
      </c>
    </row>
    <row r="45" spans="1:72" x14ac:dyDescent="0.2">
      <c r="A45">
        <f t="shared" si="18"/>
        <v>44</v>
      </c>
      <c r="B45" t="s">
        <v>1057</v>
      </c>
      <c r="C45" t="s">
        <v>1058</v>
      </c>
      <c r="D45" t="s">
        <v>1059</v>
      </c>
      <c r="E45" t="s">
        <v>1058</v>
      </c>
      <c r="M45">
        <f t="shared" si="1"/>
        <v>44</v>
      </c>
      <c r="N45" t="s">
        <v>1060</v>
      </c>
      <c r="O45" t="s">
        <v>1061</v>
      </c>
      <c r="P45" t="s">
        <v>1062</v>
      </c>
      <c r="Q45" t="s">
        <v>1063</v>
      </c>
      <c r="S45">
        <f t="shared" si="2"/>
        <v>44</v>
      </c>
      <c r="Y45">
        <f t="shared" si="3"/>
        <v>44</v>
      </c>
      <c r="AE45">
        <f t="shared" si="4"/>
        <v>44</v>
      </c>
      <c r="AF45" t="s">
        <v>1064</v>
      </c>
      <c r="AG45" t="s">
        <v>1065</v>
      </c>
      <c r="AH45" t="s">
        <v>1066</v>
      </c>
      <c r="AI45" t="s">
        <v>1067</v>
      </c>
      <c r="AK45">
        <f t="shared" si="5"/>
        <v>44</v>
      </c>
      <c r="AL45" t="s">
        <v>1068</v>
      </c>
      <c r="AM45" t="s">
        <v>1069</v>
      </c>
      <c r="AN45" t="s">
        <v>1070</v>
      </c>
      <c r="AO45" t="s">
        <v>1071</v>
      </c>
      <c r="AP45" s="333"/>
      <c r="AQ45">
        <f t="shared" si="6"/>
        <v>44</v>
      </c>
      <c r="AR45" t="s">
        <v>1072</v>
      </c>
      <c r="AS45" t="s">
        <v>1073</v>
      </c>
      <c r="AT45" t="s">
        <v>1074</v>
      </c>
      <c r="AU45" t="s">
        <v>1075</v>
      </c>
      <c r="AW45">
        <f t="shared" si="7"/>
        <v>44</v>
      </c>
      <c r="AX45" t="s">
        <v>1076</v>
      </c>
      <c r="AY45" t="s">
        <v>1077</v>
      </c>
      <c r="AZ45" t="s">
        <v>1078</v>
      </c>
      <c r="BA45" t="s">
        <v>1079</v>
      </c>
      <c r="BC45">
        <f t="shared" si="8"/>
        <v>44</v>
      </c>
      <c r="BD45" t="s">
        <v>1080</v>
      </c>
      <c r="BE45" t="s">
        <v>1081</v>
      </c>
      <c r="BF45" t="s">
        <v>1082</v>
      </c>
      <c r="BG45" t="s">
        <v>1083</v>
      </c>
      <c r="BJ45">
        <f t="shared" si="9"/>
        <v>44</v>
      </c>
      <c r="BK45" t="s">
        <v>1084</v>
      </c>
      <c r="BL45" t="s">
        <v>1085</v>
      </c>
      <c r="BM45" t="s">
        <v>1086</v>
      </c>
      <c r="BN45" t="s">
        <v>1087</v>
      </c>
      <c r="BP45">
        <f t="shared" si="10"/>
        <v>44</v>
      </c>
    </row>
    <row r="46" spans="1:72" x14ac:dyDescent="0.2">
      <c r="A46">
        <f t="shared" si="18"/>
        <v>45</v>
      </c>
      <c r="B46" t="s">
        <v>1088</v>
      </c>
      <c r="C46" t="s">
        <v>1089</v>
      </c>
      <c r="D46" t="s">
        <v>1090</v>
      </c>
      <c r="E46" t="s">
        <v>1091</v>
      </c>
      <c r="M46">
        <f t="shared" si="1"/>
        <v>45</v>
      </c>
      <c r="N46" s="25" t="s">
        <v>1092</v>
      </c>
      <c r="O46" s="25" t="s">
        <v>1093</v>
      </c>
      <c r="P46" s="25" t="s">
        <v>1094</v>
      </c>
      <c r="Q46" s="25" t="s">
        <v>1095</v>
      </c>
      <c r="S46">
        <f t="shared" si="2"/>
        <v>45</v>
      </c>
      <c r="Y46">
        <f t="shared" si="3"/>
        <v>45</v>
      </c>
      <c r="AE46">
        <f t="shared" si="4"/>
        <v>45</v>
      </c>
      <c r="AF46" t="s">
        <v>1096</v>
      </c>
      <c r="AG46" t="s">
        <v>1097</v>
      </c>
      <c r="AH46" t="s">
        <v>1098</v>
      </c>
      <c r="AI46" t="s">
        <v>1099</v>
      </c>
      <c r="AK46">
        <f t="shared" si="5"/>
        <v>45</v>
      </c>
      <c r="AL46" t="s">
        <v>1100</v>
      </c>
      <c r="AM46" t="s">
        <v>1101</v>
      </c>
      <c r="AN46" t="s">
        <v>1102</v>
      </c>
      <c r="AO46" t="s">
        <v>1103</v>
      </c>
      <c r="AP46" s="333"/>
      <c r="AQ46">
        <f t="shared" si="6"/>
        <v>45</v>
      </c>
      <c r="AR46" t="s">
        <v>1104</v>
      </c>
      <c r="AS46" t="s">
        <v>1105</v>
      </c>
      <c r="AT46" t="s">
        <v>1106</v>
      </c>
      <c r="AU46" t="s">
        <v>1107</v>
      </c>
      <c r="AW46">
        <f t="shared" si="7"/>
        <v>45</v>
      </c>
      <c r="AX46" t="s">
        <v>1108</v>
      </c>
      <c r="AY46" t="s">
        <v>1109</v>
      </c>
      <c r="AZ46" t="s">
        <v>1110</v>
      </c>
      <c r="BA46" t="s">
        <v>1111</v>
      </c>
      <c r="BC46">
        <f t="shared" si="8"/>
        <v>45</v>
      </c>
      <c r="BD46" t="s">
        <v>1112</v>
      </c>
      <c r="BE46" t="s">
        <v>1113</v>
      </c>
      <c r="BF46" t="s">
        <v>1114</v>
      </c>
      <c r="BG46" t="s">
        <v>1115</v>
      </c>
      <c r="BJ46">
        <f t="shared" si="9"/>
        <v>45</v>
      </c>
      <c r="BK46" t="s">
        <v>1116</v>
      </c>
      <c r="BL46" t="s">
        <v>1117</v>
      </c>
      <c r="BM46" t="s">
        <v>1118</v>
      </c>
      <c r="BN46" t="s">
        <v>1119</v>
      </c>
      <c r="BP46">
        <f t="shared" si="10"/>
        <v>45</v>
      </c>
    </row>
    <row r="47" spans="1:72" x14ac:dyDescent="0.2">
      <c r="A47">
        <f t="shared" si="18"/>
        <v>46</v>
      </c>
      <c r="B47" t="s">
        <v>1120</v>
      </c>
      <c r="C47" t="s">
        <v>1120</v>
      </c>
      <c r="D47" t="s">
        <v>1120</v>
      </c>
      <c r="E47" t="s">
        <v>1120</v>
      </c>
      <c r="M47">
        <f t="shared" si="1"/>
        <v>46</v>
      </c>
      <c r="N47" s="16" t="s">
        <v>1121</v>
      </c>
      <c r="O47" s="25" t="s">
        <v>1122</v>
      </c>
      <c r="P47" t="s">
        <v>1123</v>
      </c>
      <c r="Q47" s="25" t="s">
        <v>1124</v>
      </c>
      <c r="S47">
        <f t="shared" si="2"/>
        <v>46</v>
      </c>
      <c r="Y47">
        <f t="shared" si="3"/>
        <v>46</v>
      </c>
      <c r="AE47">
        <f t="shared" si="4"/>
        <v>46</v>
      </c>
      <c r="AF47" t="s">
        <v>1125</v>
      </c>
      <c r="AG47" t="s">
        <v>1126</v>
      </c>
      <c r="AH47" t="s">
        <v>1127</v>
      </c>
      <c r="AI47" t="s">
        <v>1128</v>
      </c>
      <c r="AK47">
        <f t="shared" si="5"/>
        <v>46</v>
      </c>
      <c r="AL47" t="s">
        <v>1129</v>
      </c>
      <c r="AM47" t="s">
        <v>1130</v>
      </c>
      <c r="AN47" t="s">
        <v>1131</v>
      </c>
      <c r="AO47" t="s">
        <v>1132</v>
      </c>
      <c r="AP47" s="333"/>
      <c r="AQ47">
        <f t="shared" si="6"/>
        <v>46</v>
      </c>
      <c r="AR47" t="s">
        <v>1133</v>
      </c>
      <c r="AS47" t="s">
        <v>1134</v>
      </c>
      <c r="AT47" t="s">
        <v>1135</v>
      </c>
      <c r="AU47" t="s">
        <v>1136</v>
      </c>
      <c r="AW47">
        <f t="shared" si="7"/>
        <v>46</v>
      </c>
      <c r="AX47" t="s">
        <v>1137</v>
      </c>
      <c r="AY47" t="s">
        <v>1138</v>
      </c>
      <c r="AZ47" t="s">
        <v>1139</v>
      </c>
      <c r="BA47" t="s">
        <v>1140</v>
      </c>
      <c r="BC47">
        <f t="shared" si="8"/>
        <v>46</v>
      </c>
      <c r="BD47" t="s">
        <v>1141</v>
      </c>
      <c r="BE47" t="s">
        <v>1142</v>
      </c>
      <c r="BF47" t="s">
        <v>1143</v>
      </c>
      <c r="BG47" t="s">
        <v>1144</v>
      </c>
      <c r="BJ47">
        <f t="shared" si="9"/>
        <v>46</v>
      </c>
      <c r="BK47" t="s">
        <v>1145</v>
      </c>
      <c r="BL47" t="s">
        <v>1146</v>
      </c>
      <c r="BM47" t="s">
        <v>1147</v>
      </c>
      <c r="BN47" t="s">
        <v>1148</v>
      </c>
      <c r="BP47">
        <f t="shared" si="10"/>
        <v>46</v>
      </c>
    </row>
    <row r="48" spans="1:72" x14ac:dyDescent="0.2">
      <c r="A48">
        <f t="shared" ref="A48:A53" si="19">ROW()-1</f>
        <v>47</v>
      </c>
      <c r="B48" t="s">
        <v>1149</v>
      </c>
      <c r="C48" t="s">
        <v>1150</v>
      </c>
      <c r="D48" t="s">
        <v>1151</v>
      </c>
      <c r="E48" t="s">
        <v>1152</v>
      </c>
      <c r="M48">
        <f t="shared" si="1"/>
        <v>47</v>
      </c>
      <c r="N48" s="16" t="s">
        <v>1153</v>
      </c>
      <c r="O48" s="25" t="s">
        <v>1154</v>
      </c>
      <c r="P48" s="16" t="s">
        <v>1155</v>
      </c>
      <c r="Q48" s="25" t="s">
        <v>1156</v>
      </c>
      <c r="S48">
        <f t="shared" si="2"/>
        <v>47</v>
      </c>
      <c r="Y48">
        <f t="shared" si="3"/>
        <v>47</v>
      </c>
      <c r="AE48">
        <f t="shared" si="4"/>
        <v>47</v>
      </c>
      <c r="AF48" t="s">
        <v>1157</v>
      </c>
      <c r="AG48" t="s">
        <v>1158</v>
      </c>
      <c r="AH48" t="s">
        <v>1159</v>
      </c>
      <c r="AI48" t="s">
        <v>1160</v>
      </c>
      <c r="AK48">
        <f t="shared" si="5"/>
        <v>47</v>
      </c>
      <c r="AL48" t="s">
        <v>1161</v>
      </c>
      <c r="AM48" t="s">
        <v>1162</v>
      </c>
      <c r="AN48" t="s">
        <v>1163</v>
      </c>
      <c r="AO48" t="s">
        <v>1164</v>
      </c>
      <c r="AP48" s="333"/>
      <c r="AQ48">
        <f t="shared" si="6"/>
        <v>47</v>
      </c>
      <c r="AR48" t="s">
        <v>1165</v>
      </c>
      <c r="AS48" t="s">
        <v>1166</v>
      </c>
      <c r="AT48" t="s">
        <v>1167</v>
      </c>
      <c r="AU48" t="s">
        <v>1168</v>
      </c>
      <c r="AW48">
        <f t="shared" si="7"/>
        <v>47</v>
      </c>
      <c r="AX48" t="s">
        <v>1169</v>
      </c>
      <c r="AY48" t="s">
        <v>1170</v>
      </c>
      <c r="AZ48" t="s">
        <v>1171</v>
      </c>
      <c r="BA48" t="s">
        <v>1172</v>
      </c>
      <c r="BC48">
        <f t="shared" si="8"/>
        <v>47</v>
      </c>
      <c r="BD48" t="s">
        <v>1173</v>
      </c>
      <c r="BE48" t="s">
        <v>1174</v>
      </c>
      <c r="BF48" t="s">
        <v>1175</v>
      </c>
      <c r="BG48" t="s">
        <v>1176</v>
      </c>
      <c r="BJ48">
        <f t="shared" si="9"/>
        <v>47</v>
      </c>
      <c r="BK48" t="s">
        <v>1177</v>
      </c>
      <c r="BL48" t="s">
        <v>1178</v>
      </c>
      <c r="BM48" t="s">
        <v>1179</v>
      </c>
      <c r="BN48" t="s">
        <v>1180</v>
      </c>
      <c r="BP48">
        <f t="shared" si="10"/>
        <v>47</v>
      </c>
    </row>
    <row r="49" spans="1:72" x14ac:dyDescent="0.2">
      <c r="A49">
        <f t="shared" si="19"/>
        <v>48</v>
      </c>
      <c r="B49" t="s">
        <v>1181</v>
      </c>
      <c r="C49" t="s">
        <v>1182</v>
      </c>
      <c r="D49" t="s">
        <v>1183</v>
      </c>
      <c r="E49" t="s">
        <v>1184</v>
      </c>
      <c r="M49">
        <f t="shared" si="1"/>
        <v>48</v>
      </c>
      <c r="N49" s="16" t="s">
        <v>1185</v>
      </c>
      <c r="O49" s="25" t="s">
        <v>1186</v>
      </c>
      <c r="P49" t="s">
        <v>1187</v>
      </c>
      <c r="Q49" s="25" t="s">
        <v>1188</v>
      </c>
      <c r="S49">
        <f t="shared" si="2"/>
        <v>48</v>
      </c>
      <c r="Y49">
        <f t="shared" si="3"/>
        <v>48</v>
      </c>
      <c r="AE49">
        <f t="shared" si="4"/>
        <v>48</v>
      </c>
      <c r="AF49" t="s">
        <v>1189</v>
      </c>
      <c r="AG49" t="s">
        <v>1190</v>
      </c>
      <c r="AH49" t="s">
        <v>1190</v>
      </c>
      <c r="AI49" t="s">
        <v>1191</v>
      </c>
      <c r="AK49">
        <f t="shared" si="5"/>
        <v>48</v>
      </c>
      <c r="AL49" t="s">
        <v>863</v>
      </c>
      <c r="AM49" t="s">
        <v>864</v>
      </c>
      <c r="AN49" t="s">
        <v>865</v>
      </c>
      <c r="AO49" t="s">
        <v>866</v>
      </c>
      <c r="AP49" s="333"/>
      <c r="AQ49">
        <f t="shared" si="6"/>
        <v>48</v>
      </c>
      <c r="AR49" t="s">
        <v>1192</v>
      </c>
      <c r="AS49" t="s">
        <v>1193</v>
      </c>
      <c r="AT49" t="s">
        <v>1194</v>
      </c>
      <c r="AU49" t="s">
        <v>1195</v>
      </c>
      <c r="AW49">
        <f t="shared" si="7"/>
        <v>48</v>
      </c>
      <c r="AX49" t="s">
        <v>1196</v>
      </c>
      <c r="AY49" t="s">
        <v>1197</v>
      </c>
      <c r="AZ49" t="s">
        <v>1198</v>
      </c>
      <c r="BA49" t="s">
        <v>1199</v>
      </c>
      <c r="BC49">
        <f t="shared" si="8"/>
        <v>48</v>
      </c>
      <c r="BD49" t="s">
        <v>1200</v>
      </c>
      <c r="BE49" t="s">
        <v>1201</v>
      </c>
      <c r="BF49" t="s">
        <v>1202</v>
      </c>
      <c r="BG49" t="s">
        <v>1203</v>
      </c>
      <c r="BJ49">
        <f t="shared" si="9"/>
        <v>48</v>
      </c>
      <c r="BP49">
        <f t="shared" si="10"/>
        <v>48</v>
      </c>
    </row>
    <row r="50" spans="1:72" x14ac:dyDescent="0.2">
      <c r="A50">
        <f t="shared" si="19"/>
        <v>49</v>
      </c>
      <c r="B50" t="s">
        <v>1204</v>
      </c>
      <c r="C50" t="s">
        <v>1204</v>
      </c>
      <c r="D50" t="s">
        <v>1204</v>
      </c>
      <c r="E50" t="s">
        <v>1204</v>
      </c>
      <c r="M50">
        <f t="shared" si="1"/>
        <v>49</v>
      </c>
      <c r="S50">
        <f t="shared" si="2"/>
        <v>49</v>
      </c>
      <c r="Y50">
        <f t="shared" si="3"/>
        <v>49</v>
      </c>
      <c r="AE50">
        <f t="shared" si="4"/>
        <v>49</v>
      </c>
      <c r="AK50">
        <f t="shared" si="5"/>
        <v>49</v>
      </c>
      <c r="AL50" t="s">
        <v>890</v>
      </c>
      <c r="AM50" t="s">
        <v>1205</v>
      </c>
      <c r="AN50" t="s">
        <v>1206</v>
      </c>
      <c r="AO50" t="s">
        <v>1207</v>
      </c>
      <c r="AP50" s="333"/>
      <c r="AQ50">
        <f t="shared" si="6"/>
        <v>49</v>
      </c>
      <c r="AR50" t="s">
        <v>1208</v>
      </c>
      <c r="AS50" t="s">
        <v>1209</v>
      </c>
      <c r="AT50" t="s">
        <v>1210</v>
      </c>
      <c r="AU50" t="s">
        <v>1211</v>
      </c>
      <c r="AW50">
        <f t="shared" si="7"/>
        <v>49</v>
      </c>
      <c r="AX50" t="s">
        <v>674</v>
      </c>
      <c r="AY50" t="s">
        <v>675</v>
      </c>
      <c r="AZ50" t="s">
        <v>676</v>
      </c>
      <c r="BA50" t="s">
        <v>677</v>
      </c>
      <c r="BC50">
        <f t="shared" si="8"/>
        <v>49</v>
      </c>
      <c r="BD50" t="s">
        <v>1212</v>
      </c>
      <c r="BE50" t="s">
        <v>1213</v>
      </c>
      <c r="BF50" t="s">
        <v>1214</v>
      </c>
      <c r="BG50" t="s">
        <v>1215</v>
      </c>
      <c r="BJ50">
        <f t="shared" si="9"/>
        <v>49</v>
      </c>
      <c r="BP50">
        <f t="shared" si="10"/>
        <v>49</v>
      </c>
    </row>
    <row r="51" spans="1:72" x14ac:dyDescent="0.2">
      <c r="A51">
        <f t="shared" si="19"/>
        <v>50</v>
      </c>
      <c r="B51" t="s">
        <v>1216</v>
      </c>
      <c r="C51" t="s">
        <v>1217</v>
      </c>
      <c r="D51" t="s">
        <v>1218</v>
      </c>
      <c r="E51" t="s">
        <v>1219</v>
      </c>
      <c r="M51">
        <f t="shared" si="1"/>
        <v>50</v>
      </c>
      <c r="S51">
        <f t="shared" si="2"/>
        <v>50</v>
      </c>
      <c r="Y51">
        <f t="shared" si="3"/>
        <v>50</v>
      </c>
      <c r="AE51">
        <f t="shared" si="4"/>
        <v>50</v>
      </c>
      <c r="AK51">
        <f t="shared" si="5"/>
        <v>50</v>
      </c>
      <c r="AL51" t="s">
        <v>1220</v>
      </c>
      <c r="AM51" t="s">
        <v>1221</v>
      </c>
      <c r="AN51" t="s">
        <v>1222</v>
      </c>
      <c r="AO51" t="s">
        <v>1223</v>
      </c>
      <c r="AP51" s="333"/>
      <c r="AQ51">
        <f t="shared" si="6"/>
        <v>50</v>
      </c>
      <c r="AR51" t="s">
        <v>1224</v>
      </c>
      <c r="AS51" t="s">
        <v>1225</v>
      </c>
      <c r="AT51" t="s">
        <v>1226</v>
      </c>
      <c r="AU51" t="s">
        <v>1227</v>
      </c>
      <c r="AW51">
        <f t="shared" si="7"/>
        <v>50</v>
      </c>
      <c r="AX51" t="s">
        <v>718</v>
      </c>
      <c r="AY51" t="s">
        <v>718</v>
      </c>
      <c r="AZ51" t="s">
        <v>719</v>
      </c>
      <c r="BA51" t="s">
        <v>718</v>
      </c>
      <c r="BC51">
        <f t="shared" si="8"/>
        <v>50</v>
      </c>
      <c r="BD51" t="s">
        <v>1228</v>
      </c>
      <c r="BE51" t="s">
        <v>679</v>
      </c>
      <c r="BF51" t="s">
        <v>1229</v>
      </c>
      <c r="BG51" t="s">
        <v>681</v>
      </c>
      <c r="BJ51">
        <f t="shared" si="9"/>
        <v>50</v>
      </c>
      <c r="BP51">
        <f t="shared" si="10"/>
        <v>50</v>
      </c>
    </row>
    <row r="52" spans="1:72" x14ac:dyDescent="0.2">
      <c r="A52">
        <f t="shared" si="19"/>
        <v>51</v>
      </c>
      <c r="B52" t="s">
        <v>1230</v>
      </c>
      <c r="C52" t="s">
        <v>1231</v>
      </c>
      <c r="D52" t="s">
        <v>1232</v>
      </c>
      <c r="E52" t="s">
        <v>1233</v>
      </c>
      <c r="M52">
        <f t="shared" si="1"/>
        <v>51</v>
      </c>
      <c r="N52" t="s">
        <v>1234</v>
      </c>
      <c r="O52" t="s">
        <v>1235</v>
      </c>
      <c r="P52" t="s">
        <v>1236</v>
      </c>
      <c r="Q52" t="s">
        <v>1237</v>
      </c>
      <c r="S52">
        <f t="shared" si="2"/>
        <v>51</v>
      </c>
      <c r="T52" s="390" t="s">
        <v>2927</v>
      </c>
      <c r="U52" s="390" t="s">
        <v>2963</v>
      </c>
      <c r="V52" s="390" t="s">
        <v>3085</v>
      </c>
      <c r="W52" s="390" t="s">
        <v>3024</v>
      </c>
      <c r="Y52">
        <f t="shared" si="3"/>
        <v>51</v>
      </c>
      <c r="AE52">
        <f t="shared" si="4"/>
        <v>51</v>
      </c>
      <c r="AK52">
        <f t="shared" si="5"/>
        <v>51</v>
      </c>
      <c r="AL52" t="s">
        <v>1238</v>
      </c>
      <c r="AM52" t="s">
        <v>1239</v>
      </c>
      <c r="AN52" t="s">
        <v>1240</v>
      </c>
      <c r="AO52" t="s">
        <v>1241</v>
      </c>
      <c r="AP52" s="333"/>
      <c r="AQ52">
        <f t="shared" si="6"/>
        <v>51</v>
      </c>
      <c r="AR52" t="s">
        <v>1242</v>
      </c>
      <c r="AS52" t="s">
        <v>1243</v>
      </c>
      <c r="AT52" t="s">
        <v>1244</v>
      </c>
      <c r="AU52" t="s">
        <v>1245</v>
      </c>
      <c r="AW52">
        <f t="shared" si="7"/>
        <v>51</v>
      </c>
      <c r="AX52" t="s">
        <v>753</v>
      </c>
      <c r="AY52" t="s">
        <v>753</v>
      </c>
      <c r="AZ52" t="s">
        <v>753</v>
      </c>
      <c r="BA52" t="s">
        <v>754</v>
      </c>
      <c r="BC52">
        <f t="shared" si="8"/>
        <v>51</v>
      </c>
      <c r="BD52" t="s">
        <v>1246</v>
      </c>
      <c r="BE52" t="s">
        <v>1081</v>
      </c>
      <c r="BF52" t="s">
        <v>1247</v>
      </c>
      <c r="BG52" t="s">
        <v>1083</v>
      </c>
      <c r="BJ52">
        <f t="shared" si="9"/>
        <v>51</v>
      </c>
      <c r="BP52">
        <f t="shared" si="10"/>
        <v>51</v>
      </c>
      <c r="BQ52" t="s">
        <v>1248</v>
      </c>
      <c r="BR52" t="s">
        <v>1249</v>
      </c>
      <c r="BS52" t="s">
        <v>1250</v>
      </c>
      <c r="BT52" t="s">
        <v>1251</v>
      </c>
    </row>
    <row r="53" spans="1:72" x14ac:dyDescent="0.2">
      <c r="A53">
        <f t="shared" si="19"/>
        <v>52</v>
      </c>
      <c r="B53" t="s">
        <v>1252</v>
      </c>
      <c r="C53" t="s">
        <v>1253</v>
      </c>
      <c r="D53" t="s">
        <v>1254</v>
      </c>
      <c r="E53" t="s">
        <v>1255</v>
      </c>
      <c r="M53">
        <f t="shared" si="1"/>
        <v>52</v>
      </c>
      <c r="N53" t="s">
        <v>1256</v>
      </c>
      <c r="O53" t="s">
        <v>1257</v>
      </c>
      <c r="P53" t="s">
        <v>1258</v>
      </c>
      <c r="Q53" t="s">
        <v>1259</v>
      </c>
      <c r="S53">
        <f t="shared" si="2"/>
        <v>52</v>
      </c>
      <c r="T53" t="s">
        <v>1260</v>
      </c>
      <c r="U53" t="s">
        <v>1261</v>
      </c>
      <c r="V53" t="s">
        <v>1262</v>
      </c>
      <c r="W53" t="s">
        <v>1263</v>
      </c>
      <c r="Y53">
        <f t="shared" si="3"/>
        <v>52</v>
      </c>
      <c r="AE53">
        <f t="shared" si="4"/>
        <v>52</v>
      </c>
      <c r="AK53">
        <f t="shared" si="5"/>
        <v>52</v>
      </c>
      <c r="AL53" t="s">
        <v>1264</v>
      </c>
      <c r="AM53" t="s">
        <v>1265</v>
      </c>
      <c r="AN53" t="s">
        <v>1266</v>
      </c>
      <c r="AO53" t="s">
        <v>1267</v>
      </c>
      <c r="AP53" s="333"/>
      <c r="AQ53">
        <f t="shared" si="6"/>
        <v>52</v>
      </c>
      <c r="AR53" t="s">
        <v>1268</v>
      </c>
      <c r="AS53" t="s">
        <v>1269</v>
      </c>
      <c r="AT53" t="s">
        <v>1270</v>
      </c>
      <c r="AU53" t="s">
        <v>1271</v>
      </c>
      <c r="AW53">
        <f t="shared" si="7"/>
        <v>52</v>
      </c>
      <c r="AX53" t="s">
        <v>791</v>
      </c>
      <c r="AY53" t="s">
        <v>792</v>
      </c>
      <c r="AZ53" t="s">
        <v>793</v>
      </c>
      <c r="BA53" t="s">
        <v>794</v>
      </c>
      <c r="BC53">
        <f t="shared" si="8"/>
        <v>52</v>
      </c>
      <c r="BD53" t="s">
        <v>1272</v>
      </c>
      <c r="BE53" t="s">
        <v>1273</v>
      </c>
      <c r="BF53" t="s">
        <v>1274</v>
      </c>
      <c r="BG53" t="s">
        <v>1275</v>
      </c>
      <c r="BJ53">
        <f t="shared" si="9"/>
        <v>52</v>
      </c>
      <c r="BP53">
        <f t="shared" si="10"/>
        <v>52</v>
      </c>
      <c r="BQ53" t="s">
        <v>1276</v>
      </c>
      <c r="BR53" t="s">
        <v>1277</v>
      </c>
      <c r="BS53" t="s">
        <v>1278</v>
      </c>
      <c r="BT53" t="s">
        <v>1279</v>
      </c>
    </row>
    <row r="54" spans="1:72" x14ac:dyDescent="0.2">
      <c r="A54">
        <f t="shared" ref="A54:A67" si="20">ROW()-1</f>
        <v>53</v>
      </c>
      <c r="B54" t="s">
        <v>1280</v>
      </c>
      <c r="C54" t="s">
        <v>1281</v>
      </c>
      <c r="D54" t="s">
        <v>1282</v>
      </c>
      <c r="E54" t="s">
        <v>1283</v>
      </c>
      <c r="M54">
        <f t="shared" si="1"/>
        <v>53</v>
      </c>
      <c r="N54" t="s">
        <v>1284</v>
      </c>
      <c r="O54" t="s">
        <v>1285</v>
      </c>
      <c r="P54" t="s">
        <v>1286</v>
      </c>
      <c r="Q54" t="s">
        <v>1287</v>
      </c>
      <c r="S54">
        <f t="shared" si="2"/>
        <v>53</v>
      </c>
      <c r="Y54">
        <f t="shared" si="3"/>
        <v>53</v>
      </c>
      <c r="AE54">
        <f t="shared" si="4"/>
        <v>53</v>
      </c>
      <c r="AK54">
        <f t="shared" si="5"/>
        <v>53</v>
      </c>
      <c r="AL54" t="s">
        <v>1288</v>
      </c>
      <c r="AM54" t="s">
        <v>1289</v>
      </c>
      <c r="AN54" t="s">
        <v>1290</v>
      </c>
      <c r="AO54" t="s">
        <v>1291</v>
      </c>
      <c r="AP54" s="333"/>
      <c r="AQ54">
        <f t="shared" si="6"/>
        <v>53</v>
      </c>
      <c r="AR54" t="s">
        <v>1292</v>
      </c>
      <c r="AS54" t="s">
        <v>1293</v>
      </c>
      <c r="AT54" t="s">
        <v>1294</v>
      </c>
      <c r="AU54" t="s">
        <v>1295</v>
      </c>
      <c r="AW54">
        <f t="shared" si="7"/>
        <v>53</v>
      </c>
      <c r="AX54" t="s">
        <v>831</v>
      </c>
      <c r="AY54" t="s">
        <v>832</v>
      </c>
      <c r="AZ54" t="s">
        <v>833</v>
      </c>
      <c r="BA54" t="s">
        <v>834</v>
      </c>
      <c r="BC54">
        <f t="shared" si="8"/>
        <v>53</v>
      </c>
      <c r="BD54" t="s">
        <v>1296</v>
      </c>
      <c r="BE54" t="s">
        <v>1297</v>
      </c>
      <c r="BF54" t="s">
        <v>1298</v>
      </c>
      <c r="BG54" t="s">
        <v>1299</v>
      </c>
      <c r="BJ54">
        <f t="shared" si="9"/>
        <v>53</v>
      </c>
      <c r="BP54">
        <f t="shared" si="10"/>
        <v>53</v>
      </c>
      <c r="BQ54" t="s">
        <v>1300</v>
      </c>
      <c r="BR54" t="s">
        <v>1301</v>
      </c>
      <c r="BS54" t="s">
        <v>1302</v>
      </c>
      <c r="BT54" t="s">
        <v>1303</v>
      </c>
    </row>
    <row r="55" spans="1:72" x14ac:dyDescent="0.2">
      <c r="A55">
        <f t="shared" si="20"/>
        <v>54</v>
      </c>
      <c r="B55" t="s">
        <v>1304</v>
      </c>
      <c r="C55" t="s">
        <v>1305</v>
      </c>
      <c r="D55" t="s">
        <v>1306</v>
      </c>
      <c r="E55" t="s">
        <v>1307</v>
      </c>
      <c r="M55">
        <f t="shared" si="1"/>
        <v>54</v>
      </c>
      <c r="N55" t="s">
        <v>1308</v>
      </c>
      <c r="O55" t="s">
        <v>1309</v>
      </c>
      <c r="P55" t="s">
        <v>1310</v>
      </c>
      <c r="Q55" t="s">
        <v>1311</v>
      </c>
      <c r="S55">
        <f t="shared" si="2"/>
        <v>54</v>
      </c>
      <c r="Y55">
        <f t="shared" si="3"/>
        <v>54</v>
      </c>
      <c r="AE55">
        <f t="shared" si="4"/>
        <v>54</v>
      </c>
      <c r="AK55">
        <f t="shared" si="5"/>
        <v>54</v>
      </c>
      <c r="AL55" t="s">
        <v>1312</v>
      </c>
      <c r="AM55" t="s">
        <v>1313</v>
      </c>
      <c r="AN55" t="s">
        <v>1314</v>
      </c>
      <c r="AO55" t="s">
        <v>1315</v>
      </c>
      <c r="AP55" s="333"/>
      <c r="AQ55">
        <f t="shared" si="6"/>
        <v>54</v>
      </c>
      <c r="AR55" t="s">
        <v>1316</v>
      </c>
      <c r="AS55" t="s">
        <v>1317</v>
      </c>
      <c r="AT55" t="s">
        <v>1318</v>
      </c>
      <c r="AU55" t="s">
        <v>1319</v>
      </c>
      <c r="AW55">
        <f t="shared" si="7"/>
        <v>54</v>
      </c>
      <c r="AX55" t="s">
        <v>718</v>
      </c>
      <c r="AY55" t="s">
        <v>718</v>
      </c>
      <c r="AZ55" t="s">
        <v>719</v>
      </c>
      <c r="BA55" t="s">
        <v>718</v>
      </c>
      <c r="BC55">
        <f t="shared" si="8"/>
        <v>54</v>
      </c>
      <c r="BD55" t="s">
        <v>1320</v>
      </c>
      <c r="BE55" t="s">
        <v>1321</v>
      </c>
      <c r="BF55" t="s">
        <v>1322</v>
      </c>
      <c r="BG55" t="s">
        <v>1323</v>
      </c>
      <c r="BJ55">
        <f t="shared" si="9"/>
        <v>54</v>
      </c>
      <c r="BP55">
        <f t="shared" si="10"/>
        <v>54</v>
      </c>
      <c r="BQ55" t="s">
        <v>1324</v>
      </c>
      <c r="BR55" t="s">
        <v>1325</v>
      </c>
      <c r="BS55" t="s">
        <v>1326</v>
      </c>
      <c r="BT55" t="s">
        <v>1327</v>
      </c>
    </row>
    <row r="56" spans="1:72" x14ac:dyDescent="0.2">
      <c r="A56">
        <f t="shared" si="20"/>
        <v>55</v>
      </c>
      <c r="B56" t="s">
        <v>1328</v>
      </c>
      <c r="C56" t="s">
        <v>1329</v>
      </c>
      <c r="D56" t="s">
        <v>1330</v>
      </c>
      <c r="E56" t="s">
        <v>1331</v>
      </c>
      <c r="M56">
        <f t="shared" si="1"/>
        <v>55</v>
      </c>
      <c r="S56">
        <f t="shared" si="2"/>
        <v>55</v>
      </c>
      <c r="Y56">
        <f t="shared" si="3"/>
        <v>55</v>
      </c>
      <c r="AE56">
        <f t="shared" si="4"/>
        <v>55</v>
      </c>
      <c r="AK56">
        <f t="shared" si="5"/>
        <v>55</v>
      </c>
      <c r="AL56" t="s">
        <v>1332</v>
      </c>
      <c r="AM56" t="s">
        <v>1333</v>
      </c>
      <c r="AN56" t="s">
        <v>1334</v>
      </c>
      <c r="AO56" t="s">
        <v>1335</v>
      </c>
      <c r="AP56" s="333"/>
      <c r="AQ56">
        <f t="shared" si="6"/>
        <v>55</v>
      </c>
      <c r="AR56" t="s">
        <v>1336</v>
      </c>
      <c r="AS56" t="s">
        <v>1336</v>
      </c>
      <c r="AT56" t="s">
        <v>1337</v>
      </c>
      <c r="AU56" t="s">
        <v>1336</v>
      </c>
      <c r="AW56">
        <f t="shared" si="7"/>
        <v>55</v>
      </c>
      <c r="AX56" t="s">
        <v>753</v>
      </c>
      <c r="AY56" t="s">
        <v>753</v>
      </c>
      <c r="AZ56" t="s">
        <v>753</v>
      </c>
      <c r="BA56" t="s">
        <v>754</v>
      </c>
      <c r="BC56">
        <f t="shared" si="8"/>
        <v>55</v>
      </c>
      <c r="BD56" t="s">
        <v>1338</v>
      </c>
      <c r="BE56" t="s">
        <v>1339</v>
      </c>
      <c r="BF56" t="s">
        <v>1340</v>
      </c>
      <c r="BG56" t="s">
        <v>1341</v>
      </c>
      <c r="BJ56">
        <f t="shared" si="9"/>
        <v>55</v>
      </c>
      <c r="BP56">
        <f t="shared" si="10"/>
        <v>55</v>
      </c>
      <c r="BQ56" t="s">
        <v>1342</v>
      </c>
      <c r="BR56" t="s">
        <v>1343</v>
      </c>
      <c r="BS56" t="s">
        <v>1344</v>
      </c>
      <c r="BT56" t="s">
        <v>1345</v>
      </c>
    </row>
    <row r="57" spans="1:72" x14ac:dyDescent="0.2">
      <c r="A57">
        <f t="shared" si="20"/>
        <v>56</v>
      </c>
      <c r="M57">
        <f t="shared" si="1"/>
        <v>56</v>
      </c>
      <c r="S57">
        <f t="shared" si="2"/>
        <v>56</v>
      </c>
      <c r="Y57">
        <f t="shared" si="3"/>
        <v>56</v>
      </c>
      <c r="AE57">
        <f t="shared" si="4"/>
        <v>56</v>
      </c>
      <c r="AK57">
        <f t="shared" si="5"/>
        <v>56</v>
      </c>
      <c r="AL57" t="s">
        <v>1346</v>
      </c>
      <c r="AM57" t="s">
        <v>1347</v>
      </c>
      <c r="AN57" t="s">
        <v>1348</v>
      </c>
      <c r="AO57" t="s">
        <v>1349</v>
      </c>
      <c r="AP57" s="333"/>
      <c r="AQ57">
        <f t="shared" si="6"/>
        <v>56</v>
      </c>
      <c r="AR57" t="s">
        <v>1350</v>
      </c>
      <c r="AS57" t="s">
        <v>1351</v>
      </c>
      <c r="AT57" t="s">
        <v>1352</v>
      </c>
      <c r="AU57" t="s">
        <v>1353</v>
      </c>
      <c r="AW57">
        <f t="shared" si="7"/>
        <v>56</v>
      </c>
      <c r="AX57" t="s">
        <v>791</v>
      </c>
      <c r="AY57" t="s">
        <v>792</v>
      </c>
      <c r="AZ57" t="s">
        <v>793</v>
      </c>
      <c r="BA57" t="s">
        <v>794</v>
      </c>
      <c r="BC57">
        <f t="shared" si="8"/>
        <v>56</v>
      </c>
      <c r="BJ57">
        <f t="shared" si="9"/>
        <v>56</v>
      </c>
      <c r="BP57">
        <f t="shared" si="10"/>
        <v>56</v>
      </c>
    </row>
    <row r="58" spans="1:72" x14ac:dyDescent="0.2">
      <c r="A58">
        <f t="shared" si="20"/>
        <v>57</v>
      </c>
      <c r="M58">
        <f t="shared" si="1"/>
        <v>57</v>
      </c>
      <c r="S58">
        <f t="shared" si="2"/>
        <v>57</v>
      </c>
      <c r="Y58">
        <f t="shared" si="3"/>
        <v>57</v>
      </c>
      <c r="AE58">
        <f t="shared" si="4"/>
        <v>57</v>
      </c>
      <c r="AK58">
        <f t="shared" si="5"/>
        <v>57</v>
      </c>
      <c r="AL58" t="s">
        <v>787</v>
      </c>
      <c r="AM58" t="s">
        <v>788</v>
      </c>
      <c r="AN58" t="s">
        <v>1354</v>
      </c>
      <c r="AO58" t="s">
        <v>790</v>
      </c>
      <c r="AP58" s="333"/>
      <c r="AQ58">
        <f t="shared" si="6"/>
        <v>57</v>
      </c>
      <c r="AR58" t="s">
        <v>1268</v>
      </c>
      <c r="AS58" t="s">
        <v>1269</v>
      </c>
      <c r="AT58" t="s">
        <v>1270</v>
      </c>
      <c r="AU58" t="s">
        <v>1271</v>
      </c>
      <c r="AW58">
        <f t="shared" si="7"/>
        <v>57</v>
      </c>
      <c r="AX58" t="s">
        <v>1355</v>
      </c>
      <c r="AY58" t="s">
        <v>1356</v>
      </c>
      <c r="AZ58" t="s">
        <v>1357</v>
      </c>
      <c r="BA58" t="s">
        <v>1358</v>
      </c>
      <c r="BC58">
        <f t="shared" si="8"/>
        <v>57</v>
      </c>
      <c r="BJ58">
        <f t="shared" si="9"/>
        <v>57</v>
      </c>
      <c r="BP58">
        <f t="shared" si="10"/>
        <v>57</v>
      </c>
    </row>
    <row r="59" spans="1:72" x14ac:dyDescent="0.2">
      <c r="A59">
        <f t="shared" si="20"/>
        <v>58</v>
      </c>
      <c r="M59">
        <f t="shared" si="1"/>
        <v>58</v>
      </c>
      <c r="S59">
        <f t="shared" si="2"/>
        <v>58</v>
      </c>
      <c r="Y59">
        <f t="shared" si="3"/>
        <v>58</v>
      </c>
      <c r="AE59">
        <f t="shared" si="4"/>
        <v>58</v>
      </c>
      <c r="AK59">
        <f t="shared" si="5"/>
        <v>58</v>
      </c>
      <c r="AL59" t="s">
        <v>1359</v>
      </c>
      <c r="AM59" t="s">
        <v>1360</v>
      </c>
      <c r="AN59" t="s">
        <v>1361</v>
      </c>
      <c r="AO59" t="s">
        <v>1362</v>
      </c>
      <c r="AP59" s="333"/>
      <c r="AQ59">
        <f t="shared" si="6"/>
        <v>58</v>
      </c>
      <c r="AR59" t="s">
        <v>1363</v>
      </c>
      <c r="AS59" t="s">
        <v>1364</v>
      </c>
      <c r="AT59" t="s">
        <v>1365</v>
      </c>
      <c r="AU59" t="s">
        <v>1366</v>
      </c>
      <c r="AW59">
        <f t="shared" si="7"/>
        <v>58</v>
      </c>
      <c r="AX59" t="s">
        <v>1367</v>
      </c>
      <c r="AY59" t="s">
        <v>1368</v>
      </c>
      <c r="AZ59" t="s">
        <v>1369</v>
      </c>
      <c r="BA59" t="s">
        <v>1370</v>
      </c>
      <c r="BC59">
        <f t="shared" si="8"/>
        <v>58</v>
      </c>
      <c r="BJ59">
        <f t="shared" si="9"/>
        <v>58</v>
      </c>
      <c r="BP59">
        <f t="shared" si="10"/>
        <v>58</v>
      </c>
    </row>
    <row r="60" spans="1:72" x14ac:dyDescent="0.2">
      <c r="A60">
        <f t="shared" si="20"/>
        <v>59</v>
      </c>
      <c r="M60">
        <f t="shared" si="1"/>
        <v>59</v>
      </c>
      <c r="S60">
        <f t="shared" si="2"/>
        <v>59</v>
      </c>
      <c r="Y60">
        <f t="shared" si="3"/>
        <v>59</v>
      </c>
      <c r="AE60">
        <f t="shared" si="4"/>
        <v>59</v>
      </c>
      <c r="AK60">
        <f t="shared" si="5"/>
        <v>59</v>
      </c>
      <c r="AL60" t="s">
        <v>1371</v>
      </c>
      <c r="AM60" t="s">
        <v>1372</v>
      </c>
      <c r="AN60" t="s">
        <v>1373</v>
      </c>
      <c r="AO60" t="s">
        <v>1374</v>
      </c>
      <c r="AP60" s="333"/>
      <c r="AQ60">
        <f t="shared" si="6"/>
        <v>59</v>
      </c>
      <c r="AR60" t="s">
        <v>1375</v>
      </c>
      <c r="AS60" t="s">
        <v>1376</v>
      </c>
      <c r="AT60" t="s">
        <v>1377</v>
      </c>
      <c r="AU60" t="s">
        <v>1378</v>
      </c>
      <c r="AW60">
        <f t="shared" si="7"/>
        <v>59</v>
      </c>
      <c r="BC60">
        <f t="shared" si="8"/>
        <v>59</v>
      </c>
      <c r="BJ60">
        <f t="shared" si="9"/>
        <v>59</v>
      </c>
      <c r="BP60">
        <f t="shared" si="10"/>
        <v>59</v>
      </c>
    </row>
    <row r="61" spans="1:72" x14ac:dyDescent="0.2">
      <c r="A61">
        <f t="shared" si="20"/>
        <v>60</v>
      </c>
      <c r="M61">
        <f t="shared" si="1"/>
        <v>60</v>
      </c>
      <c r="S61">
        <f t="shared" si="2"/>
        <v>60</v>
      </c>
      <c r="Y61">
        <f t="shared" si="3"/>
        <v>60</v>
      </c>
      <c r="AE61">
        <f t="shared" si="4"/>
        <v>60</v>
      </c>
      <c r="AK61">
        <f t="shared" si="5"/>
        <v>60</v>
      </c>
      <c r="AL61" t="s">
        <v>1379</v>
      </c>
      <c r="AM61" t="s">
        <v>1380</v>
      </c>
      <c r="AN61" t="s">
        <v>1381</v>
      </c>
      <c r="AO61" t="s">
        <v>1382</v>
      </c>
      <c r="AP61" s="333"/>
      <c r="AQ61">
        <f t="shared" si="6"/>
        <v>60</v>
      </c>
      <c r="AR61" t="s">
        <v>1383</v>
      </c>
      <c r="AS61" t="s">
        <v>1384</v>
      </c>
      <c r="AT61" t="s">
        <v>1385</v>
      </c>
      <c r="AU61" t="s">
        <v>1386</v>
      </c>
      <c r="AW61">
        <f t="shared" si="7"/>
        <v>60</v>
      </c>
      <c r="BC61">
        <f t="shared" si="8"/>
        <v>60</v>
      </c>
      <c r="BJ61">
        <f t="shared" si="9"/>
        <v>60</v>
      </c>
      <c r="BP61">
        <f t="shared" si="10"/>
        <v>60</v>
      </c>
    </row>
    <row r="62" spans="1:72" x14ac:dyDescent="0.2">
      <c r="A62">
        <f t="shared" si="20"/>
        <v>61</v>
      </c>
      <c r="M62">
        <f t="shared" si="1"/>
        <v>61</v>
      </c>
      <c r="N62" t="s">
        <v>962</v>
      </c>
      <c r="O62" t="s">
        <v>963</v>
      </c>
      <c r="P62" t="s">
        <v>964</v>
      </c>
      <c r="Q62" t="s">
        <v>965</v>
      </c>
      <c r="S62">
        <f t="shared" si="2"/>
        <v>61</v>
      </c>
      <c r="T62" t="s">
        <v>1387</v>
      </c>
      <c r="U62" t="s">
        <v>1388</v>
      </c>
      <c r="V62" t="s">
        <v>1389</v>
      </c>
      <c r="W62" t="s">
        <v>1390</v>
      </c>
      <c r="Y62">
        <f t="shared" si="3"/>
        <v>61</v>
      </c>
      <c r="AE62">
        <f t="shared" si="4"/>
        <v>61</v>
      </c>
      <c r="AF62" t="s">
        <v>1391</v>
      </c>
      <c r="AG62" t="s">
        <v>1392</v>
      </c>
      <c r="AH62" t="s">
        <v>1393</v>
      </c>
      <c r="AI62" t="s">
        <v>1394</v>
      </c>
      <c r="AK62">
        <f t="shared" si="5"/>
        <v>61</v>
      </c>
      <c r="AL62" t="s">
        <v>1395</v>
      </c>
      <c r="AM62" t="s">
        <v>1396</v>
      </c>
      <c r="AN62" t="s">
        <v>1397</v>
      </c>
      <c r="AO62" t="s">
        <v>1398</v>
      </c>
      <c r="AP62" s="333"/>
      <c r="AQ62">
        <f t="shared" si="6"/>
        <v>61</v>
      </c>
      <c r="AR62" t="s">
        <v>1399</v>
      </c>
      <c r="AS62" t="s">
        <v>1400</v>
      </c>
      <c r="AT62" t="s">
        <v>1401</v>
      </c>
      <c r="AU62" t="s">
        <v>1402</v>
      </c>
      <c r="AW62">
        <f t="shared" si="7"/>
        <v>61</v>
      </c>
      <c r="BC62">
        <f t="shared" si="8"/>
        <v>61</v>
      </c>
      <c r="BJ62">
        <f t="shared" si="9"/>
        <v>61</v>
      </c>
      <c r="BK62" t="s">
        <v>233</v>
      </c>
      <c r="BL62" t="s">
        <v>234</v>
      </c>
      <c r="BM62" t="s">
        <v>235</v>
      </c>
      <c r="BN62" t="s">
        <v>236</v>
      </c>
      <c r="BP62">
        <f t="shared" si="10"/>
        <v>61</v>
      </c>
    </row>
    <row r="63" spans="1:72" x14ac:dyDescent="0.2">
      <c r="A63">
        <f t="shared" si="20"/>
        <v>62</v>
      </c>
      <c r="M63">
        <f t="shared" si="1"/>
        <v>62</v>
      </c>
      <c r="N63" t="s">
        <v>1403</v>
      </c>
      <c r="O63" t="s">
        <v>1404</v>
      </c>
      <c r="P63" t="s">
        <v>1405</v>
      </c>
      <c r="Q63" t="s">
        <v>1406</v>
      </c>
      <c r="S63">
        <f t="shared" si="2"/>
        <v>62</v>
      </c>
      <c r="T63" t="s">
        <v>1407</v>
      </c>
      <c r="U63" t="s">
        <v>1408</v>
      </c>
      <c r="V63" t="s">
        <v>1409</v>
      </c>
      <c r="W63" t="s">
        <v>1410</v>
      </c>
      <c r="Y63">
        <f t="shared" si="3"/>
        <v>62</v>
      </c>
      <c r="AE63">
        <f t="shared" si="4"/>
        <v>62</v>
      </c>
      <c r="AF63" t="s">
        <v>1411</v>
      </c>
      <c r="AG63" s="25" t="s">
        <v>1412</v>
      </c>
      <c r="AH63" t="s">
        <v>1413</v>
      </c>
      <c r="AI63" t="s">
        <v>1414</v>
      </c>
      <c r="AK63">
        <f t="shared" si="5"/>
        <v>62</v>
      </c>
      <c r="AL63" t="s">
        <v>1415</v>
      </c>
      <c r="AM63" t="s">
        <v>1416</v>
      </c>
      <c r="AN63" t="s">
        <v>1417</v>
      </c>
      <c r="AO63" t="s">
        <v>1418</v>
      </c>
      <c r="AP63" s="333"/>
      <c r="AQ63">
        <f t="shared" si="6"/>
        <v>62</v>
      </c>
      <c r="AR63" t="s">
        <v>787</v>
      </c>
      <c r="AS63" t="s">
        <v>788</v>
      </c>
      <c r="AT63" t="s">
        <v>1419</v>
      </c>
      <c r="AU63" t="s">
        <v>790</v>
      </c>
      <c r="AW63">
        <f t="shared" si="7"/>
        <v>62</v>
      </c>
      <c r="BC63">
        <f t="shared" si="8"/>
        <v>62</v>
      </c>
      <c r="BJ63">
        <f t="shared" si="9"/>
        <v>62</v>
      </c>
      <c r="BK63" t="s">
        <v>1420</v>
      </c>
      <c r="BL63" t="s">
        <v>1421</v>
      </c>
      <c r="BM63" t="s">
        <v>1422</v>
      </c>
      <c r="BN63" t="s">
        <v>1423</v>
      </c>
      <c r="BP63">
        <f t="shared" si="10"/>
        <v>62</v>
      </c>
    </row>
    <row r="64" spans="1:72" x14ac:dyDescent="0.2">
      <c r="A64">
        <f t="shared" si="20"/>
        <v>63</v>
      </c>
      <c r="M64">
        <f t="shared" si="1"/>
        <v>63</v>
      </c>
      <c r="N64" t="s">
        <v>1424</v>
      </c>
      <c r="O64" t="s">
        <v>1425</v>
      </c>
      <c r="P64" t="s">
        <v>1426</v>
      </c>
      <c r="Q64" t="s">
        <v>1427</v>
      </c>
      <c r="S64">
        <f t="shared" si="2"/>
        <v>63</v>
      </c>
      <c r="T64" t="s">
        <v>1428</v>
      </c>
      <c r="U64" t="s">
        <v>1429</v>
      </c>
      <c r="V64" t="s">
        <v>1430</v>
      </c>
      <c r="W64" t="s">
        <v>1431</v>
      </c>
      <c r="Y64">
        <f t="shared" si="3"/>
        <v>63</v>
      </c>
      <c r="AE64">
        <f t="shared" si="4"/>
        <v>63</v>
      </c>
      <c r="AF64" t="s">
        <v>1432</v>
      </c>
      <c r="AG64" t="s">
        <v>1433</v>
      </c>
      <c r="AH64" t="s">
        <v>1434</v>
      </c>
      <c r="AI64" t="s">
        <v>1432</v>
      </c>
      <c r="AK64">
        <f t="shared" si="5"/>
        <v>63</v>
      </c>
      <c r="AL64" t="s">
        <v>1415</v>
      </c>
      <c r="AM64" t="s">
        <v>1416</v>
      </c>
      <c r="AN64" t="s">
        <v>1417</v>
      </c>
      <c r="AO64" t="s">
        <v>1418</v>
      </c>
      <c r="AP64" s="333"/>
      <c r="AQ64">
        <f t="shared" si="6"/>
        <v>63</v>
      </c>
      <c r="AR64" t="s">
        <v>1435</v>
      </c>
      <c r="AS64" t="s">
        <v>1436</v>
      </c>
      <c r="AT64" t="s">
        <v>1437</v>
      </c>
      <c r="AU64" t="s">
        <v>1438</v>
      </c>
      <c r="AW64">
        <f t="shared" si="7"/>
        <v>63</v>
      </c>
      <c r="BC64">
        <f t="shared" si="8"/>
        <v>63</v>
      </c>
      <c r="BJ64">
        <f t="shared" si="9"/>
        <v>63</v>
      </c>
      <c r="BK64" t="s">
        <v>1439</v>
      </c>
      <c r="BL64" t="s">
        <v>1440</v>
      </c>
      <c r="BM64" t="s">
        <v>1441</v>
      </c>
      <c r="BN64" t="s">
        <v>1442</v>
      </c>
      <c r="BP64">
        <f t="shared" si="10"/>
        <v>63</v>
      </c>
    </row>
    <row r="65" spans="1:72" x14ac:dyDescent="0.2">
      <c r="A65">
        <f t="shared" si="20"/>
        <v>64</v>
      </c>
      <c r="M65">
        <f t="shared" si="1"/>
        <v>64</v>
      </c>
      <c r="N65" t="s">
        <v>1443</v>
      </c>
      <c r="O65" t="s">
        <v>1444</v>
      </c>
      <c r="P65" t="s">
        <v>1445</v>
      </c>
      <c r="Q65" t="s">
        <v>1446</v>
      </c>
      <c r="S65">
        <f t="shared" si="2"/>
        <v>64</v>
      </c>
      <c r="T65" t="s">
        <v>1447</v>
      </c>
      <c r="U65" t="s">
        <v>1448</v>
      </c>
      <c r="V65" t="s">
        <v>1449</v>
      </c>
      <c r="W65" t="s">
        <v>1450</v>
      </c>
      <c r="Y65">
        <f t="shared" si="3"/>
        <v>64</v>
      </c>
      <c r="AE65">
        <f t="shared" si="4"/>
        <v>64</v>
      </c>
      <c r="AF65" t="s">
        <v>1451</v>
      </c>
      <c r="AG65" t="s">
        <v>1452</v>
      </c>
      <c r="AH65" t="s">
        <v>1453</v>
      </c>
      <c r="AI65" t="s">
        <v>1451</v>
      </c>
      <c r="AK65">
        <f t="shared" si="5"/>
        <v>64</v>
      </c>
      <c r="AL65" t="s">
        <v>1454</v>
      </c>
      <c r="AM65" t="s">
        <v>1455</v>
      </c>
      <c r="AN65" t="s">
        <v>1456</v>
      </c>
      <c r="AO65" t="s">
        <v>1457</v>
      </c>
      <c r="AP65" s="333"/>
      <c r="AQ65">
        <f t="shared" si="6"/>
        <v>64</v>
      </c>
      <c r="AR65" t="s">
        <v>1458</v>
      </c>
      <c r="AS65" t="s">
        <v>1459</v>
      </c>
      <c r="AT65" t="s">
        <v>1460</v>
      </c>
      <c r="AU65" t="s">
        <v>1461</v>
      </c>
      <c r="AW65">
        <f t="shared" si="7"/>
        <v>64</v>
      </c>
      <c r="BC65">
        <f t="shared" si="8"/>
        <v>64</v>
      </c>
      <c r="BJ65">
        <f t="shared" si="9"/>
        <v>64</v>
      </c>
      <c r="BP65">
        <f t="shared" si="10"/>
        <v>64</v>
      </c>
    </row>
    <row r="66" spans="1:72" x14ac:dyDescent="0.2">
      <c r="A66">
        <f t="shared" si="20"/>
        <v>65</v>
      </c>
      <c r="M66">
        <f t="shared" si="1"/>
        <v>65</v>
      </c>
      <c r="N66" t="s">
        <v>1462</v>
      </c>
      <c r="O66" t="s">
        <v>1463</v>
      </c>
      <c r="P66" t="s">
        <v>1464</v>
      </c>
      <c r="Q66" t="s">
        <v>1465</v>
      </c>
      <c r="S66">
        <f t="shared" si="2"/>
        <v>65</v>
      </c>
      <c r="T66" t="s">
        <v>1466</v>
      </c>
      <c r="U66" t="s">
        <v>1467</v>
      </c>
      <c r="V66" t="s">
        <v>1468</v>
      </c>
      <c r="W66" t="s">
        <v>1469</v>
      </c>
      <c r="Y66">
        <f t="shared" si="3"/>
        <v>65</v>
      </c>
      <c r="AE66">
        <f t="shared" si="4"/>
        <v>65</v>
      </c>
      <c r="AF66" t="s">
        <v>1470</v>
      </c>
      <c r="AG66" t="s">
        <v>1471</v>
      </c>
      <c r="AH66" t="s">
        <v>1472</v>
      </c>
      <c r="AI66" t="s">
        <v>1470</v>
      </c>
      <c r="AK66">
        <f t="shared" si="5"/>
        <v>65</v>
      </c>
      <c r="AL66" t="s">
        <v>1473</v>
      </c>
      <c r="AM66" t="s">
        <v>1474</v>
      </c>
      <c r="AN66" t="s">
        <v>1475</v>
      </c>
      <c r="AO66" t="s">
        <v>1476</v>
      </c>
      <c r="AP66" s="333"/>
      <c r="AQ66">
        <f t="shared" si="6"/>
        <v>65</v>
      </c>
      <c r="AR66" t="s">
        <v>1477</v>
      </c>
      <c r="AS66" t="s">
        <v>1478</v>
      </c>
      <c r="AT66" t="s">
        <v>1479</v>
      </c>
      <c r="AU66" t="s">
        <v>1480</v>
      </c>
      <c r="AW66">
        <f t="shared" si="7"/>
        <v>65</v>
      </c>
      <c r="BC66">
        <f t="shared" si="8"/>
        <v>65</v>
      </c>
      <c r="BJ66">
        <f t="shared" si="9"/>
        <v>65</v>
      </c>
      <c r="BP66">
        <f t="shared" si="10"/>
        <v>65</v>
      </c>
    </row>
    <row r="67" spans="1:72" x14ac:dyDescent="0.2">
      <c r="A67">
        <f t="shared" si="20"/>
        <v>66</v>
      </c>
      <c r="M67">
        <f t="shared" ref="M67:M130" si="21">ROW()-1</f>
        <v>66</v>
      </c>
      <c r="N67" t="s">
        <v>1481</v>
      </c>
      <c r="O67" t="s">
        <v>1482</v>
      </c>
      <c r="P67" t="s">
        <v>1483</v>
      </c>
      <c r="Q67" t="s">
        <v>1482</v>
      </c>
      <c r="S67">
        <f t="shared" ref="S67:S130" si="22">ROW()-1</f>
        <v>66</v>
      </c>
      <c r="T67" t="s">
        <v>1484</v>
      </c>
      <c r="U67" t="s">
        <v>1485</v>
      </c>
      <c r="V67" t="s">
        <v>1486</v>
      </c>
      <c r="W67" t="s">
        <v>1487</v>
      </c>
      <c r="Y67">
        <f t="shared" ref="Y67:Y130" si="23">ROW()-1</f>
        <v>66</v>
      </c>
      <c r="AE67">
        <f t="shared" ref="AE67:AE130" si="24">ROW()-1</f>
        <v>66</v>
      </c>
      <c r="AF67" t="s">
        <v>1488</v>
      </c>
      <c r="AG67" t="s">
        <v>1489</v>
      </c>
      <c r="AH67" t="s">
        <v>1490</v>
      </c>
      <c r="AI67" t="s">
        <v>1489</v>
      </c>
      <c r="AK67">
        <f t="shared" ref="AK67:AK130" si="25">ROW()-1</f>
        <v>66</v>
      </c>
      <c r="AL67" t="s">
        <v>1491</v>
      </c>
      <c r="AM67" t="s">
        <v>1492</v>
      </c>
      <c r="AN67" t="s">
        <v>1493</v>
      </c>
      <c r="AO67" t="s">
        <v>1494</v>
      </c>
      <c r="AP67" s="333"/>
      <c r="AQ67">
        <f t="shared" ref="AQ67:AQ130" si="26">ROW()-1</f>
        <v>66</v>
      </c>
      <c r="AR67" t="s">
        <v>1495</v>
      </c>
      <c r="AS67" t="s">
        <v>1496</v>
      </c>
      <c r="AT67" t="s">
        <v>1497</v>
      </c>
      <c r="AU67" t="s">
        <v>1498</v>
      </c>
      <c r="AW67">
        <f t="shared" ref="AW67:AW130" si="27">ROW()-1</f>
        <v>66</v>
      </c>
      <c r="BC67">
        <f t="shared" ref="BC67:BC130" si="28">ROW()-1</f>
        <v>66</v>
      </c>
      <c r="BJ67">
        <f t="shared" ref="BJ67:BJ130" si="29">ROW()-1</f>
        <v>66</v>
      </c>
      <c r="BP67">
        <f t="shared" ref="BP67:BP130" si="30">ROW()-1</f>
        <v>66</v>
      </c>
    </row>
    <row r="68" spans="1:72" x14ac:dyDescent="0.2">
      <c r="M68">
        <f t="shared" si="21"/>
        <v>67</v>
      </c>
      <c r="N68" t="s">
        <v>1499</v>
      </c>
      <c r="O68" t="s">
        <v>1500</v>
      </c>
      <c r="P68" t="s">
        <v>1501</v>
      </c>
      <c r="Q68" t="s">
        <v>1502</v>
      </c>
      <c r="S68">
        <f t="shared" si="22"/>
        <v>67</v>
      </c>
      <c r="T68" t="s">
        <v>1503</v>
      </c>
      <c r="U68" t="s">
        <v>1504</v>
      </c>
      <c r="V68" t="s">
        <v>1505</v>
      </c>
      <c r="W68" t="s">
        <v>1506</v>
      </c>
      <c r="Y68">
        <f t="shared" si="23"/>
        <v>67</v>
      </c>
      <c r="AE68">
        <f t="shared" si="24"/>
        <v>67</v>
      </c>
      <c r="AF68" t="s">
        <v>1507</v>
      </c>
      <c r="AG68" t="s">
        <v>1508</v>
      </c>
      <c r="AH68" t="s">
        <v>1509</v>
      </c>
      <c r="AI68" t="s">
        <v>1510</v>
      </c>
      <c r="AK68">
        <f t="shared" si="25"/>
        <v>67</v>
      </c>
      <c r="AP68" s="333"/>
      <c r="AQ68" s="390">
        <f t="shared" si="26"/>
        <v>67</v>
      </c>
      <c r="AR68" s="390" t="s">
        <v>1511</v>
      </c>
      <c r="AS68" s="390" t="s">
        <v>2970</v>
      </c>
      <c r="AT68" s="390" t="s">
        <v>3092</v>
      </c>
      <c r="AU68" s="390" t="s">
        <v>3031</v>
      </c>
      <c r="AW68">
        <f t="shared" si="27"/>
        <v>67</v>
      </c>
      <c r="BC68">
        <f t="shared" si="28"/>
        <v>67</v>
      </c>
      <c r="BJ68">
        <f t="shared" si="29"/>
        <v>67</v>
      </c>
      <c r="BP68">
        <f t="shared" si="30"/>
        <v>67</v>
      </c>
    </row>
    <row r="69" spans="1:72" x14ac:dyDescent="0.2">
      <c r="M69">
        <f t="shared" si="21"/>
        <v>68</v>
      </c>
      <c r="S69">
        <f t="shared" si="22"/>
        <v>68</v>
      </c>
      <c r="T69" t="s">
        <v>1512</v>
      </c>
      <c r="U69" t="s">
        <v>1513</v>
      </c>
      <c r="V69" t="s">
        <v>1514</v>
      </c>
      <c r="W69" t="s">
        <v>1515</v>
      </c>
      <c r="Y69">
        <f t="shared" si="23"/>
        <v>68</v>
      </c>
      <c r="AE69">
        <f t="shared" si="24"/>
        <v>68</v>
      </c>
      <c r="AF69" t="s">
        <v>1516</v>
      </c>
      <c r="AG69" t="s">
        <v>1517</v>
      </c>
      <c r="AH69" t="s">
        <v>1518</v>
      </c>
      <c r="AI69" t="s">
        <v>1516</v>
      </c>
      <c r="AK69">
        <f t="shared" si="25"/>
        <v>68</v>
      </c>
      <c r="AP69" s="333"/>
      <c r="AQ69" s="390">
        <f t="shared" si="26"/>
        <v>68</v>
      </c>
      <c r="AR69" s="390" t="s">
        <v>1519</v>
      </c>
      <c r="AS69" s="390" t="s">
        <v>2971</v>
      </c>
      <c r="AT69" s="390" t="s">
        <v>3093</v>
      </c>
      <c r="AU69" s="390" t="s">
        <v>3032</v>
      </c>
      <c r="AW69">
        <f t="shared" si="27"/>
        <v>68</v>
      </c>
      <c r="BC69">
        <f t="shared" si="28"/>
        <v>68</v>
      </c>
      <c r="BJ69">
        <f t="shared" si="29"/>
        <v>68</v>
      </c>
      <c r="BP69">
        <f t="shared" si="30"/>
        <v>68</v>
      </c>
    </row>
    <row r="70" spans="1:72" x14ac:dyDescent="0.2">
      <c r="M70">
        <f t="shared" si="21"/>
        <v>69</v>
      </c>
      <c r="S70">
        <f t="shared" si="22"/>
        <v>69</v>
      </c>
      <c r="T70" t="s">
        <v>1520</v>
      </c>
      <c r="U70" t="s">
        <v>1521</v>
      </c>
      <c r="V70" t="s">
        <v>1522</v>
      </c>
      <c r="W70" t="s">
        <v>1523</v>
      </c>
      <c r="Y70">
        <f t="shared" si="23"/>
        <v>69</v>
      </c>
      <c r="AE70">
        <f t="shared" si="24"/>
        <v>69</v>
      </c>
      <c r="AF70" t="s">
        <v>1524</v>
      </c>
      <c r="AG70" t="s">
        <v>1525</v>
      </c>
      <c r="AH70" t="s">
        <v>1526</v>
      </c>
      <c r="AI70" t="s">
        <v>1525</v>
      </c>
      <c r="AK70">
        <f t="shared" si="25"/>
        <v>69</v>
      </c>
      <c r="AP70" s="333"/>
      <c r="AQ70" s="390">
        <f t="shared" si="26"/>
        <v>69</v>
      </c>
      <c r="AR70" s="390" t="s">
        <v>1527</v>
      </c>
      <c r="AS70" s="390" t="s">
        <v>2972</v>
      </c>
      <c r="AT70" s="390" t="s">
        <v>3094</v>
      </c>
      <c r="AU70" s="390" t="s">
        <v>3033</v>
      </c>
      <c r="AW70">
        <f t="shared" si="27"/>
        <v>69</v>
      </c>
      <c r="BC70">
        <f t="shared" si="28"/>
        <v>69</v>
      </c>
      <c r="BJ70">
        <f t="shared" si="29"/>
        <v>69</v>
      </c>
      <c r="BP70">
        <f t="shared" si="30"/>
        <v>69</v>
      </c>
    </row>
    <row r="71" spans="1:72" x14ac:dyDescent="0.2">
      <c r="M71">
        <f t="shared" si="21"/>
        <v>70</v>
      </c>
      <c r="N71" t="s">
        <v>1528</v>
      </c>
      <c r="O71" t="s">
        <v>1529</v>
      </c>
      <c r="P71" s="25" t="s">
        <v>1530</v>
      </c>
      <c r="Q71" t="s">
        <v>1531</v>
      </c>
      <c r="S71">
        <f t="shared" si="22"/>
        <v>70</v>
      </c>
      <c r="T71" t="s">
        <v>1532</v>
      </c>
      <c r="U71" t="s">
        <v>1533</v>
      </c>
      <c r="V71" t="s">
        <v>1534</v>
      </c>
      <c r="W71" t="s">
        <v>1535</v>
      </c>
      <c r="Y71">
        <f t="shared" si="23"/>
        <v>70</v>
      </c>
      <c r="AE71">
        <f t="shared" si="24"/>
        <v>70</v>
      </c>
      <c r="AF71" t="s">
        <v>1536</v>
      </c>
      <c r="AG71" t="s">
        <v>1537</v>
      </c>
      <c r="AH71" t="s">
        <v>1538</v>
      </c>
      <c r="AI71" t="s">
        <v>1539</v>
      </c>
      <c r="AK71">
        <f t="shared" si="25"/>
        <v>70</v>
      </c>
      <c r="AP71" s="333"/>
      <c r="AQ71" s="390">
        <f t="shared" si="26"/>
        <v>70</v>
      </c>
      <c r="AR71" s="390" t="s">
        <v>1540</v>
      </c>
      <c r="AS71" s="390" t="s">
        <v>2973</v>
      </c>
      <c r="AT71" s="390" t="s">
        <v>3095</v>
      </c>
      <c r="AU71" s="390" t="s">
        <v>3034</v>
      </c>
      <c r="AW71">
        <f t="shared" si="27"/>
        <v>70</v>
      </c>
      <c r="BC71">
        <f t="shared" si="28"/>
        <v>70</v>
      </c>
      <c r="BJ71">
        <f t="shared" si="29"/>
        <v>70</v>
      </c>
      <c r="BP71">
        <f t="shared" si="30"/>
        <v>70</v>
      </c>
    </row>
    <row r="72" spans="1:72" x14ac:dyDescent="0.2">
      <c r="M72">
        <f t="shared" si="21"/>
        <v>71</v>
      </c>
      <c r="N72" t="s">
        <v>1541</v>
      </c>
      <c r="O72" t="s">
        <v>1542</v>
      </c>
      <c r="P72" t="s">
        <v>1543</v>
      </c>
      <c r="Q72" t="s">
        <v>1544</v>
      </c>
      <c r="S72">
        <f t="shared" si="22"/>
        <v>71</v>
      </c>
      <c r="Y72">
        <f t="shared" si="23"/>
        <v>71</v>
      </c>
      <c r="AE72">
        <f t="shared" si="24"/>
        <v>71</v>
      </c>
      <c r="AF72" t="s">
        <v>1545</v>
      </c>
      <c r="AG72" t="s">
        <v>1546</v>
      </c>
      <c r="AH72" t="s">
        <v>1547</v>
      </c>
      <c r="AI72" t="s">
        <v>1545</v>
      </c>
      <c r="AK72">
        <f t="shared" si="25"/>
        <v>71</v>
      </c>
      <c r="AP72" s="333"/>
      <c r="AQ72" s="390">
        <f t="shared" si="26"/>
        <v>71</v>
      </c>
      <c r="AR72" s="390" t="s">
        <v>1548</v>
      </c>
      <c r="AS72" s="390" t="s">
        <v>2974</v>
      </c>
      <c r="AT72" s="390" t="s">
        <v>3096</v>
      </c>
      <c r="AU72" s="390" t="s">
        <v>3035</v>
      </c>
      <c r="AW72">
        <f t="shared" si="27"/>
        <v>71</v>
      </c>
      <c r="AX72" t="s">
        <v>1549</v>
      </c>
      <c r="AY72" t="s">
        <v>1550</v>
      </c>
      <c r="AZ72" t="s">
        <v>1551</v>
      </c>
      <c r="BA72" t="s">
        <v>1552</v>
      </c>
      <c r="BC72">
        <f t="shared" si="28"/>
        <v>71</v>
      </c>
      <c r="BJ72">
        <f t="shared" si="29"/>
        <v>71</v>
      </c>
      <c r="BP72">
        <f t="shared" si="30"/>
        <v>71</v>
      </c>
      <c r="BQ72" t="s">
        <v>1553</v>
      </c>
      <c r="BR72" t="s">
        <v>1554</v>
      </c>
      <c r="BS72" t="s">
        <v>1555</v>
      </c>
      <c r="BT72" t="s">
        <v>1556</v>
      </c>
    </row>
    <row r="73" spans="1:72" x14ac:dyDescent="0.2">
      <c r="M73">
        <f t="shared" si="21"/>
        <v>72</v>
      </c>
      <c r="N73" t="s">
        <v>1557</v>
      </c>
      <c r="O73" t="s">
        <v>1558</v>
      </c>
      <c r="P73" t="s">
        <v>1559</v>
      </c>
      <c r="Q73" t="s">
        <v>1560</v>
      </c>
      <c r="S73">
        <f t="shared" si="22"/>
        <v>72</v>
      </c>
      <c r="Y73">
        <f t="shared" si="23"/>
        <v>72</v>
      </c>
      <c r="AE73">
        <f t="shared" si="24"/>
        <v>72</v>
      </c>
      <c r="AF73" t="s">
        <v>1561</v>
      </c>
      <c r="AG73" t="s">
        <v>1562</v>
      </c>
      <c r="AH73" t="s">
        <v>1563</v>
      </c>
      <c r="AI73" t="s">
        <v>1561</v>
      </c>
      <c r="AK73">
        <f t="shared" si="25"/>
        <v>72</v>
      </c>
      <c r="AP73" s="333"/>
      <c r="AQ73" s="390">
        <f t="shared" si="26"/>
        <v>72</v>
      </c>
      <c r="AR73" s="390" t="s">
        <v>1564</v>
      </c>
      <c r="AS73" s="390" t="s">
        <v>2975</v>
      </c>
      <c r="AT73" s="390" t="s">
        <v>3097</v>
      </c>
      <c r="AU73" s="390" t="s">
        <v>3036</v>
      </c>
      <c r="AW73">
        <f t="shared" si="27"/>
        <v>72</v>
      </c>
      <c r="BC73">
        <f t="shared" si="28"/>
        <v>72</v>
      </c>
      <c r="BJ73">
        <f t="shared" si="29"/>
        <v>72</v>
      </c>
      <c r="BP73">
        <f t="shared" si="30"/>
        <v>72</v>
      </c>
      <c r="BQ73" t="s">
        <v>1565</v>
      </c>
      <c r="BR73" t="s">
        <v>1566</v>
      </c>
      <c r="BS73" t="s">
        <v>1567</v>
      </c>
      <c r="BT73" t="s">
        <v>1568</v>
      </c>
    </row>
    <row r="74" spans="1:72" x14ac:dyDescent="0.2">
      <c r="M74">
        <f t="shared" si="21"/>
        <v>73</v>
      </c>
      <c r="N74" t="s">
        <v>1569</v>
      </c>
      <c r="O74" t="s">
        <v>1570</v>
      </c>
      <c r="P74" t="s">
        <v>1571</v>
      </c>
      <c r="Q74" t="s">
        <v>1572</v>
      </c>
      <c r="S74">
        <f t="shared" si="22"/>
        <v>73</v>
      </c>
      <c r="Y74">
        <f t="shared" si="23"/>
        <v>73</v>
      </c>
      <c r="AE74">
        <f t="shared" si="24"/>
        <v>73</v>
      </c>
      <c r="AF74" t="s">
        <v>1573</v>
      </c>
      <c r="AG74" t="s">
        <v>1573</v>
      </c>
      <c r="AH74" t="s">
        <v>1574</v>
      </c>
      <c r="AI74" t="s">
        <v>1573</v>
      </c>
      <c r="AK74">
        <f t="shared" si="25"/>
        <v>73</v>
      </c>
      <c r="AP74" s="333"/>
      <c r="AQ74" s="390">
        <f t="shared" si="26"/>
        <v>73</v>
      </c>
      <c r="AR74" s="390" t="s">
        <v>1575</v>
      </c>
      <c r="AS74" s="390" t="s">
        <v>2976</v>
      </c>
      <c r="AT74" s="390" t="s">
        <v>3098</v>
      </c>
      <c r="AU74" s="390" t="s">
        <v>3037</v>
      </c>
      <c r="AW74">
        <f t="shared" si="27"/>
        <v>73</v>
      </c>
      <c r="BC74">
        <f t="shared" si="28"/>
        <v>73</v>
      </c>
      <c r="BJ74">
        <f t="shared" si="29"/>
        <v>73</v>
      </c>
      <c r="BP74">
        <f t="shared" si="30"/>
        <v>73</v>
      </c>
      <c r="BQ74" t="s">
        <v>1576</v>
      </c>
      <c r="BR74" t="s">
        <v>1577</v>
      </c>
      <c r="BS74" t="s">
        <v>1578</v>
      </c>
      <c r="BT74" t="s">
        <v>1579</v>
      </c>
    </row>
    <row r="75" spans="1:72" x14ac:dyDescent="0.2">
      <c r="M75">
        <f t="shared" si="21"/>
        <v>74</v>
      </c>
      <c r="N75" t="s">
        <v>1580</v>
      </c>
      <c r="O75" t="s">
        <v>1581</v>
      </c>
      <c r="P75" t="s">
        <v>1582</v>
      </c>
      <c r="Q75" t="s">
        <v>1583</v>
      </c>
      <c r="S75">
        <f t="shared" si="22"/>
        <v>74</v>
      </c>
      <c r="Y75">
        <f t="shared" si="23"/>
        <v>74</v>
      </c>
      <c r="AE75">
        <f t="shared" si="24"/>
        <v>74</v>
      </c>
      <c r="AF75" t="s">
        <v>1584</v>
      </c>
      <c r="AG75" t="s">
        <v>1585</v>
      </c>
      <c r="AH75" t="s">
        <v>1586</v>
      </c>
      <c r="AI75" t="s">
        <v>1585</v>
      </c>
      <c r="AK75">
        <f t="shared" si="25"/>
        <v>74</v>
      </c>
      <c r="AP75" s="333"/>
      <c r="AQ75" s="390">
        <f t="shared" si="26"/>
        <v>74</v>
      </c>
      <c r="AR75" s="390" t="s">
        <v>1587</v>
      </c>
      <c r="AS75" s="390" t="s">
        <v>2977</v>
      </c>
      <c r="AT75" s="390" t="s">
        <v>3099</v>
      </c>
      <c r="AU75" s="390" t="s">
        <v>3038</v>
      </c>
      <c r="AW75">
        <f t="shared" si="27"/>
        <v>74</v>
      </c>
      <c r="BC75">
        <f t="shared" si="28"/>
        <v>74</v>
      </c>
      <c r="BJ75">
        <f t="shared" si="29"/>
        <v>74</v>
      </c>
      <c r="BP75">
        <f t="shared" si="30"/>
        <v>74</v>
      </c>
      <c r="BQ75" t="s">
        <v>1588</v>
      </c>
      <c r="BR75" t="s">
        <v>1589</v>
      </c>
      <c r="BS75" t="s">
        <v>1590</v>
      </c>
      <c r="BT75" t="s">
        <v>1591</v>
      </c>
    </row>
    <row r="76" spans="1:72" x14ac:dyDescent="0.2">
      <c r="M76">
        <f t="shared" si="21"/>
        <v>75</v>
      </c>
      <c r="N76" t="s">
        <v>1592</v>
      </c>
      <c r="O76" t="s">
        <v>1593</v>
      </c>
      <c r="P76" t="s">
        <v>1594</v>
      </c>
      <c r="Q76" t="s">
        <v>1595</v>
      </c>
      <c r="S76">
        <f t="shared" si="22"/>
        <v>75</v>
      </c>
      <c r="Y76">
        <f t="shared" si="23"/>
        <v>75</v>
      </c>
      <c r="AE76">
        <f t="shared" si="24"/>
        <v>75</v>
      </c>
      <c r="AF76" t="s">
        <v>1596</v>
      </c>
      <c r="AG76" t="s">
        <v>1597</v>
      </c>
      <c r="AH76" t="s">
        <v>1597</v>
      </c>
      <c r="AI76" t="s">
        <v>1597</v>
      </c>
      <c r="AK76">
        <f t="shared" si="25"/>
        <v>75</v>
      </c>
      <c r="AP76" s="333"/>
      <c r="AQ76" s="390">
        <f t="shared" si="26"/>
        <v>75</v>
      </c>
      <c r="AR76" s="390" t="s">
        <v>1598</v>
      </c>
      <c r="AS76" s="390" t="s">
        <v>2978</v>
      </c>
      <c r="AT76" s="390" t="s">
        <v>3100</v>
      </c>
      <c r="AU76" s="390" t="s">
        <v>3039</v>
      </c>
      <c r="AW76">
        <f t="shared" si="27"/>
        <v>75</v>
      </c>
      <c r="BC76">
        <f t="shared" si="28"/>
        <v>75</v>
      </c>
      <c r="BJ76">
        <f t="shared" si="29"/>
        <v>75</v>
      </c>
      <c r="BP76">
        <f t="shared" si="30"/>
        <v>75</v>
      </c>
      <c r="BQ76" t="s">
        <v>1599</v>
      </c>
      <c r="BR76" t="s">
        <v>1600</v>
      </c>
      <c r="BS76" t="s">
        <v>1601</v>
      </c>
      <c r="BT76" t="s">
        <v>1602</v>
      </c>
    </row>
    <row r="77" spans="1:72" x14ac:dyDescent="0.2">
      <c r="M77">
        <f t="shared" si="21"/>
        <v>76</v>
      </c>
      <c r="N77" t="s">
        <v>1603</v>
      </c>
      <c r="O77" t="s">
        <v>1604</v>
      </c>
      <c r="P77" t="s">
        <v>1605</v>
      </c>
      <c r="Q77" t="s">
        <v>1606</v>
      </c>
      <c r="S77">
        <f t="shared" si="22"/>
        <v>76</v>
      </c>
      <c r="Y77">
        <f t="shared" si="23"/>
        <v>76</v>
      </c>
      <c r="AE77">
        <f t="shared" si="24"/>
        <v>76</v>
      </c>
      <c r="AF77" t="s">
        <v>1607</v>
      </c>
      <c r="AG77" t="s">
        <v>1608</v>
      </c>
      <c r="AH77" t="s">
        <v>1609</v>
      </c>
      <c r="AI77" t="s">
        <v>1607</v>
      </c>
      <c r="AK77">
        <f t="shared" si="25"/>
        <v>76</v>
      </c>
      <c r="AP77" s="333"/>
      <c r="AQ77" s="390">
        <f t="shared" si="26"/>
        <v>76</v>
      </c>
      <c r="AR77" s="390" t="s">
        <v>1610</v>
      </c>
      <c r="AS77" s="390" t="s">
        <v>2979</v>
      </c>
      <c r="AT77" s="390" t="s">
        <v>3101</v>
      </c>
      <c r="AU77" s="390" t="s">
        <v>3040</v>
      </c>
      <c r="AW77">
        <f t="shared" si="27"/>
        <v>76</v>
      </c>
      <c r="BC77">
        <f t="shared" si="28"/>
        <v>76</v>
      </c>
      <c r="BJ77">
        <f t="shared" si="29"/>
        <v>76</v>
      </c>
      <c r="BP77">
        <f t="shared" si="30"/>
        <v>76</v>
      </c>
      <c r="BQ77" t="s">
        <v>1611</v>
      </c>
      <c r="BR77" t="s">
        <v>1611</v>
      </c>
      <c r="BS77" t="s">
        <v>1612</v>
      </c>
      <c r="BT77" t="s">
        <v>1611</v>
      </c>
    </row>
    <row r="78" spans="1:72" x14ac:dyDescent="0.2">
      <c r="M78">
        <f t="shared" si="21"/>
        <v>77</v>
      </c>
      <c r="N78" t="s">
        <v>1613</v>
      </c>
      <c r="O78" t="s">
        <v>1614</v>
      </c>
      <c r="P78" t="s">
        <v>1615</v>
      </c>
      <c r="Q78" t="s">
        <v>1616</v>
      </c>
      <c r="S78">
        <f t="shared" si="22"/>
        <v>77</v>
      </c>
      <c r="Y78">
        <f t="shared" si="23"/>
        <v>77</v>
      </c>
      <c r="AE78">
        <f t="shared" si="24"/>
        <v>77</v>
      </c>
      <c r="AF78" t="s">
        <v>1617</v>
      </c>
      <c r="AG78" t="s">
        <v>1618</v>
      </c>
      <c r="AH78" t="s">
        <v>1619</v>
      </c>
      <c r="AI78" t="s">
        <v>1617</v>
      </c>
      <c r="AK78">
        <f t="shared" si="25"/>
        <v>77</v>
      </c>
      <c r="AP78" s="333"/>
      <c r="AQ78" s="390">
        <f t="shared" si="26"/>
        <v>77</v>
      </c>
      <c r="AR78" s="390" t="s">
        <v>1620</v>
      </c>
      <c r="AS78" s="390" t="s">
        <v>1620</v>
      </c>
      <c r="AT78" s="390" t="s">
        <v>3102</v>
      </c>
      <c r="AU78" s="390" t="s">
        <v>3041</v>
      </c>
      <c r="AW78">
        <f t="shared" si="27"/>
        <v>77</v>
      </c>
      <c r="BC78">
        <f t="shared" si="28"/>
        <v>77</v>
      </c>
      <c r="BJ78">
        <f t="shared" si="29"/>
        <v>77</v>
      </c>
      <c r="BP78">
        <f t="shared" si="30"/>
        <v>77</v>
      </c>
      <c r="BQ78" t="s">
        <v>1621</v>
      </c>
      <c r="BR78" t="s">
        <v>1622</v>
      </c>
      <c r="BS78" t="s">
        <v>1623</v>
      </c>
      <c r="BT78" t="s">
        <v>1624</v>
      </c>
    </row>
    <row r="79" spans="1:72" x14ac:dyDescent="0.2">
      <c r="M79">
        <f t="shared" si="21"/>
        <v>78</v>
      </c>
      <c r="N79" t="s">
        <v>1625</v>
      </c>
      <c r="O79" t="s">
        <v>1626</v>
      </c>
      <c r="P79" t="s">
        <v>1627</v>
      </c>
      <c r="Q79" t="s">
        <v>1628</v>
      </c>
      <c r="S79">
        <f t="shared" si="22"/>
        <v>78</v>
      </c>
      <c r="Y79">
        <f t="shared" si="23"/>
        <v>78</v>
      </c>
      <c r="AE79">
        <f t="shared" si="24"/>
        <v>78</v>
      </c>
      <c r="AF79" t="s">
        <v>1629</v>
      </c>
      <c r="AG79" t="s">
        <v>1630</v>
      </c>
      <c r="AH79" t="s">
        <v>1631</v>
      </c>
      <c r="AI79" t="s">
        <v>1629</v>
      </c>
      <c r="AK79">
        <f t="shared" si="25"/>
        <v>78</v>
      </c>
      <c r="AP79" s="333"/>
      <c r="AQ79" s="390">
        <f t="shared" si="26"/>
        <v>78</v>
      </c>
      <c r="AR79" s="390" t="s">
        <v>1403</v>
      </c>
      <c r="AS79" s="390" t="s">
        <v>1404</v>
      </c>
      <c r="AT79" s="390" t="s">
        <v>1405</v>
      </c>
      <c r="AU79" s="390" t="s">
        <v>1406</v>
      </c>
      <c r="AW79">
        <f t="shared" si="27"/>
        <v>78</v>
      </c>
      <c r="BC79">
        <f t="shared" si="28"/>
        <v>78</v>
      </c>
      <c r="BJ79">
        <f t="shared" si="29"/>
        <v>78</v>
      </c>
      <c r="BP79">
        <f t="shared" si="30"/>
        <v>78</v>
      </c>
      <c r="BQ79" t="s">
        <v>1632</v>
      </c>
      <c r="BR79" t="s">
        <v>1633</v>
      </c>
      <c r="BS79" t="s">
        <v>1634</v>
      </c>
      <c r="BT79" t="s">
        <v>1633</v>
      </c>
    </row>
    <row r="80" spans="1:72" x14ac:dyDescent="0.2">
      <c r="M80">
        <f t="shared" si="21"/>
        <v>79</v>
      </c>
      <c r="N80" t="s">
        <v>1635</v>
      </c>
      <c r="O80" t="s">
        <v>1636</v>
      </c>
      <c r="P80" t="s">
        <v>1637</v>
      </c>
      <c r="Q80" t="s">
        <v>1638</v>
      </c>
      <c r="S80">
        <f t="shared" si="22"/>
        <v>79</v>
      </c>
      <c r="Y80">
        <f t="shared" si="23"/>
        <v>79</v>
      </c>
      <c r="AE80">
        <f t="shared" si="24"/>
        <v>79</v>
      </c>
      <c r="AF80" t="s">
        <v>1639</v>
      </c>
      <c r="AG80" t="s">
        <v>1640</v>
      </c>
      <c r="AH80" t="s">
        <v>1641</v>
      </c>
      <c r="AI80" t="s">
        <v>1639</v>
      </c>
      <c r="AK80">
        <f t="shared" si="25"/>
        <v>79</v>
      </c>
      <c r="AP80" s="333"/>
      <c r="AQ80" s="390">
        <f t="shared" si="26"/>
        <v>79</v>
      </c>
      <c r="AR80" s="390" t="s">
        <v>1642</v>
      </c>
      <c r="AS80" s="390" t="s">
        <v>2980</v>
      </c>
      <c r="AT80" s="390" t="s">
        <v>3103</v>
      </c>
      <c r="AU80" s="390" t="s">
        <v>3042</v>
      </c>
      <c r="AW80">
        <f t="shared" si="27"/>
        <v>79</v>
      </c>
      <c r="BC80">
        <f t="shared" si="28"/>
        <v>79</v>
      </c>
      <c r="BJ80">
        <f t="shared" si="29"/>
        <v>79</v>
      </c>
      <c r="BP80">
        <f t="shared" si="30"/>
        <v>79</v>
      </c>
      <c r="BQ80" t="s">
        <v>1643</v>
      </c>
      <c r="BR80" t="s">
        <v>1644</v>
      </c>
      <c r="BS80" t="s">
        <v>1645</v>
      </c>
      <c r="BT80" t="s">
        <v>1646</v>
      </c>
    </row>
    <row r="81" spans="13:72" x14ac:dyDescent="0.2">
      <c r="M81">
        <f t="shared" si="21"/>
        <v>80</v>
      </c>
      <c r="N81" t="s">
        <v>994</v>
      </c>
      <c r="O81" t="s">
        <v>995</v>
      </c>
      <c r="P81" t="s">
        <v>996</v>
      </c>
      <c r="Q81" t="s">
        <v>997</v>
      </c>
      <c r="S81">
        <f t="shared" si="22"/>
        <v>80</v>
      </c>
      <c r="Y81">
        <f t="shared" si="23"/>
        <v>80</v>
      </c>
      <c r="AE81">
        <f t="shared" si="24"/>
        <v>80</v>
      </c>
      <c r="AF81" t="s">
        <v>1647</v>
      </c>
      <c r="AG81" t="s">
        <v>1648</v>
      </c>
      <c r="AH81" t="s">
        <v>1649</v>
      </c>
      <c r="AI81" t="s">
        <v>1647</v>
      </c>
      <c r="AK81">
        <f t="shared" si="25"/>
        <v>80</v>
      </c>
      <c r="AP81" s="333"/>
      <c r="AQ81" s="390">
        <f t="shared" si="26"/>
        <v>80</v>
      </c>
      <c r="AR81" s="390" t="s">
        <v>1650</v>
      </c>
      <c r="AS81" s="390" t="s">
        <v>2981</v>
      </c>
      <c r="AT81" s="390" t="s">
        <v>3104</v>
      </c>
      <c r="AU81" s="390" t="s">
        <v>3043</v>
      </c>
      <c r="AW81">
        <f t="shared" si="27"/>
        <v>80</v>
      </c>
      <c r="BC81">
        <f t="shared" si="28"/>
        <v>80</v>
      </c>
      <c r="BJ81">
        <f t="shared" si="29"/>
        <v>80</v>
      </c>
      <c r="BP81">
        <f t="shared" si="30"/>
        <v>80</v>
      </c>
      <c r="BQ81" t="s">
        <v>1651</v>
      </c>
      <c r="BR81" t="s">
        <v>1652</v>
      </c>
      <c r="BS81" t="s">
        <v>1653</v>
      </c>
      <c r="BT81" t="s">
        <v>1654</v>
      </c>
    </row>
    <row r="82" spans="13:72" x14ac:dyDescent="0.2">
      <c r="M82">
        <f t="shared" si="21"/>
        <v>81</v>
      </c>
      <c r="N82" t="s">
        <v>1655</v>
      </c>
      <c r="O82" t="s">
        <v>1656</v>
      </c>
      <c r="P82" t="s">
        <v>1657</v>
      </c>
      <c r="Q82" t="s">
        <v>1658</v>
      </c>
      <c r="S82">
        <f t="shared" si="22"/>
        <v>81</v>
      </c>
      <c r="Y82">
        <f t="shared" si="23"/>
        <v>81</v>
      </c>
      <c r="AE82">
        <f t="shared" si="24"/>
        <v>81</v>
      </c>
      <c r="AF82" t="s">
        <v>1659</v>
      </c>
      <c r="AG82" t="s">
        <v>1659</v>
      </c>
      <c r="AH82" t="s">
        <v>1660</v>
      </c>
      <c r="AI82" t="s">
        <v>1659</v>
      </c>
      <c r="AK82">
        <f t="shared" si="25"/>
        <v>81</v>
      </c>
      <c r="AL82" t="s">
        <v>1661</v>
      </c>
      <c r="AM82" t="s">
        <v>1662</v>
      </c>
      <c r="AN82" t="s">
        <v>1663</v>
      </c>
      <c r="AO82" t="s">
        <v>1664</v>
      </c>
      <c r="AP82" s="333"/>
      <c r="AQ82" s="390">
        <f t="shared" si="26"/>
        <v>81</v>
      </c>
      <c r="AR82" s="390" t="s">
        <v>1665</v>
      </c>
      <c r="AS82" t="s">
        <v>1666</v>
      </c>
      <c r="AT82" s="390" t="s">
        <v>1667</v>
      </c>
      <c r="AU82" t="s">
        <v>1668</v>
      </c>
      <c r="AW82">
        <f t="shared" si="27"/>
        <v>81</v>
      </c>
      <c r="AX82" t="s">
        <v>1669</v>
      </c>
      <c r="AY82" t="s">
        <v>1670</v>
      </c>
      <c r="AZ82" t="s">
        <v>1671</v>
      </c>
      <c r="BA82" t="s">
        <v>1672</v>
      </c>
      <c r="BC82">
        <f t="shared" si="28"/>
        <v>81</v>
      </c>
      <c r="BJ82">
        <f t="shared" si="29"/>
        <v>81</v>
      </c>
      <c r="BK82" t="s">
        <v>1673</v>
      </c>
      <c r="BL82" t="s">
        <v>1674</v>
      </c>
      <c r="BM82" t="s">
        <v>1675</v>
      </c>
      <c r="BN82" t="s">
        <v>1676</v>
      </c>
      <c r="BP82">
        <f t="shared" si="30"/>
        <v>81</v>
      </c>
    </row>
    <row r="83" spans="13:72" x14ac:dyDescent="0.2">
      <c r="M83">
        <f t="shared" si="21"/>
        <v>82</v>
      </c>
      <c r="N83" t="s">
        <v>1677</v>
      </c>
      <c r="O83" t="s">
        <v>1678</v>
      </c>
      <c r="P83" t="s">
        <v>1679</v>
      </c>
      <c r="Q83" t="s">
        <v>1680</v>
      </c>
      <c r="S83">
        <f t="shared" si="22"/>
        <v>82</v>
      </c>
      <c r="Y83">
        <f t="shared" si="23"/>
        <v>82</v>
      </c>
      <c r="AE83">
        <f t="shared" si="24"/>
        <v>82</v>
      </c>
      <c r="AF83" t="s">
        <v>1681</v>
      </c>
      <c r="AG83" t="s">
        <v>1682</v>
      </c>
      <c r="AH83" t="s">
        <v>1683</v>
      </c>
      <c r="AI83" t="s">
        <v>1681</v>
      </c>
      <c r="AK83">
        <f t="shared" si="25"/>
        <v>82</v>
      </c>
      <c r="AL83" s="25" t="s">
        <v>1684</v>
      </c>
      <c r="AM83" s="25" t="s">
        <v>1685</v>
      </c>
      <c r="AN83" s="25" t="s">
        <v>1686</v>
      </c>
      <c r="AO83" s="25" t="s">
        <v>1687</v>
      </c>
      <c r="AP83" s="333"/>
      <c r="AQ83" s="390">
        <f t="shared" si="26"/>
        <v>82</v>
      </c>
      <c r="AR83" s="390" t="s">
        <v>1688</v>
      </c>
      <c r="AS83" s="390" t="s">
        <v>2982</v>
      </c>
      <c r="AT83" s="390" t="s">
        <v>3105</v>
      </c>
      <c r="AU83" s="390" t="s">
        <v>3044</v>
      </c>
      <c r="AW83">
        <f t="shared" si="27"/>
        <v>82</v>
      </c>
      <c r="AX83" s="25" t="s">
        <v>1689</v>
      </c>
      <c r="AY83" s="25" t="s">
        <v>1690</v>
      </c>
      <c r="AZ83" s="25" t="s">
        <v>1691</v>
      </c>
      <c r="BA83" s="25" t="s">
        <v>1692</v>
      </c>
      <c r="BC83">
        <f t="shared" si="28"/>
        <v>82</v>
      </c>
      <c r="BJ83">
        <f t="shared" si="29"/>
        <v>82</v>
      </c>
      <c r="BK83" t="s">
        <v>1693</v>
      </c>
      <c r="BL83" t="s">
        <v>1694</v>
      </c>
      <c r="BM83" s="25" t="s">
        <v>1695</v>
      </c>
      <c r="BN83" t="s">
        <v>1696</v>
      </c>
      <c r="BP83">
        <f t="shared" si="30"/>
        <v>82</v>
      </c>
    </row>
    <row r="84" spans="13:72" x14ac:dyDescent="0.2">
      <c r="M84">
        <f t="shared" si="21"/>
        <v>83</v>
      </c>
      <c r="N84" t="s">
        <v>1697</v>
      </c>
      <c r="O84" t="s">
        <v>1698</v>
      </c>
      <c r="P84" t="s">
        <v>1697</v>
      </c>
      <c r="Q84" t="s">
        <v>1699</v>
      </c>
      <c r="S84">
        <f t="shared" si="22"/>
        <v>83</v>
      </c>
      <c r="Y84">
        <f t="shared" si="23"/>
        <v>83</v>
      </c>
      <c r="AE84">
        <f t="shared" si="24"/>
        <v>83</v>
      </c>
      <c r="AF84" t="s">
        <v>1700</v>
      </c>
      <c r="AG84" t="s">
        <v>1700</v>
      </c>
      <c r="AH84" t="s">
        <v>1701</v>
      </c>
      <c r="AI84" t="s">
        <v>1701</v>
      </c>
      <c r="AK84">
        <f t="shared" si="25"/>
        <v>83</v>
      </c>
      <c r="AL84" t="s">
        <v>1702</v>
      </c>
      <c r="AM84" t="s">
        <v>1703</v>
      </c>
      <c r="AN84" t="s">
        <v>1704</v>
      </c>
      <c r="AO84" t="s">
        <v>1705</v>
      </c>
      <c r="AP84" s="333"/>
      <c r="AQ84" s="390">
        <f t="shared" si="26"/>
        <v>83</v>
      </c>
      <c r="AR84" s="390" t="s">
        <v>1706</v>
      </c>
      <c r="AS84" s="390" t="s">
        <v>2983</v>
      </c>
      <c r="AT84" s="390" t="s">
        <v>3106</v>
      </c>
      <c r="AU84" s="390" t="s">
        <v>3045</v>
      </c>
      <c r="AW84">
        <f t="shared" si="27"/>
        <v>83</v>
      </c>
      <c r="AX84" s="25" t="s">
        <v>1707</v>
      </c>
      <c r="AY84" s="25" t="s">
        <v>1708</v>
      </c>
      <c r="AZ84" s="25" t="s">
        <v>1709</v>
      </c>
      <c r="BA84" s="25" t="s">
        <v>1710</v>
      </c>
      <c r="BC84">
        <f t="shared" si="28"/>
        <v>83</v>
      </c>
      <c r="BJ84">
        <f t="shared" si="29"/>
        <v>83</v>
      </c>
      <c r="BK84" t="s">
        <v>1693</v>
      </c>
      <c r="BL84" t="s">
        <v>1694</v>
      </c>
      <c r="BM84" s="25" t="s">
        <v>1695</v>
      </c>
      <c r="BN84" t="s">
        <v>1696</v>
      </c>
      <c r="BP84">
        <f t="shared" si="30"/>
        <v>83</v>
      </c>
    </row>
    <row r="85" spans="13:72" x14ac:dyDescent="0.2">
      <c r="M85">
        <f t="shared" si="21"/>
        <v>84</v>
      </c>
      <c r="N85" t="s">
        <v>1711</v>
      </c>
      <c r="O85" t="s">
        <v>1712</v>
      </c>
      <c r="P85" t="s">
        <v>1711</v>
      </c>
      <c r="Q85" t="s">
        <v>1713</v>
      </c>
      <c r="S85">
        <f t="shared" si="22"/>
        <v>84</v>
      </c>
      <c r="Y85">
        <f t="shared" si="23"/>
        <v>84</v>
      </c>
      <c r="AE85">
        <f t="shared" si="24"/>
        <v>84</v>
      </c>
      <c r="AF85" t="s">
        <v>1714</v>
      </c>
      <c r="AG85" t="s">
        <v>1714</v>
      </c>
      <c r="AH85" t="s">
        <v>1714</v>
      </c>
      <c r="AI85" t="s">
        <v>1714</v>
      </c>
      <c r="AK85">
        <f t="shared" si="25"/>
        <v>84</v>
      </c>
      <c r="AL85" t="s">
        <v>1715</v>
      </c>
      <c r="AM85" t="s">
        <v>1716</v>
      </c>
      <c r="AN85" t="s">
        <v>1717</v>
      </c>
      <c r="AO85" t="s">
        <v>1718</v>
      </c>
      <c r="AP85" s="333"/>
      <c r="AQ85" s="390">
        <f t="shared" si="26"/>
        <v>84</v>
      </c>
      <c r="AR85" s="390" t="s">
        <v>1719</v>
      </c>
      <c r="AS85" s="390" t="s">
        <v>2984</v>
      </c>
      <c r="AT85" s="390" t="s">
        <v>3107</v>
      </c>
      <c r="AU85" s="390" t="s">
        <v>3046</v>
      </c>
      <c r="AW85">
        <f t="shared" si="27"/>
        <v>84</v>
      </c>
      <c r="AX85" s="25" t="s">
        <v>1720</v>
      </c>
      <c r="AY85" s="25" t="s">
        <v>1721</v>
      </c>
      <c r="AZ85" s="25" t="s">
        <v>1722</v>
      </c>
      <c r="BA85" s="25" t="s">
        <v>1723</v>
      </c>
      <c r="BC85">
        <f t="shared" si="28"/>
        <v>84</v>
      </c>
      <c r="BJ85">
        <f t="shared" si="29"/>
        <v>84</v>
      </c>
      <c r="BP85">
        <f t="shared" si="30"/>
        <v>84</v>
      </c>
    </row>
    <row r="86" spans="13:72" x14ac:dyDescent="0.2">
      <c r="M86">
        <f t="shared" si="21"/>
        <v>85</v>
      </c>
      <c r="N86" t="s">
        <v>1724</v>
      </c>
      <c r="O86" t="s">
        <v>1725</v>
      </c>
      <c r="P86" t="s">
        <v>1726</v>
      </c>
      <c r="Q86" t="s">
        <v>1727</v>
      </c>
      <c r="S86">
        <f t="shared" si="22"/>
        <v>85</v>
      </c>
      <c r="Y86">
        <f t="shared" si="23"/>
        <v>85</v>
      </c>
      <c r="AE86">
        <f t="shared" si="24"/>
        <v>85</v>
      </c>
      <c r="AF86" t="s">
        <v>1728</v>
      </c>
      <c r="AG86" t="s">
        <v>1729</v>
      </c>
      <c r="AH86" t="s">
        <v>1729</v>
      </c>
      <c r="AI86" t="s">
        <v>1729</v>
      </c>
      <c r="AK86">
        <f t="shared" si="25"/>
        <v>85</v>
      </c>
      <c r="AP86" s="333"/>
      <c r="AQ86" s="390">
        <f t="shared" si="26"/>
        <v>85</v>
      </c>
      <c r="AR86" s="390" t="s">
        <v>1730</v>
      </c>
      <c r="AS86" s="390" t="s">
        <v>2985</v>
      </c>
      <c r="AT86" s="390" t="s">
        <v>3108</v>
      </c>
      <c r="AU86" s="390" t="s">
        <v>3047</v>
      </c>
      <c r="AW86">
        <f t="shared" si="27"/>
        <v>85</v>
      </c>
      <c r="AX86" s="25" t="s">
        <v>1731</v>
      </c>
      <c r="AY86" s="25" t="s">
        <v>1732</v>
      </c>
      <c r="AZ86" s="25" t="s">
        <v>1733</v>
      </c>
      <c r="BA86" s="25" t="s">
        <v>1734</v>
      </c>
      <c r="BC86">
        <f t="shared" si="28"/>
        <v>85</v>
      </c>
      <c r="BJ86">
        <f t="shared" si="29"/>
        <v>85</v>
      </c>
      <c r="BP86">
        <f t="shared" si="30"/>
        <v>85</v>
      </c>
    </row>
    <row r="87" spans="13:72" x14ac:dyDescent="0.2">
      <c r="M87">
        <f t="shared" si="21"/>
        <v>86</v>
      </c>
      <c r="N87" t="s">
        <v>1735</v>
      </c>
      <c r="O87" t="s">
        <v>1736</v>
      </c>
      <c r="P87" t="s">
        <v>1737</v>
      </c>
      <c r="Q87" t="s">
        <v>1738</v>
      </c>
      <c r="S87">
        <f t="shared" si="22"/>
        <v>86</v>
      </c>
      <c r="Y87">
        <f t="shared" si="23"/>
        <v>86</v>
      </c>
      <c r="AE87">
        <f t="shared" si="24"/>
        <v>86</v>
      </c>
      <c r="AF87" t="s">
        <v>1739</v>
      </c>
      <c r="AG87" t="s">
        <v>1740</v>
      </c>
      <c r="AH87" t="s">
        <v>1741</v>
      </c>
      <c r="AI87" t="s">
        <v>1740</v>
      </c>
      <c r="AK87">
        <f t="shared" si="25"/>
        <v>86</v>
      </c>
      <c r="AP87" s="333"/>
      <c r="AQ87" s="390">
        <f t="shared" si="26"/>
        <v>86</v>
      </c>
      <c r="AR87" s="390" t="s">
        <v>1742</v>
      </c>
      <c r="AS87" s="390" t="s">
        <v>2986</v>
      </c>
      <c r="AT87" s="390" t="s">
        <v>3109</v>
      </c>
      <c r="AU87" s="390" t="s">
        <v>3048</v>
      </c>
      <c r="AW87">
        <f t="shared" si="27"/>
        <v>86</v>
      </c>
      <c r="AX87" s="25" t="s">
        <v>1743</v>
      </c>
      <c r="AY87" s="25" t="s">
        <v>1744</v>
      </c>
      <c r="AZ87" s="25" t="s">
        <v>1745</v>
      </c>
      <c r="BA87" s="25" t="s">
        <v>1746</v>
      </c>
      <c r="BC87">
        <f t="shared" si="28"/>
        <v>86</v>
      </c>
      <c r="BJ87">
        <f t="shared" si="29"/>
        <v>86</v>
      </c>
      <c r="BP87">
        <f t="shared" si="30"/>
        <v>86</v>
      </c>
    </row>
    <row r="88" spans="13:72" x14ac:dyDescent="0.2">
      <c r="M88">
        <f t="shared" si="21"/>
        <v>87</v>
      </c>
      <c r="N88" t="s">
        <v>1747</v>
      </c>
      <c r="O88" t="s">
        <v>1748</v>
      </c>
      <c r="P88" t="s">
        <v>1749</v>
      </c>
      <c r="Q88" t="s">
        <v>1750</v>
      </c>
      <c r="S88">
        <f t="shared" si="22"/>
        <v>87</v>
      </c>
      <c r="Y88">
        <f t="shared" si="23"/>
        <v>87</v>
      </c>
      <c r="AE88">
        <f t="shared" si="24"/>
        <v>87</v>
      </c>
      <c r="AF88" t="s">
        <v>1751</v>
      </c>
      <c r="AG88" t="s">
        <v>1752</v>
      </c>
      <c r="AH88" t="s">
        <v>1753</v>
      </c>
      <c r="AI88" t="s">
        <v>1751</v>
      </c>
      <c r="AK88">
        <f t="shared" si="25"/>
        <v>87</v>
      </c>
      <c r="AP88" s="333"/>
      <c r="AQ88">
        <f t="shared" si="26"/>
        <v>87</v>
      </c>
      <c r="AW88">
        <f t="shared" si="27"/>
        <v>87</v>
      </c>
      <c r="AX88" s="25" t="s">
        <v>1754</v>
      </c>
      <c r="AY88" s="25" t="s">
        <v>1755</v>
      </c>
      <c r="AZ88" s="25" t="s">
        <v>1756</v>
      </c>
      <c r="BA88" s="25" t="s">
        <v>1757</v>
      </c>
      <c r="BC88">
        <f t="shared" si="28"/>
        <v>87</v>
      </c>
      <c r="BJ88">
        <f t="shared" si="29"/>
        <v>87</v>
      </c>
      <c r="BP88">
        <f t="shared" si="30"/>
        <v>87</v>
      </c>
    </row>
    <row r="89" spans="13:72" x14ac:dyDescent="0.2">
      <c r="M89">
        <f t="shared" si="21"/>
        <v>88</v>
      </c>
      <c r="N89" t="s">
        <v>1758</v>
      </c>
      <c r="O89" t="s">
        <v>1759</v>
      </c>
      <c r="P89" t="s">
        <v>1760</v>
      </c>
      <c r="Q89" t="s">
        <v>1761</v>
      </c>
      <c r="S89">
        <f t="shared" si="22"/>
        <v>88</v>
      </c>
      <c r="Y89">
        <f t="shared" si="23"/>
        <v>88</v>
      </c>
      <c r="AE89">
        <f t="shared" si="24"/>
        <v>88</v>
      </c>
      <c r="AF89" t="s">
        <v>1762</v>
      </c>
      <c r="AG89" t="s">
        <v>1763</v>
      </c>
      <c r="AH89" t="s">
        <v>1764</v>
      </c>
      <c r="AI89" t="s">
        <v>1763</v>
      </c>
      <c r="AK89">
        <f t="shared" si="25"/>
        <v>88</v>
      </c>
      <c r="AP89" s="333"/>
      <c r="AQ89">
        <f t="shared" si="26"/>
        <v>88</v>
      </c>
      <c r="AR89" s="390" t="s">
        <v>1765</v>
      </c>
      <c r="AS89" s="390" t="s">
        <v>2987</v>
      </c>
      <c r="AT89" s="390" t="s">
        <v>3110</v>
      </c>
      <c r="AU89" s="390" t="s">
        <v>3049</v>
      </c>
      <c r="AW89">
        <f t="shared" si="27"/>
        <v>88</v>
      </c>
      <c r="AX89" s="390" t="s">
        <v>1766</v>
      </c>
      <c r="AY89" s="390" t="s">
        <v>2999</v>
      </c>
      <c r="AZ89" s="390" t="s">
        <v>3122</v>
      </c>
      <c r="BA89" s="390" t="s">
        <v>3061</v>
      </c>
      <c r="BB89" s="272"/>
      <c r="BC89">
        <f t="shared" si="28"/>
        <v>88</v>
      </c>
      <c r="BJ89">
        <f t="shared" si="29"/>
        <v>88</v>
      </c>
      <c r="BP89">
        <f t="shared" si="30"/>
        <v>88</v>
      </c>
    </row>
    <row r="90" spans="13:72" x14ac:dyDescent="0.2">
      <c r="M90">
        <f t="shared" si="21"/>
        <v>89</v>
      </c>
      <c r="N90" t="s">
        <v>1770</v>
      </c>
      <c r="O90" t="s">
        <v>1771</v>
      </c>
      <c r="P90" t="s">
        <v>1772</v>
      </c>
      <c r="Q90" t="s">
        <v>1773</v>
      </c>
      <c r="S90">
        <f t="shared" si="22"/>
        <v>89</v>
      </c>
      <c r="Y90">
        <f t="shared" si="23"/>
        <v>89</v>
      </c>
      <c r="AE90">
        <f t="shared" si="24"/>
        <v>89</v>
      </c>
      <c r="AF90" t="s">
        <v>1553</v>
      </c>
      <c r="AG90" t="s">
        <v>1554</v>
      </c>
      <c r="AH90" t="s">
        <v>1555</v>
      </c>
      <c r="AI90" t="s">
        <v>1556</v>
      </c>
      <c r="AK90">
        <f t="shared" si="25"/>
        <v>89</v>
      </c>
      <c r="AP90" s="333"/>
      <c r="AQ90">
        <f t="shared" si="26"/>
        <v>89</v>
      </c>
      <c r="AR90" s="390" t="s">
        <v>1774</v>
      </c>
      <c r="AS90" s="390" t="s">
        <v>2988</v>
      </c>
      <c r="AT90" s="390" t="s">
        <v>3111</v>
      </c>
      <c r="AU90" s="390" t="s">
        <v>3050</v>
      </c>
      <c r="AW90">
        <f t="shared" si="27"/>
        <v>89</v>
      </c>
      <c r="AX90" s="25" t="s">
        <v>1775</v>
      </c>
      <c r="AY90" s="25" t="s">
        <v>1767</v>
      </c>
      <c r="AZ90" s="25" t="s">
        <v>1768</v>
      </c>
      <c r="BA90" s="25" t="s">
        <v>1769</v>
      </c>
      <c r="BC90">
        <f t="shared" si="28"/>
        <v>89</v>
      </c>
      <c r="BJ90">
        <f t="shared" si="29"/>
        <v>89</v>
      </c>
      <c r="BP90">
        <f t="shared" si="30"/>
        <v>89</v>
      </c>
    </row>
    <row r="91" spans="13:72" x14ac:dyDescent="0.2">
      <c r="M91">
        <f t="shared" si="21"/>
        <v>90</v>
      </c>
      <c r="N91" t="s">
        <v>1776</v>
      </c>
      <c r="O91" t="s">
        <v>1777</v>
      </c>
      <c r="P91" t="s">
        <v>1778</v>
      </c>
      <c r="Q91" t="s">
        <v>1779</v>
      </c>
      <c r="S91">
        <f t="shared" si="22"/>
        <v>90</v>
      </c>
      <c r="Y91">
        <f t="shared" si="23"/>
        <v>90</v>
      </c>
      <c r="AE91">
        <f t="shared" si="24"/>
        <v>90</v>
      </c>
      <c r="AF91" t="s">
        <v>1565</v>
      </c>
      <c r="AG91" t="s">
        <v>1780</v>
      </c>
      <c r="AH91" s="25" t="s">
        <v>1567</v>
      </c>
      <c r="AI91" t="s">
        <v>1568</v>
      </c>
      <c r="AK91">
        <f t="shared" si="25"/>
        <v>90</v>
      </c>
      <c r="AP91" s="333"/>
      <c r="AQ91">
        <f t="shared" si="26"/>
        <v>90</v>
      </c>
      <c r="AW91">
        <f t="shared" si="27"/>
        <v>90</v>
      </c>
      <c r="BC91">
        <f t="shared" si="28"/>
        <v>90</v>
      </c>
      <c r="BJ91">
        <f t="shared" si="29"/>
        <v>90</v>
      </c>
      <c r="BP91">
        <f t="shared" si="30"/>
        <v>90</v>
      </c>
    </row>
    <row r="92" spans="13:72" x14ac:dyDescent="0.2">
      <c r="M92">
        <f t="shared" si="21"/>
        <v>91</v>
      </c>
      <c r="N92" t="s">
        <v>1781</v>
      </c>
      <c r="O92" t="s">
        <v>1782</v>
      </c>
      <c r="P92" t="s">
        <v>1783</v>
      </c>
      <c r="Q92" t="s">
        <v>1784</v>
      </c>
      <c r="S92">
        <f t="shared" si="22"/>
        <v>91</v>
      </c>
      <c r="Y92">
        <f t="shared" si="23"/>
        <v>91</v>
      </c>
      <c r="AE92">
        <f t="shared" si="24"/>
        <v>91</v>
      </c>
      <c r="AK92">
        <f t="shared" si="25"/>
        <v>91</v>
      </c>
      <c r="AP92" s="333"/>
      <c r="AQ92">
        <f t="shared" si="26"/>
        <v>91</v>
      </c>
      <c r="AR92" t="s">
        <v>1785</v>
      </c>
      <c r="AS92" t="s">
        <v>1786</v>
      </c>
      <c r="AT92" t="s">
        <v>1787</v>
      </c>
      <c r="AU92" t="s">
        <v>1788</v>
      </c>
      <c r="AW92">
        <f t="shared" si="27"/>
        <v>91</v>
      </c>
      <c r="BC92">
        <f t="shared" si="28"/>
        <v>91</v>
      </c>
      <c r="BJ92">
        <f t="shared" si="29"/>
        <v>91</v>
      </c>
      <c r="BP92">
        <f t="shared" si="30"/>
        <v>91</v>
      </c>
      <c r="BQ92" t="s">
        <v>1789</v>
      </c>
      <c r="BR92" t="s">
        <v>1790</v>
      </c>
      <c r="BS92" t="s">
        <v>1791</v>
      </c>
      <c r="BT92" t="s">
        <v>1792</v>
      </c>
    </row>
    <row r="93" spans="13:72" x14ac:dyDescent="0.2">
      <c r="M93">
        <f t="shared" si="21"/>
        <v>92</v>
      </c>
      <c r="N93" t="s">
        <v>1793</v>
      </c>
      <c r="O93" t="s">
        <v>1794</v>
      </c>
      <c r="P93" t="s">
        <v>1795</v>
      </c>
      <c r="Q93" t="s">
        <v>1796</v>
      </c>
      <c r="S93">
        <f t="shared" si="22"/>
        <v>92</v>
      </c>
      <c r="Y93">
        <f t="shared" si="23"/>
        <v>92</v>
      </c>
      <c r="AE93">
        <f t="shared" si="24"/>
        <v>92</v>
      </c>
      <c r="AK93">
        <f t="shared" si="25"/>
        <v>92</v>
      </c>
      <c r="AP93" s="333"/>
      <c r="AQ93">
        <f t="shared" si="26"/>
        <v>92</v>
      </c>
      <c r="AR93" t="s">
        <v>1797</v>
      </c>
      <c r="AS93" t="s">
        <v>1798</v>
      </c>
      <c r="AT93" t="s">
        <v>1799</v>
      </c>
      <c r="AU93" t="s">
        <v>1800</v>
      </c>
      <c r="AW93">
        <f t="shared" si="27"/>
        <v>92</v>
      </c>
      <c r="BC93">
        <f t="shared" si="28"/>
        <v>92</v>
      </c>
      <c r="BJ93">
        <f t="shared" si="29"/>
        <v>92</v>
      </c>
      <c r="BP93">
        <f t="shared" si="30"/>
        <v>92</v>
      </c>
      <c r="BQ93" t="s">
        <v>1801</v>
      </c>
      <c r="BR93" t="s">
        <v>1802</v>
      </c>
      <c r="BS93" t="s">
        <v>1803</v>
      </c>
      <c r="BT93" t="s">
        <v>1804</v>
      </c>
    </row>
    <row r="94" spans="13:72" x14ac:dyDescent="0.2">
      <c r="M94">
        <f t="shared" si="21"/>
        <v>93</v>
      </c>
      <c r="N94" t="s">
        <v>1033</v>
      </c>
      <c r="O94" t="s">
        <v>1034</v>
      </c>
      <c r="P94" t="s">
        <v>1805</v>
      </c>
      <c r="Q94" t="s">
        <v>1036</v>
      </c>
      <c r="S94">
        <f t="shared" si="22"/>
        <v>93</v>
      </c>
      <c r="Y94">
        <f t="shared" si="23"/>
        <v>93</v>
      </c>
      <c r="AE94">
        <f t="shared" si="24"/>
        <v>93</v>
      </c>
      <c r="AK94">
        <f t="shared" si="25"/>
        <v>93</v>
      </c>
      <c r="AP94" s="333"/>
      <c r="AQ94">
        <f t="shared" si="26"/>
        <v>93</v>
      </c>
      <c r="AW94">
        <f t="shared" si="27"/>
        <v>93</v>
      </c>
      <c r="BC94">
        <f t="shared" si="28"/>
        <v>93</v>
      </c>
      <c r="BJ94">
        <f t="shared" si="29"/>
        <v>93</v>
      </c>
      <c r="BP94">
        <f t="shared" si="30"/>
        <v>93</v>
      </c>
      <c r="BQ94" t="s">
        <v>718</v>
      </c>
      <c r="BR94" t="s">
        <v>718</v>
      </c>
      <c r="BS94" t="s">
        <v>719</v>
      </c>
      <c r="BT94" t="s">
        <v>718</v>
      </c>
    </row>
    <row r="95" spans="13:72" x14ac:dyDescent="0.2">
      <c r="M95">
        <f t="shared" si="21"/>
        <v>94</v>
      </c>
      <c r="N95" t="s">
        <v>1806</v>
      </c>
      <c r="O95" t="s">
        <v>1807</v>
      </c>
      <c r="P95" t="s">
        <v>1808</v>
      </c>
      <c r="Q95" t="s">
        <v>1809</v>
      </c>
      <c r="S95">
        <f t="shared" si="22"/>
        <v>94</v>
      </c>
      <c r="Y95">
        <f t="shared" si="23"/>
        <v>94</v>
      </c>
      <c r="AE95">
        <f t="shared" si="24"/>
        <v>94</v>
      </c>
      <c r="AK95">
        <f t="shared" si="25"/>
        <v>94</v>
      </c>
      <c r="AP95" s="333"/>
      <c r="AQ95">
        <f t="shared" si="26"/>
        <v>94</v>
      </c>
      <c r="AW95">
        <f t="shared" si="27"/>
        <v>94</v>
      </c>
      <c r="BC95">
        <f t="shared" si="28"/>
        <v>94</v>
      </c>
      <c r="BJ95">
        <f t="shared" si="29"/>
        <v>94</v>
      </c>
      <c r="BP95">
        <f t="shared" si="30"/>
        <v>94</v>
      </c>
      <c r="BQ95" t="s">
        <v>1810</v>
      </c>
      <c r="BR95" t="s">
        <v>1810</v>
      </c>
      <c r="BS95" t="s">
        <v>1811</v>
      </c>
      <c r="BT95" t="s">
        <v>1810</v>
      </c>
    </row>
    <row r="96" spans="13:72" x14ac:dyDescent="0.2">
      <c r="M96">
        <f t="shared" si="21"/>
        <v>95</v>
      </c>
      <c r="N96" t="s">
        <v>1812</v>
      </c>
      <c r="O96" t="s">
        <v>1813</v>
      </c>
      <c r="P96" t="s">
        <v>1814</v>
      </c>
      <c r="Q96" t="s">
        <v>1815</v>
      </c>
      <c r="S96">
        <f t="shared" si="22"/>
        <v>95</v>
      </c>
      <c r="Y96">
        <f t="shared" si="23"/>
        <v>95</v>
      </c>
      <c r="AE96">
        <f t="shared" si="24"/>
        <v>95</v>
      </c>
      <c r="AK96">
        <f t="shared" si="25"/>
        <v>95</v>
      </c>
      <c r="AP96" s="333"/>
      <c r="AQ96">
        <f t="shared" si="26"/>
        <v>95</v>
      </c>
      <c r="AW96">
        <f t="shared" si="27"/>
        <v>95</v>
      </c>
      <c r="BC96">
        <f t="shared" si="28"/>
        <v>95</v>
      </c>
      <c r="BJ96">
        <f t="shared" si="29"/>
        <v>95</v>
      </c>
      <c r="BP96">
        <f t="shared" si="30"/>
        <v>95</v>
      </c>
      <c r="BQ96" t="s">
        <v>1816</v>
      </c>
      <c r="BR96" t="s">
        <v>1816</v>
      </c>
      <c r="BS96" t="s">
        <v>1817</v>
      </c>
      <c r="BT96" t="s">
        <v>1816</v>
      </c>
    </row>
    <row r="97" spans="13:72" x14ac:dyDescent="0.2">
      <c r="M97">
        <f t="shared" si="21"/>
        <v>96</v>
      </c>
      <c r="N97" t="s">
        <v>1818</v>
      </c>
      <c r="O97" t="s">
        <v>1819</v>
      </c>
      <c r="P97" t="s">
        <v>1820</v>
      </c>
      <c r="Q97" t="s">
        <v>1821</v>
      </c>
      <c r="S97">
        <f t="shared" si="22"/>
        <v>96</v>
      </c>
      <c r="Y97">
        <f t="shared" si="23"/>
        <v>96</v>
      </c>
      <c r="AE97">
        <f t="shared" si="24"/>
        <v>96</v>
      </c>
      <c r="AK97">
        <f t="shared" si="25"/>
        <v>96</v>
      </c>
      <c r="AP97" s="333"/>
      <c r="AQ97">
        <f t="shared" si="26"/>
        <v>96</v>
      </c>
      <c r="AW97">
        <f t="shared" si="27"/>
        <v>96</v>
      </c>
      <c r="BC97">
        <f t="shared" si="28"/>
        <v>96</v>
      </c>
      <c r="BJ97">
        <f t="shared" si="29"/>
        <v>96</v>
      </c>
      <c r="BP97">
        <f t="shared" si="30"/>
        <v>96</v>
      </c>
      <c r="BQ97" t="s">
        <v>1822</v>
      </c>
      <c r="BR97" t="s">
        <v>1822</v>
      </c>
      <c r="BS97" t="s">
        <v>1823</v>
      </c>
      <c r="BT97" t="s">
        <v>1822</v>
      </c>
    </row>
    <row r="98" spans="13:72" x14ac:dyDescent="0.2">
      <c r="M98">
        <f t="shared" si="21"/>
        <v>97</v>
      </c>
      <c r="N98" t="s">
        <v>1824</v>
      </c>
      <c r="O98" t="s">
        <v>1825</v>
      </c>
      <c r="P98" t="s">
        <v>1826</v>
      </c>
      <c r="Q98" t="s">
        <v>1827</v>
      </c>
      <c r="S98">
        <f t="shared" si="22"/>
        <v>97</v>
      </c>
      <c r="Y98">
        <f t="shared" si="23"/>
        <v>97</v>
      </c>
      <c r="AE98">
        <f t="shared" si="24"/>
        <v>97</v>
      </c>
      <c r="AK98">
        <f t="shared" si="25"/>
        <v>97</v>
      </c>
      <c r="AP98" s="333"/>
      <c r="AQ98">
        <f t="shared" si="26"/>
        <v>97</v>
      </c>
      <c r="AW98">
        <f t="shared" si="27"/>
        <v>97</v>
      </c>
      <c r="BC98">
        <f t="shared" si="28"/>
        <v>97</v>
      </c>
      <c r="BJ98">
        <f t="shared" si="29"/>
        <v>97</v>
      </c>
      <c r="BP98">
        <f t="shared" si="30"/>
        <v>97</v>
      </c>
      <c r="BQ98" t="s">
        <v>1828</v>
      </c>
      <c r="BR98" t="s">
        <v>1829</v>
      </c>
      <c r="BS98" t="s">
        <v>1830</v>
      </c>
      <c r="BT98" t="s">
        <v>1831</v>
      </c>
    </row>
    <row r="99" spans="13:72" x14ac:dyDescent="0.2">
      <c r="M99">
        <f t="shared" si="21"/>
        <v>98</v>
      </c>
      <c r="N99" t="s">
        <v>1832</v>
      </c>
      <c r="O99" t="s">
        <v>1833</v>
      </c>
      <c r="P99" t="s">
        <v>1834</v>
      </c>
      <c r="Q99" t="s">
        <v>1835</v>
      </c>
      <c r="S99">
        <f t="shared" si="22"/>
        <v>98</v>
      </c>
      <c r="Y99">
        <f t="shared" si="23"/>
        <v>98</v>
      </c>
      <c r="AE99">
        <f t="shared" si="24"/>
        <v>98</v>
      </c>
      <c r="AK99">
        <f t="shared" si="25"/>
        <v>98</v>
      </c>
      <c r="AP99" s="333"/>
      <c r="AQ99">
        <f t="shared" si="26"/>
        <v>98</v>
      </c>
      <c r="AW99">
        <f t="shared" si="27"/>
        <v>98</v>
      </c>
      <c r="BC99">
        <f t="shared" si="28"/>
        <v>98</v>
      </c>
      <c r="BJ99">
        <f t="shared" si="29"/>
        <v>98</v>
      </c>
      <c r="BP99">
        <f t="shared" si="30"/>
        <v>98</v>
      </c>
      <c r="BQ99" t="s">
        <v>1836</v>
      </c>
      <c r="BR99" t="s">
        <v>1837</v>
      </c>
      <c r="BS99" t="s">
        <v>1838</v>
      </c>
      <c r="BT99" t="s">
        <v>1839</v>
      </c>
    </row>
    <row r="100" spans="13:72" x14ac:dyDescent="0.2">
      <c r="M100">
        <f t="shared" si="21"/>
        <v>99</v>
      </c>
      <c r="N100" t="s">
        <v>1840</v>
      </c>
      <c r="O100" t="s">
        <v>1841</v>
      </c>
      <c r="P100" t="s">
        <v>1842</v>
      </c>
      <c r="Q100" t="s">
        <v>1843</v>
      </c>
      <c r="S100">
        <f t="shared" si="22"/>
        <v>99</v>
      </c>
      <c r="Y100">
        <f t="shared" si="23"/>
        <v>99</v>
      </c>
      <c r="AE100">
        <f t="shared" si="24"/>
        <v>99</v>
      </c>
      <c r="AK100">
        <f t="shared" si="25"/>
        <v>99</v>
      </c>
      <c r="AP100" s="333"/>
      <c r="AQ100">
        <f t="shared" si="26"/>
        <v>99</v>
      </c>
      <c r="AW100">
        <f t="shared" si="27"/>
        <v>99</v>
      </c>
      <c r="BC100">
        <f t="shared" si="28"/>
        <v>99</v>
      </c>
      <c r="BJ100">
        <f t="shared" si="29"/>
        <v>99</v>
      </c>
      <c r="BP100">
        <f t="shared" si="30"/>
        <v>99</v>
      </c>
    </row>
    <row r="101" spans="13:72" x14ac:dyDescent="0.2">
      <c r="M101">
        <f t="shared" si="21"/>
        <v>100</v>
      </c>
      <c r="N101" t="s">
        <v>1844</v>
      </c>
      <c r="O101" t="s">
        <v>1845</v>
      </c>
      <c r="P101" t="s">
        <v>1846</v>
      </c>
      <c r="Q101" t="s">
        <v>1847</v>
      </c>
      <c r="S101">
        <f t="shared" si="22"/>
        <v>100</v>
      </c>
      <c r="Y101">
        <f t="shared" si="23"/>
        <v>100</v>
      </c>
      <c r="AE101">
        <f t="shared" si="24"/>
        <v>100</v>
      </c>
      <c r="AK101">
        <f t="shared" si="25"/>
        <v>100</v>
      </c>
      <c r="AP101" s="333"/>
      <c r="AQ101">
        <f t="shared" si="26"/>
        <v>100</v>
      </c>
      <c r="AW101">
        <f t="shared" si="27"/>
        <v>100</v>
      </c>
      <c r="BC101">
        <f t="shared" si="28"/>
        <v>100</v>
      </c>
      <c r="BJ101">
        <f t="shared" si="29"/>
        <v>100</v>
      </c>
      <c r="BP101">
        <f t="shared" si="30"/>
        <v>100</v>
      </c>
    </row>
    <row r="102" spans="13:72" x14ac:dyDescent="0.2">
      <c r="M102">
        <f t="shared" si="21"/>
        <v>101</v>
      </c>
      <c r="N102" t="s">
        <v>1848</v>
      </c>
      <c r="O102" t="s">
        <v>1849</v>
      </c>
      <c r="P102" t="s">
        <v>1850</v>
      </c>
      <c r="Q102" t="s">
        <v>1851</v>
      </c>
      <c r="S102">
        <f t="shared" si="22"/>
        <v>101</v>
      </c>
      <c r="Y102">
        <f t="shared" si="23"/>
        <v>101</v>
      </c>
      <c r="AE102">
        <f t="shared" si="24"/>
        <v>101</v>
      </c>
      <c r="AF102" t="s">
        <v>1852</v>
      </c>
      <c r="AG102" t="s">
        <v>1853</v>
      </c>
      <c r="AH102" t="s">
        <v>1854</v>
      </c>
      <c r="AI102" t="s">
        <v>1855</v>
      </c>
      <c r="AK102">
        <f t="shared" si="25"/>
        <v>101</v>
      </c>
      <c r="AP102" s="333"/>
      <c r="AQ102">
        <f t="shared" si="26"/>
        <v>101</v>
      </c>
      <c r="AR102" t="s">
        <v>1856</v>
      </c>
      <c r="AS102" t="s">
        <v>1857</v>
      </c>
      <c r="AT102" t="s">
        <v>1858</v>
      </c>
      <c r="AU102" t="s">
        <v>1859</v>
      </c>
      <c r="AW102">
        <f t="shared" si="27"/>
        <v>101</v>
      </c>
      <c r="BC102">
        <f t="shared" si="28"/>
        <v>101</v>
      </c>
      <c r="BJ102">
        <f t="shared" si="29"/>
        <v>101</v>
      </c>
      <c r="BP102">
        <f t="shared" si="30"/>
        <v>101</v>
      </c>
    </row>
    <row r="103" spans="13:72" x14ac:dyDescent="0.2">
      <c r="M103">
        <f t="shared" si="21"/>
        <v>102</v>
      </c>
      <c r="N103" t="s">
        <v>1860</v>
      </c>
      <c r="O103" t="s">
        <v>1861</v>
      </c>
      <c r="P103" t="s">
        <v>1862</v>
      </c>
      <c r="Q103" t="s">
        <v>1863</v>
      </c>
      <c r="S103">
        <f t="shared" si="22"/>
        <v>102</v>
      </c>
      <c r="Y103">
        <f t="shared" si="23"/>
        <v>102</v>
      </c>
      <c r="AE103">
        <f t="shared" si="24"/>
        <v>102</v>
      </c>
      <c r="AF103" t="s">
        <v>329</v>
      </c>
      <c r="AG103" t="s">
        <v>330</v>
      </c>
      <c r="AH103" t="s">
        <v>331</v>
      </c>
      <c r="AI103" t="s">
        <v>332</v>
      </c>
      <c r="AK103">
        <f t="shared" si="25"/>
        <v>102</v>
      </c>
      <c r="AP103" s="333"/>
      <c r="AQ103">
        <f t="shared" si="26"/>
        <v>102</v>
      </c>
      <c r="AR103" s="25" t="s">
        <v>1864</v>
      </c>
      <c r="AS103" s="25" t="s">
        <v>1865</v>
      </c>
      <c r="AT103" s="25" t="s">
        <v>1866</v>
      </c>
      <c r="AU103" s="25" t="s">
        <v>1867</v>
      </c>
      <c r="AW103">
        <f t="shared" si="27"/>
        <v>102</v>
      </c>
      <c r="BC103">
        <f t="shared" si="28"/>
        <v>102</v>
      </c>
      <c r="BJ103">
        <f t="shared" si="29"/>
        <v>102</v>
      </c>
      <c r="BP103">
        <f t="shared" si="30"/>
        <v>102</v>
      </c>
    </row>
    <row r="104" spans="13:72" x14ac:dyDescent="0.2">
      <c r="M104">
        <f t="shared" si="21"/>
        <v>103</v>
      </c>
      <c r="N104" t="s">
        <v>1868</v>
      </c>
      <c r="O104" t="s">
        <v>1869</v>
      </c>
      <c r="P104" t="s">
        <v>1870</v>
      </c>
      <c r="Q104" t="s">
        <v>1871</v>
      </c>
      <c r="S104">
        <f t="shared" si="22"/>
        <v>103</v>
      </c>
      <c r="Y104">
        <f t="shared" si="23"/>
        <v>103</v>
      </c>
      <c r="AE104">
        <f t="shared" si="24"/>
        <v>103</v>
      </c>
      <c r="AF104" t="s">
        <v>1852</v>
      </c>
      <c r="AG104" t="s">
        <v>1853</v>
      </c>
      <c r="AH104" t="s">
        <v>1854</v>
      </c>
      <c r="AI104" t="s">
        <v>1855</v>
      </c>
      <c r="AK104">
        <f t="shared" si="25"/>
        <v>103</v>
      </c>
      <c r="AP104" s="333"/>
      <c r="AQ104">
        <f t="shared" si="26"/>
        <v>103</v>
      </c>
      <c r="AR104" s="25" t="s">
        <v>1872</v>
      </c>
      <c r="AS104" s="25" t="s">
        <v>1873</v>
      </c>
      <c r="AT104" s="25" t="s">
        <v>1874</v>
      </c>
      <c r="AU104" s="25" t="s">
        <v>1875</v>
      </c>
      <c r="AW104">
        <f t="shared" si="27"/>
        <v>103</v>
      </c>
      <c r="BC104">
        <f t="shared" si="28"/>
        <v>103</v>
      </c>
      <c r="BJ104">
        <f t="shared" si="29"/>
        <v>103</v>
      </c>
      <c r="BP104">
        <f t="shared" si="30"/>
        <v>103</v>
      </c>
    </row>
    <row r="105" spans="13:72" x14ac:dyDescent="0.2">
      <c r="M105">
        <f t="shared" si="21"/>
        <v>104</v>
      </c>
      <c r="N105" t="s">
        <v>1876</v>
      </c>
      <c r="O105" t="s">
        <v>1877</v>
      </c>
      <c r="P105" t="s">
        <v>1878</v>
      </c>
      <c r="Q105" t="s">
        <v>1879</v>
      </c>
      <c r="S105">
        <f t="shared" si="22"/>
        <v>104</v>
      </c>
      <c r="Y105">
        <f t="shared" si="23"/>
        <v>104</v>
      </c>
      <c r="AE105">
        <f t="shared" si="24"/>
        <v>104</v>
      </c>
      <c r="AF105" t="s">
        <v>1880</v>
      </c>
      <c r="AG105" t="s">
        <v>1881</v>
      </c>
      <c r="AH105" t="s">
        <v>1882</v>
      </c>
      <c r="AI105" t="s">
        <v>1883</v>
      </c>
      <c r="AK105">
        <f t="shared" si="25"/>
        <v>104</v>
      </c>
      <c r="AP105" s="333"/>
      <c r="AQ105">
        <f t="shared" si="26"/>
        <v>104</v>
      </c>
      <c r="AR105" s="390" t="s">
        <v>1884</v>
      </c>
      <c r="AS105" s="390" t="s">
        <v>2989</v>
      </c>
      <c r="AT105" s="390" t="s">
        <v>3112</v>
      </c>
      <c r="AU105" s="390" t="s">
        <v>3051</v>
      </c>
      <c r="AW105">
        <f t="shared" si="27"/>
        <v>104</v>
      </c>
      <c r="BC105">
        <f t="shared" si="28"/>
        <v>104</v>
      </c>
      <c r="BJ105">
        <f t="shared" si="29"/>
        <v>104</v>
      </c>
      <c r="BP105">
        <f t="shared" si="30"/>
        <v>104</v>
      </c>
    </row>
    <row r="106" spans="13:72" x14ac:dyDescent="0.2">
      <c r="M106">
        <f t="shared" si="21"/>
        <v>105</v>
      </c>
      <c r="N106" t="s">
        <v>1885</v>
      </c>
      <c r="O106" t="s">
        <v>1886</v>
      </c>
      <c r="P106" t="s">
        <v>1887</v>
      </c>
      <c r="Q106" t="s">
        <v>1888</v>
      </c>
      <c r="S106">
        <f t="shared" si="22"/>
        <v>105</v>
      </c>
      <c r="Y106">
        <f t="shared" si="23"/>
        <v>105</v>
      </c>
      <c r="AE106">
        <f t="shared" si="24"/>
        <v>105</v>
      </c>
      <c r="AK106">
        <f t="shared" si="25"/>
        <v>105</v>
      </c>
      <c r="AP106" s="333"/>
      <c r="AQ106">
        <f t="shared" si="26"/>
        <v>105</v>
      </c>
      <c r="AW106">
        <f t="shared" si="27"/>
        <v>105</v>
      </c>
      <c r="BC106">
        <f t="shared" si="28"/>
        <v>105</v>
      </c>
      <c r="BJ106">
        <f t="shared" si="29"/>
        <v>105</v>
      </c>
      <c r="BP106">
        <f t="shared" si="30"/>
        <v>105</v>
      </c>
    </row>
    <row r="107" spans="13:72" x14ac:dyDescent="0.2">
      <c r="M107">
        <f t="shared" si="21"/>
        <v>106</v>
      </c>
      <c r="N107" t="s">
        <v>1889</v>
      </c>
      <c r="O107" t="s">
        <v>1890</v>
      </c>
      <c r="P107" t="s">
        <v>1891</v>
      </c>
      <c r="Q107" t="s">
        <v>1892</v>
      </c>
      <c r="S107">
        <f t="shared" si="22"/>
        <v>106</v>
      </c>
      <c r="Y107">
        <f t="shared" si="23"/>
        <v>106</v>
      </c>
      <c r="AE107">
        <f t="shared" si="24"/>
        <v>106</v>
      </c>
      <c r="AK107">
        <f t="shared" si="25"/>
        <v>106</v>
      </c>
      <c r="AP107" s="333"/>
      <c r="AQ107">
        <f t="shared" si="26"/>
        <v>106</v>
      </c>
      <c r="AW107">
        <f t="shared" si="27"/>
        <v>106</v>
      </c>
      <c r="BC107">
        <f t="shared" si="28"/>
        <v>106</v>
      </c>
      <c r="BJ107">
        <f t="shared" si="29"/>
        <v>106</v>
      </c>
      <c r="BP107">
        <f t="shared" si="30"/>
        <v>106</v>
      </c>
    </row>
    <row r="108" spans="13:72" x14ac:dyDescent="0.2">
      <c r="M108">
        <f t="shared" si="21"/>
        <v>107</v>
      </c>
      <c r="N108" t="s">
        <v>1893</v>
      </c>
      <c r="O108" t="s">
        <v>1894</v>
      </c>
      <c r="P108" t="s">
        <v>1895</v>
      </c>
      <c r="Q108" t="s">
        <v>1896</v>
      </c>
      <c r="S108">
        <f t="shared" si="22"/>
        <v>107</v>
      </c>
      <c r="Y108">
        <f t="shared" si="23"/>
        <v>107</v>
      </c>
      <c r="AE108">
        <f t="shared" si="24"/>
        <v>107</v>
      </c>
      <c r="AK108">
        <f t="shared" si="25"/>
        <v>107</v>
      </c>
      <c r="AP108" s="333"/>
      <c r="AQ108">
        <f t="shared" si="26"/>
        <v>107</v>
      </c>
      <c r="AW108">
        <f t="shared" si="27"/>
        <v>107</v>
      </c>
      <c r="BC108">
        <f t="shared" si="28"/>
        <v>107</v>
      </c>
      <c r="BJ108">
        <f t="shared" si="29"/>
        <v>107</v>
      </c>
      <c r="BP108">
        <f t="shared" si="30"/>
        <v>107</v>
      </c>
    </row>
    <row r="109" spans="13:72" x14ac:dyDescent="0.2">
      <c r="M109">
        <f t="shared" si="21"/>
        <v>108</v>
      </c>
      <c r="N109" t="s">
        <v>1897</v>
      </c>
      <c r="O109" t="s">
        <v>1898</v>
      </c>
      <c r="P109" t="s">
        <v>1899</v>
      </c>
      <c r="Q109" t="s">
        <v>1900</v>
      </c>
      <c r="S109">
        <f t="shared" si="22"/>
        <v>108</v>
      </c>
      <c r="Y109">
        <f t="shared" si="23"/>
        <v>108</v>
      </c>
      <c r="AE109">
        <f t="shared" si="24"/>
        <v>108</v>
      </c>
      <c r="AK109">
        <f t="shared" si="25"/>
        <v>108</v>
      </c>
      <c r="AP109" s="333"/>
      <c r="AQ109">
        <f t="shared" si="26"/>
        <v>108</v>
      </c>
      <c r="AW109">
        <f t="shared" si="27"/>
        <v>108</v>
      </c>
      <c r="BC109">
        <f t="shared" si="28"/>
        <v>108</v>
      </c>
      <c r="BJ109">
        <f t="shared" si="29"/>
        <v>108</v>
      </c>
      <c r="BP109">
        <f t="shared" si="30"/>
        <v>108</v>
      </c>
    </row>
    <row r="110" spans="13:72" x14ac:dyDescent="0.2">
      <c r="M110">
        <f t="shared" si="21"/>
        <v>109</v>
      </c>
      <c r="N110" t="s">
        <v>1901</v>
      </c>
      <c r="O110" t="s">
        <v>1902</v>
      </c>
      <c r="P110" t="s">
        <v>1282</v>
      </c>
      <c r="Q110" t="s">
        <v>1903</v>
      </c>
      <c r="S110">
        <f t="shared" si="22"/>
        <v>109</v>
      </c>
      <c r="Y110">
        <f t="shared" si="23"/>
        <v>109</v>
      </c>
      <c r="AE110">
        <f t="shared" si="24"/>
        <v>109</v>
      </c>
      <c r="AK110">
        <f t="shared" si="25"/>
        <v>109</v>
      </c>
      <c r="AP110" s="333"/>
      <c r="AQ110">
        <f t="shared" si="26"/>
        <v>109</v>
      </c>
      <c r="AW110">
        <f t="shared" si="27"/>
        <v>109</v>
      </c>
      <c r="BC110">
        <f t="shared" si="28"/>
        <v>109</v>
      </c>
      <c r="BJ110">
        <f t="shared" si="29"/>
        <v>109</v>
      </c>
      <c r="BP110">
        <f t="shared" si="30"/>
        <v>109</v>
      </c>
    </row>
    <row r="111" spans="13:72" x14ac:dyDescent="0.2">
      <c r="M111">
        <f t="shared" si="21"/>
        <v>110</v>
      </c>
      <c r="N111" t="s">
        <v>1904</v>
      </c>
      <c r="O111" t="s">
        <v>1905</v>
      </c>
      <c r="P111" t="s">
        <v>1906</v>
      </c>
      <c r="Q111" t="s">
        <v>1907</v>
      </c>
      <c r="S111">
        <f t="shared" si="22"/>
        <v>110</v>
      </c>
      <c r="Y111">
        <f t="shared" si="23"/>
        <v>110</v>
      </c>
      <c r="AE111">
        <f t="shared" si="24"/>
        <v>110</v>
      </c>
      <c r="AK111">
        <f t="shared" si="25"/>
        <v>110</v>
      </c>
      <c r="AP111" s="333"/>
      <c r="AQ111">
        <f t="shared" si="26"/>
        <v>110</v>
      </c>
      <c r="AW111">
        <f t="shared" si="27"/>
        <v>110</v>
      </c>
      <c r="BC111">
        <f t="shared" si="28"/>
        <v>110</v>
      </c>
      <c r="BJ111">
        <f t="shared" si="29"/>
        <v>110</v>
      </c>
      <c r="BP111">
        <f t="shared" si="30"/>
        <v>110</v>
      </c>
    </row>
    <row r="112" spans="13:72" x14ac:dyDescent="0.2">
      <c r="M112">
        <f t="shared" si="21"/>
        <v>111</v>
      </c>
      <c r="N112" t="s">
        <v>1908</v>
      </c>
      <c r="O112" t="s">
        <v>1909</v>
      </c>
      <c r="P112" t="s">
        <v>1910</v>
      </c>
      <c r="Q112" t="s">
        <v>1911</v>
      </c>
      <c r="S112">
        <f t="shared" si="22"/>
        <v>111</v>
      </c>
      <c r="Y112">
        <f t="shared" si="23"/>
        <v>111</v>
      </c>
      <c r="AE112">
        <f t="shared" si="24"/>
        <v>111</v>
      </c>
      <c r="AF112" t="s">
        <v>1912</v>
      </c>
      <c r="AG112" t="s">
        <v>1913</v>
      </c>
      <c r="AH112" t="s">
        <v>1914</v>
      </c>
      <c r="AI112" t="s">
        <v>1915</v>
      </c>
      <c r="AK112">
        <f t="shared" si="25"/>
        <v>111</v>
      </c>
      <c r="AP112" s="333"/>
      <c r="AQ112">
        <f t="shared" si="26"/>
        <v>111</v>
      </c>
      <c r="AR112" t="s">
        <v>1916</v>
      </c>
      <c r="AS112" t="s">
        <v>1917</v>
      </c>
      <c r="AT112" t="s">
        <v>1918</v>
      </c>
      <c r="AU112" t="s">
        <v>1919</v>
      </c>
      <c r="AW112">
        <f t="shared" si="27"/>
        <v>111</v>
      </c>
      <c r="BC112">
        <f t="shared" si="28"/>
        <v>111</v>
      </c>
      <c r="BJ112">
        <f t="shared" si="29"/>
        <v>111</v>
      </c>
      <c r="BP112">
        <f t="shared" si="30"/>
        <v>111</v>
      </c>
    </row>
    <row r="113" spans="13:68" x14ac:dyDescent="0.2">
      <c r="M113">
        <f t="shared" si="21"/>
        <v>112</v>
      </c>
      <c r="N113" t="s">
        <v>1920</v>
      </c>
      <c r="O113" t="s">
        <v>1921</v>
      </c>
      <c r="P113" t="s">
        <v>1922</v>
      </c>
      <c r="Q113" t="s">
        <v>1923</v>
      </c>
      <c r="S113">
        <f t="shared" si="22"/>
        <v>112</v>
      </c>
      <c r="Y113">
        <f t="shared" si="23"/>
        <v>112</v>
      </c>
      <c r="AE113">
        <f t="shared" si="24"/>
        <v>112</v>
      </c>
      <c r="AF113" t="s">
        <v>1924</v>
      </c>
      <c r="AG113" t="s">
        <v>1925</v>
      </c>
      <c r="AH113" t="s">
        <v>1926</v>
      </c>
      <c r="AI113" t="s">
        <v>1927</v>
      </c>
      <c r="AK113">
        <f t="shared" si="25"/>
        <v>112</v>
      </c>
      <c r="AP113" s="333"/>
      <c r="AQ113">
        <f t="shared" si="26"/>
        <v>112</v>
      </c>
      <c r="AR113" t="s">
        <v>1928</v>
      </c>
      <c r="AS113" t="s">
        <v>1929</v>
      </c>
      <c r="AT113" t="s">
        <v>1930</v>
      </c>
      <c r="AU113" t="s">
        <v>1931</v>
      </c>
      <c r="AW113">
        <f t="shared" si="27"/>
        <v>112</v>
      </c>
      <c r="BC113">
        <f t="shared" si="28"/>
        <v>112</v>
      </c>
      <c r="BJ113">
        <f t="shared" si="29"/>
        <v>112</v>
      </c>
      <c r="BP113">
        <f t="shared" si="30"/>
        <v>112</v>
      </c>
    </row>
    <row r="114" spans="13:68" x14ac:dyDescent="0.2">
      <c r="M114">
        <f t="shared" si="21"/>
        <v>113</v>
      </c>
      <c r="N114" t="s">
        <v>1932</v>
      </c>
      <c r="O114" t="s">
        <v>1933</v>
      </c>
      <c r="P114" t="s">
        <v>1934</v>
      </c>
      <c r="Q114" t="s">
        <v>1935</v>
      </c>
      <c r="S114">
        <f t="shared" si="22"/>
        <v>113</v>
      </c>
      <c r="Y114">
        <f t="shared" si="23"/>
        <v>113</v>
      </c>
      <c r="AE114">
        <f t="shared" si="24"/>
        <v>113</v>
      </c>
      <c r="AF114" t="s">
        <v>1936</v>
      </c>
      <c r="AG114" t="s">
        <v>1937</v>
      </c>
      <c r="AH114" t="s">
        <v>1938</v>
      </c>
      <c r="AI114" t="s">
        <v>1939</v>
      </c>
      <c r="AK114">
        <f t="shared" si="25"/>
        <v>113</v>
      </c>
      <c r="AP114" s="333"/>
      <c r="AQ114">
        <f t="shared" si="26"/>
        <v>113</v>
      </c>
      <c r="AR114" t="s">
        <v>1940</v>
      </c>
      <c r="AS114" t="s">
        <v>1941</v>
      </c>
      <c r="AT114" t="s">
        <v>1942</v>
      </c>
      <c r="AU114" t="s">
        <v>1943</v>
      </c>
      <c r="AW114">
        <f t="shared" si="27"/>
        <v>113</v>
      </c>
      <c r="BC114">
        <f t="shared" si="28"/>
        <v>113</v>
      </c>
      <c r="BJ114">
        <f t="shared" si="29"/>
        <v>113</v>
      </c>
      <c r="BP114">
        <f t="shared" si="30"/>
        <v>113</v>
      </c>
    </row>
    <row r="115" spans="13:68" x14ac:dyDescent="0.2">
      <c r="M115">
        <f t="shared" si="21"/>
        <v>114</v>
      </c>
      <c r="N115" t="s">
        <v>1932</v>
      </c>
      <c r="O115" t="s">
        <v>1933</v>
      </c>
      <c r="P115" t="s">
        <v>1934</v>
      </c>
      <c r="Q115" t="s">
        <v>1935</v>
      </c>
      <c r="S115">
        <f t="shared" si="22"/>
        <v>114</v>
      </c>
      <c r="Y115">
        <f t="shared" si="23"/>
        <v>114</v>
      </c>
      <c r="AE115">
        <f t="shared" si="24"/>
        <v>114</v>
      </c>
      <c r="AF115" t="s">
        <v>1944</v>
      </c>
      <c r="AG115" t="s">
        <v>1945</v>
      </c>
      <c r="AH115" t="s">
        <v>1946</v>
      </c>
      <c r="AI115" t="s">
        <v>1947</v>
      </c>
      <c r="AK115">
        <f t="shared" si="25"/>
        <v>114</v>
      </c>
      <c r="AP115" s="333"/>
      <c r="AQ115">
        <f t="shared" si="26"/>
        <v>114</v>
      </c>
      <c r="AR115" t="s">
        <v>1948</v>
      </c>
      <c r="AS115" t="s">
        <v>1949</v>
      </c>
      <c r="AT115" t="s">
        <v>1950</v>
      </c>
      <c r="AU115" t="s">
        <v>1951</v>
      </c>
      <c r="AW115">
        <f t="shared" si="27"/>
        <v>114</v>
      </c>
      <c r="BC115">
        <f t="shared" si="28"/>
        <v>114</v>
      </c>
      <c r="BJ115">
        <f t="shared" si="29"/>
        <v>114</v>
      </c>
      <c r="BP115">
        <f t="shared" si="30"/>
        <v>114</v>
      </c>
    </row>
    <row r="116" spans="13:68" x14ac:dyDescent="0.2">
      <c r="M116">
        <f t="shared" si="21"/>
        <v>115</v>
      </c>
      <c r="N116" t="s">
        <v>1952</v>
      </c>
      <c r="O116" t="s">
        <v>1953</v>
      </c>
      <c r="P116" t="s">
        <v>1954</v>
      </c>
      <c r="Q116" t="s">
        <v>1955</v>
      </c>
      <c r="S116">
        <f t="shared" si="22"/>
        <v>115</v>
      </c>
      <c r="Y116">
        <f t="shared" si="23"/>
        <v>115</v>
      </c>
      <c r="AE116">
        <f t="shared" si="24"/>
        <v>115</v>
      </c>
      <c r="AF116" t="s">
        <v>1956</v>
      </c>
      <c r="AG116" t="s">
        <v>1957</v>
      </c>
      <c r="AH116" t="s">
        <v>1958</v>
      </c>
      <c r="AI116" t="s">
        <v>1958</v>
      </c>
      <c r="AK116">
        <f t="shared" si="25"/>
        <v>115</v>
      </c>
      <c r="AP116" s="333"/>
      <c r="AQ116">
        <f t="shared" si="26"/>
        <v>115</v>
      </c>
      <c r="AR116" t="s">
        <v>1959</v>
      </c>
      <c r="AS116" t="s">
        <v>1960</v>
      </c>
      <c r="AT116" t="s">
        <v>1961</v>
      </c>
      <c r="AU116" t="s">
        <v>1962</v>
      </c>
      <c r="AW116">
        <f t="shared" si="27"/>
        <v>115</v>
      </c>
      <c r="BC116">
        <f t="shared" si="28"/>
        <v>115</v>
      </c>
      <c r="BJ116">
        <f t="shared" si="29"/>
        <v>115</v>
      </c>
      <c r="BP116">
        <f t="shared" si="30"/>
        <v>115</v>
      </c>
    </row>
    <row r="117" spans="13:68" x14ac:dyDescent="0.2">
      <c r="M117">
        <f t="shared" si="21"/>
        <v>116</v>
      </c>
      <c r="N117" t="s">
        <v>1963</v>
      </c>
      <c r="O117" t="s">
        <v>1964</v>
      </c>
      <c r="P117" t="s">
        <v>1965</v>
      </c>
      <c r="Q117" t="s">
        <v>1966</v>
      </c>
      <c r="S117">
        <f t="shared" si="22"/>
        <v>116</v>
      </c>
      <c r="Y117">
        <f t="shared" si="23"/>
        <v>116</v>
      </c>
      <c r="AE117">
        <f t="shared" si="24"/>
        <v>116</v>
      </c>
      <c r="AF117" t="s">
        <v>1967</v>
      </c>
      <c r="AG117" t="s">
        <v>1968</v>
      </c>
      <c r="AH117" t="s">
        <v>1969</v>
      </c>
      <c r="AI117" t="s">
        <v>1970</v>
      </c>
      <c r="AK117">
        <f t="shared" si="25"/>
        <v>116</v>
      </c>
      <c r="AP117" s="333"/>
      <c r="AQ117">
        <f t="shared" si="26"/>
        <v>116</v>
      </c>
      <c r="AW117">
        <f t="shared" si="27"/>
        <v>116</v>
      </c>
      <c r="BC117">
        <f t="shared" si="28"/>
        <v>116</v>
      </c>
      <c r="BJ117">
        <f t="shared" si="29"/>
        <v>116</v>
      </c>
      <c r="BP117">
        <f t="shared" si="30"/>
        <v>116</v>
      </c>
    </row>
    <row r="118" spans="13:68" x14ac:dyDescent="0.2">
      <c r="M118">
        <f t="shared" si="21"/>
        <v>117</v>
      </c>
      <c r="N118" t="s">
        <v>1971</v>
      </c>
      <c r="O118" t="s">
        <v>1972</v>
      </c>
      <c r="P118" t="s">
        <v>1973</v>
      </c>
      <c r="Q118" t="s">
        <v>1974</v>
      </c>
      <c r="S118">
        <f t="shared" si="22"/>
        <v>117</v>
      </c>
      <c r="Y118">
        <f t="shared" si="23"/>
        <v>117</v>
      </c>
      <c r="AE118">
        <f t="shared" si="24"/>
        <v>117</v>
      </c>
      <c r="AF118" t="s">
        <v>1553</v>
      </c>
      <c r="AG118" t="s">
        <v>1554</v>
      </c>
      <c r="AH118" t="s">
        <v>1555</v>
      </c>
      <c r="AI118" t="s">
        <v>1556</v>
      </c>
      <c r="AK118">
        <f t="shared" si="25"/>
        <v>117</v>
      </c>
      <c r="AP118" s="333"/>
      <c r="AQ118">
        <f t="shared" si="26"/>
        <v>117</v>
      </c>
      <c r="AW118">
        <f t="shared" si="27"/>
        <v>117</v>
      </c>
      <c r="BC118">
        <f t="shared" si="28"/>
        <v>117</v>
      </c>
      <c r="BJ118">
        <f t="shared" si="29"/>
        <v>117</v>
      </c>
      <c r="BP118">
        <f t="shared" si="30"/>
        <v>117</v>
      </c>
    </row>
    <row r="119" spans="13:68" x14ac:dyDescent="0.2">
      <c r="M119">
        <f t="shared" si="21"/>
        <v>118</v>
      </c>
      <c r="N119" t="s">
        <v>1975</v>
      </c>
      <c r="O119" t="s">
        <v>1976</v>
      </c>
      <c r="P119" t="s">
        <v>1977</v>
      </c>
      <c r="Q119" t="s">
        <v>1978</v>
      </c>
      <c r="S119">
        <f t="shared" si="22"/>
        <v>118</v>
      </c>
      <c r="Y119">
        <f t="shared" si="23"/>
        <v>118</v>
      </c>
      <c r="AE119">
        <f t="shared" si="24"/>
        <v>118</v>
      </c>
      <c r="AF119" t="s">
        <v>1588</v>
      </c>
      <c r="AG119" t="s">
        <v>1589</v>
      </c>
      <c r="AH119" t="s">
        <v>1590</v>
      </c>
      <c r="AI119" t="s">
        <v>1591</v>
      </c>
      <c r="AK119">
        <f t="shared" si="25"/>
        <v>118</v>
      </c>
      <c r="AP119" s="333"/>
      <c r="AQ119">
        <f t="shared" si="26"/>
        <v>118</v>
      </c>
      <c r="AW119">
        <f t="shared" si="27"/>
        <v>118</v>
      </c>
      <c r="BC119">
        <f t="shared" si="28"/>
        <v>118</v>
      </c>
      <c r="BJ119">
        <f t="shared" si="29"/>
        <v>118</v>
      </c>
      <c r="BP119">
        <f t="shared" si="30"/>
        <v>118</v>
      </c>
    </row>
    <row r="120" spans="13:68" x14ac:dyDescent="0.2">
      <c r="M120">
        <f t="shared" si="21"/>
        <v>119</v>
      </c>
      <c r="N120" t="s">
        <v>1979</v>
      </c>
      <c r="O120" t="s">
        <v>1980</v>
      </c>
      <c r="P120" t="s">
        <v>1981</v>
      </c>
      <c r="Q120" t="s">
        <v>1982</v>
      </c>
      <c r="S120">
        <f t="shared" si="22"/>
        <v>119</v>
      </c>
      <c r="Y120">
        <f t="shared" si="23"/>
        <v>119</v>
      </c>
      <c r="AE120">
        <f t="shared" si="24"/>
        <v>119</v>
      </c>
      <c r="AF120" t="s">
        <v>1983</v>
      </c>
      <c r="AG120" t="s">
        <v>1984</v>
      </c>
      <c r="AH120" t="s">
        <v>1985</v>
      </c>
      <c r="AI120" t="s">
        <v>1986</v>
      </c>
      <c r="AK120">
        <f t="shared" si="25"/>
        <v>119</v>
      </c>
      <c r="AP120" s="333"/>
      <c r="AQ120">
        <f t="shared" si="26"/>
        <v>119</v>
      </c>
      <c r="AW120">
        <f t="shared" si="27"/>
        <v>119</v>
      </c>
      <c r="BC120">
        <f t="shared" si="28"/>
        <v>119</v>
      </c>
      <c r="BJ120">
        <f t="shared" si="29"/>
        <v>119</v>
      </c>
      <c r="BP120">
        <f t="shared" si="30"/>
        <v>119</v>
      </c>
    </row>
    <row r="121" spans="13:68" x14ac:dyDescent="0.2">
      <c r="M121">
        <f t="shared" si="21"/>
        <v>120</v>
      </c>
      <c r="N121" t="s">
        <v>1987</v>
      </c>
      <c r="O121" t="s">
        <v>1988</v>
      </c>
      <c r="P121" t="s">
        <v>1989</v>
      </c>
      <c r="Q121" t="s">
        <v>1990</v>
      </c>
      <c r="S121">
        <f t="shared" si="22"/>
        <v>120</v>
      </c>
      <c r="Y121">
        <f t="shared" si="23"/>
        <v>120</v>
      </c>
      <c r="AE121">
        <f t="shared" si="24"/>
        <v>120</v>
      </c>
      <c r="AF121" t="s">
        <v>1599</v>
      </c>
      <c r="AG121" t="s">
        <v>1600</v>
      </c>
      <c r="AH121" t="s">
        <v>1601</v>
      </c>
      <c r="AI121" t="s">
        <v>1602</v>
      </c>
      <c r="AK121">
        <f t="shared" si="25"/>
        <v>120</v>
      </c>
      <c r="AP121" s="333"/>
      <c r="AQ121">
        <f t="shared" si="26"/>
        <v>120</v>
      </c>
      <c r="AW121">
        <f t="shared" si="27"/>
        <v>120</v>
      </c>
      <c r="BC121">
        <f t="shared" si="28"/>
        <v>120</v>
      </c>
      <c r="BJ121">
        <f t="shared" si="29"/>
        <v>120</v>
      </c>
      <c r="BP121">
        <f t="shared" si="30"/>
        <v>120</v>
      </c>
    </row>
    <row r="122" spans="13:68" x14ac:dyDescent="0.2">
      <c r="M122">
        <f t="shared" si="21"/>
        <v>121</v>
      </c>
      <c r="N122" t="s">
        <v>1991</v>
      </c>
      <c r="O122" t="s">
        <v>1992</v>
      </c>
      <c r="P122" t="s">
        <v>1993</v>
      </c>
      <c r="Q122" t="s">
        <v>1994</v>
      </c>
      <c r="S122">
        <f t="shared" si="22"/>
        <v>121</v>
      </c>
      <c r="Y122">
        <f t="shared" si="23"/>
        <v>121</v>
      </c>
      <c r="AE122">
        <f t="shared" si="24"/>
        <v>121</v>
      </c>
      <c r="AF122" t="s">
        <v>1995</v>
      </c>
      <c r="AG122" t="s">
        <v>1996</v>
      </c>
      <c r="AH122" t="s">
        <v>1997</v>
      </c>
      <c r="AI122" t="s">
        <v>1998</v>
      </c>
      <c r="AK122">
        <f t="shared" si="25"/>
        <v>121</v>
      </c>
      <c r="AP122" s="333"/>
      <c r="AQ122">
        <f t="shared" si="26"/>
        <v>121</v>
      </c>
      <c r="AW122">
        <f t="shared" si="27"/>
        <v>121</v>
      </c>
      <c r="BC122">
        <f t="shared" si="28"/>
        <v>121</v>
      </c>
      <c r="BJ122">
        <f t="shared" si="29"/>
        <v>121</v>
      </c>
      <c r="BP122">
        <f t="shared" si="30"/>
        <v>121</v>
      </c>
    </row>
    <row r="123" spans="13:68" x14ac:dyDescent="0.2">
      <c r="M123">
        <f t="shared" si="21"/>
        <v>122</v>
      </c>
      <c r="N123" t="s">
        <v>1999</v>
      </c>
      <c r="O123" t="s">
        <v>2000</v>
      </c>
      <c r="P123" t="s">
        <v>2001</v>
      </c>
      <c r="Q123" t="s">
        <v>2002</v>
      </c>
      <c r="S123">
        <f t="shared" si="22"/>
        <v>122</v>
      </c>
      <c r="Y123">
        <f t="shared" si="23"/>
        <v>122</v>
      </c>
      <c r="AE123">
        <f t="shared" si="24"/>
        <v>122</v>
      </c>
      <c r="AF123" t="s">
        <v>1632</v>
      </c>
      <c r="AG123" t="s">
        <v>1633</v>
      </c>
      <c r="AH123" t="s">
        <v>1634</v>
      </c>
      <c r="AI123" t="s">
        <v>1633</v>
      </c>
      <c r="AK123">
        <f t="shared" si="25"/>
        <v>122</v>
      </c>
      <c r="AP123" s="333"/>
      <c r="AQ123">
        <f t="shared" si="26"/>
        <v>122</v>
      </c>
      <c r="AW123">
        <f t="shared" si="27"/>
        <v>122</v>
      </c>
      <c r="BC123">
        <f t="shared" si="28"/>
        <v>122</v>
      </c>
      <c r="BJ123">
        <f t="shared" si="29"/>
        <v>122</v>
      </c>
      <c r="BP123">
        <f t="shared" si="30"/>
        <v>122</v>
      </c>
    </row>
    <row r="124" spans="13:68" x14ac:dyDescent="0.2">
      <c r="M124">
        <f t="shared" si="21"/>
        <v>123</v>
      </c>
      <c r="N124" t="s">
        <v>2003</v>
      </c>
      <c r="O124" t="s">
        <v>2004</v>
      </c>
      <c r="P124" t="s">
        <v>2005</v>
      </c>
      <c r="Q124" t="s">
        <v>2006</v>
      </c>
      <c r="S124">
        <f t="shared" si="22"/>
        <v>123</v>
      </c>
      <c r="Y124">
        <f t="shared" si="23"/>
        <v>123</v>
      </c>
      <c r="AE124">
        <f t="shared" si="24"/>
        <v>123</v>
      </c>
      <c r="AF124" t="s">
        <v>2007</v>
      </c>
      <c r="AG124" t="s">
        <v>2008</v>
      </c>
      <c r="AH124" t="s">
        <v>2009</v>
      </c>
      <c r="AI124" t="s">
        <v>2010</v>
      </c>
      <c r="AK124">
        <f t="shared" si="25"/>
        <v>123</v>
      </c>
      <c r="AP124" s="333"/>
      <c r="AQ124">
        <f t="shared" si="26"/>
        <v>123</v>
      </c>
      <c r="AW124">
        <f t="shared" si="27"/>
        <v>123</v>
      </c>
      <c r="BC124">
        <f t="shared" si="28"/>
        <v>123</v>
      </c>
      <c r="BJ124">
        <f t="shared" si="29"/>
        <v>123</v>
      </c>
      <c r="BP124">
        <f t="shared" si="30"/>
        <v>123</v>
      </c>
    </row>
    <row r="125" spans="13:68" x14ac:dyDescent="0.2">
      <c r="M125">
        <f t="shared" si="21"/>
        <v>124</v>
      </c>
      <c r="N125" t="s">
        <v>2011</v>
      </c>
      <c r="O125" t="s">
        <v>2012</v>
      </c>
      <c r="P125" t="s">
        <v>2013</v>
      </c>
      <c r="Q125" t="s">
        <v>2014</v>
      </c>
      <c r="S125">
        <f t="shared" si="22"/>
        <v>124</v>
      </c>
      <c r="Y125">
        <f t="shared" si="23"/>
        <v>124</v>
      </c>
      <c r="AE125">
        <f t="shared" si="24"/>
        <v>124</v>
      </c>
      <c r="AF125" t="s">
        <v>2015</v>
      </c>
      <c r="AG125" t="s">
        <v>2016</v>
      </c>
      <c r="AH125" t="s">
        <v>2017</v>
      </c>
      <c r="AI125" t="s">
        <v>2018</v>
      </c>
      <c r="AK125">
        <f t="shared" si="25"/>
        <v>124</v>
      </c>
      <c r="AP125" s="333"/>
      <c r="AQ125">
        <f t="shared" si="26"/>
        <v>124</v>
      </c>
      <c r="AW125">
        <f t="shared" si="27"/>
        <v>124</v>
      </c>
      <c r="BC125">
        <f t="shared" si="28"/>
        <v>124</v>
      </c>
      <c r="BJ125">
        <f t="shared" si="29"/>
        <v>124</v>
      </c>
      <c r="BP125">
        <f t="shared" si="30"/>
        <v>124</v>
      </c>
    </row>
    <row r="126" spans="13:68" x14ac:dyDescent="0.2">
      <c r="M126">
        <f t="shared" si="21"/>
        <v>125</v>
      </c>
      <c r="N126" t="s">
        <v>2019</v>
      </c>
      <c r="O126" t="s">
        <v>2020</v>
      </c>
      <c r="P126" t="s">
        <v>2021</v>
      </c>
      <c r="Q126" t="s">
        <v>2022</v>
      </c>
      <c r="S126">
        <f t="shared" si="22"/>
        <v>125</v>
      </c>
      <c r="Y126">
        <f t="shared" si="23"/>
        <v>125</v>
      </c>
      <c r="AE126">
        <f t="shared" si="24"/>
        <v>125</v>
      </c>
      <c r="AF126" t="s">
        <v>1576</v>
      </c>
      <c r="AG126" t="s">
        <v>1577</v>
      </c>
      <c r="AH126" t="s">
        <v>1578</v>
      </c>
      <c r="AI126" t="s">
        <v>1579</v>
      </c>
      <c r="AK126">
        <f t="shared" si="25"/>
        <v>125</v>
      </c>
      <c r="AP126" s="333"/>
      <c r="AQ126">
        <f t="shared" si="26"/>
        <v>125</v>
      </c>
      <c r="AR126" t="s">
        <v>2023</v>
      </c>
      <c r="AS126" t="s">
        <v>2024</v>
      </c>
      <c r="AT126" t="s">
        <v>2025</v>
      </c>
      <c r="AU126" t="s">
        <v>2026</v>
      </c>
      <c r="AW126">
        <f t="shared" si="27"/>
        <v>125</v>
      </c>
      <c r="BC126">
        <f t="shared" si="28"/>
        <v>125</v>
      </c>
      <c r="BJ126">
        <f t="shared" si="29"/>
        <v>125</v>
      </c>
      <c r="BP126">
        <f t="shared" si="30"/>
        <v>125</v>
      </c>
    </row>
    <row r="127" spans="13:68" x14ac:dyDescent="0.2">
      <c r="M127">
        <f t="shared" si="21"/>
        <v>126</v>
      </c>
      <c r="N127" t="s">
        <v>2027</v>
      </c>
      <c r="O127" t="s">
        <v>2028</v>
      </c>
      <c r="P127" t="s">
        <v>2029</v>
      </c>
      <c r="Q127" t="s">
        <v>2030</v>
      </c>
      <c r="S127">
        <f t="shared" si="22"/>
        <v>126</v>
      </c>
      <c r="Y127">
        <f t="shared" si="23"/>
        <v>126</v>
      </c>
      <c r="AE127">
        <f t="shared" si="24"/>
        <v>126</v>
      </c>
      <c r="AF127" t="s">
        <v>2031</v>
      </c>
      <c r="AG127" t="s">
        <v>2032</v>
      </c>
      <c r="AH127" t="s">
        <v>2033</v>
      </c>
      <c r="AI127" t="s">
        <v>2034</v>
      </c>
      <c r="AK127">
        <f t="shared" si="25"/>
        <v>126</v>
      </c>
      <c r="AP127" s="333"/>
      <c r="AQ127">
        <f t="shared" si="26"/>
        <v>126</v>
      </c>
      <c r="AR127" s="390" t="s">
        <v>2035</v>
      </c>
      <c r="AS127" s="390" t="s">
        <v>2990</v>
      </c>
      <c r="AT127" s="390" t="s">
        <v>3113</v>
      </c>
      <c r="AU127" s="390" t="s">
        <v>3052</v>
      </c>
      <c r="AW127">
        <f t="shared" si="27"/>
        <v>126</v>
      </c>
      <c r="BC127">
        <f t="shared" si="28"/>
        <v>126</v>
      </c>
      <c r="BJ127">
        <f t="shared" si="29"/>
        <v>126</v>
      </c>
      <c r="BP127">
        <f t="shared" si="30"/>
        <v>126</v>
      </c>
    </row>
    <row r="128" spans="13:68" x14ac:dyDescent="0.2">
      <c r="M128">
        <f t="shared" si="21"/>
        <v>127</v>
      </c>
      <c r="N128" s="25" t="s">
        <v>2036</v>
      </c>
      <c r="O128" t="s">
        <v>2037</v>
      </c>
      <c r="P128" s="25" t="s">
        <v>2038</v>
      </c>
      <c r="Q128" t="s">
        <v>2039</v>
      </c>
      <c r="S128">
        <f t="shared" si="22"/>
        <v>127</v>
      </c>
      <c r="Y128">
        <f t="shared" si="23"/>
        <v>127</v>
      </c>
      <c r="AE128">
        <f t="shared" si="24"/>
        <v>127</v>
      </c>
      <c r="AF128" t="s">
        <v>2040</v>
      </c>
      <c r="AG128" t="s">
        <v>2041</v>
      </c>
      <c r="AH128" t="s">
        <v>2042</v>
      </c>
      <c r="AI128" t="s">
        <v>2043</v>
      </c>
      <c r="AK128">
        <f t="shared" si="25"/>
        <v>127</v>
      </c>
      <c r="AP128" s="333"/>
      <c r="AQ128">
        <f t="shared" si="26"/>
        <v>127</v>
      </c>
      <c r="AW128">
        <f t="shared" si="27"/>
        <v>127</v>
      </c>
      <c r="BC128">
        <f t="shared" si="28"/>
        <v>127</v>
      </c>
      <c r="BJ128">
        <f t="shared" si="29"/>
        <v>127</v>
      </c>
      <c r="BP128">
        <f t="shared" si="30"/>
        <v>127</v>
      </c>
    </row>
    <row r="129" spans="13:72" x14ac:dyDescent="0.2">
      <c r="M129">
        <f t="shared" si="21"/>
        <v>128</v>
      </c>
      <c r="N129" s="25" t="s">
        <v>2044</v>
      </c>
      <c r="O129" t="s">
        <v>2045</v>
      </c>
      <c r="P129" s="25" t="s">
        <v>2046</v>
      </c>
      <c r="Q129" t="s">
        <v>2047</v>
      </c>
      <c r="S129">
        <f t="shared" si="22"/>
        <v>128</v>
      </c>
      <c r="Y129">
        <f t="shared" si="23"/>
        <v>128</v>
      </c>
      <c r="AE129">
        <f t="shared" si="24"/>
        <v>128</v>
      </c>
      <c r="AF129" t="s">
        <v>1611</v>
      </c>
      <c r="AG129" t="s">
        <v>1611</v>
      </c>
      <c r="AH129" t="s">
        <v>1612</v>
      </c>
      <c r="AI129" t="s">
        <v>1611</v>
      </c>
      <c r="AK129">
        <f t="shared" si="25"/>
        <v>128</v>
      </c>
      <c r="AP129" s="333"/>
      <c r="AQ129">
        <f t="shared" si="26"/>
        <v>128</v>
      </c>
      <c r="AW129">
        <f t="shared" si="27"/>
        <v>128</v>
      </c>
      <c r="BC129">
        <f t="shared" si="28"/>
        <v>128</v>
      </c>
      <c r="BJ129">
        <f t="shared" si="29"/>
        <v>128</v>
      </c>
      <c r="BP129">
        <f t="shared" si="30"/>
        <v>128</v>
      </c>
    </row>
    <row r="130" spans="13:72" x14ac:dyDescent="0.2">
      <c r="M130">
        <f t="shared" si="21"/>
        <v>129</v>
      </c>
      <c r="N130" s="25" t="s">
        <v>2048</v>
      </c>
      <c r="O130" t="s">
        <v>2049</v>
      </c>
      <c r="P130" s="25" t="s">
        <v>2050</v>
      </c>
      <c r="Q130" t="s">
        <v>2051</v>
      </c>
      <c r="S130">
        <f t="shared" si="22"/>
        <v>129</v>
      </c>
      <c r="Y130">
        <f t="shared" si="23"/>
        <v>129</v>
      </c>
      <c r="AE130">
        <f t="shared" si="24"/>
        <v>129</v>
      </c>
      <c r="AF130" t="s">
        <v>2052</v>
      </c>
      <c r="AG130" t="s">
        <v>2053</v>
      </c>
      <c r="AH130" t="s">
        <v>2054</v>
      </c>
      <c r="AI130" t="s">
        <v>2055</v>
      </c>
      <c r="AK130">
        <f t="shared" si="25"/>
        <v>129</v>
      </c>
      <c r="AP130" s="333"/>
      <c r="AQ130">
        <f t="shared" si="26"/>
        <v>129</v>
      </c>
      <c r="AW130">
        <f t="shared" si="27"/>
        <v>129</v>
      </c>
      <c r="BC130">
        <f t="shared" si="28"/>
        <v>129</v>
      </c>
      <c r="BJ130">
        <f t="shared" si="29"/>
        <v>129</v>
      </c>
      <c r="BP130">
        <f t="shared" si="30"/>
        <v>129</v>
      </c>
    </row>
    <row r="131" spans="13:72" x14ac:dyDescent="0.2">
      <c r="M131">
        <f t="shared" ref="M131:M151" si="31">ROW()-1</f>
        <v>130</v>
      </c>
      <c r="N131" s="25" t="s">
        <v>2056</v>
      </c>
      <c r="O131" t="s">
        <v>2057</v>
      </c>
      <c r="P131" s="25" t="s">
        <v>2058</v>
      </c>
      <c r="Q131" t="s">
        <v>2059</v>
      </c>
      <c r="S131">
        <f t="shared" ref="S131:S151" si="32">ROW()-1</f>
        <v>130</v>
      </c>
      <c r="Y131">
        <f t="shared" ref="Y131:Y151" si="33">ROW()-1</f>
        <v>130</v>
      </c>
      <c r="AE131">
        <f t="shared" ref="AE131:AE151" si="34">ROW()-1</f>
        <v>130</v>
      </c>
      <c r="AK131">
        <f t="shared" ref="AK131:AK151" si="35">ROW()-1</f>
        <v>130</v>
      </c>
      <c r="AP131" s="333"/>
      <c r="AQ131">
        <f t="shared" ref="AQ131:AQ151" si="36">ROW()-1</f>
        <v>130</v>
      </c>
      <c r="AW131">
        <f t="shared" ref="AW131:AW151" si="37">ROW()-1</f>
        <v>130</v>
      </c>
      <c r="BC131">
        <f t="shared" ref="BC131:BC151" si="38">ROW()-1</f>
        <v>130</v>
      </c>
      <c r="BJ131">
        <f t="shared" ref="BJ131:BJ151" si="39">ROW()-1</f>
        <v>130</v>
      </c>
      <c r="BP131">
        <f t="shared" ref="BP131:BP151" si="40">ROW()-1</f>
        <v>130</v>
      </c>
    </row>
    <row r="132" spans="13:72" x14ac:dyDescent="0.2">
      <c r="M132">
        <f t="shared" si="31"/>
        <v>131</v>
      </c>
      <c r="N132" t="s">
        <v>2060</v>
      </c>
      <c r="O132" t="s">
        <v>2061</v>
      </c>
      <c r="P132" t="s">
        <v>2062</v>
      </c>
      <c r="Q132" t="s">
        <v>2063</v>
      </c>
      <c r="S132">
        <f t="shared" si="32"/>
        <v>131</v>
      </c>
      <c r="T132" s="390" t="s">
        <v>2931</v>
      </c>
      <c r="U132" s="390" t="s">
        <v>2964</v>
      </c>
      <c r="V132" s="390" t="s">
        <v>3086</v>
      </c>
      <c r="W132" s="390" t="s">
        <v>3025</v>
      </c>
      <c r="Y132">
        <f t="shared" si="33"/>
        <v>131</v>
      </c>
      <c r="Z132" t="s">
        <v>2064</v>
      </c>
      <c r="AA132" t="s">
        <v>2065</v>
      </c>
      <c r="AB132" t="s">
        <v>2066</v>
      </c>
      <c r="AC132" t="s">
        <v>2067</v>
      </c>
      <c r="AE132">
        <f t="shared" si="34"/>
        <v>131</v>
      </c>
      <c r="AK132">
        <f t="shared" si="35"/>
        <v>131</v>
      </c>
      <c r="AL132" s="25" t="s">
        <v>2068</v>
      </c>
      <c r="AM132" s="25" t="s">
        <v>2069</v>
      </c>
      <c r="AN132" s="25" t="s">
        <v>2070</v>
      </c>
      <c r="AO132" s="25" t="s">
        <v>2071</v>
      </c>
      <c r="AP132" s="333"/>
      <c r="AQ132">
        <f t="shared" si="36"/>
        <v>131</v>
      </c>
      <c r="AW132">
        <f t="shared" si="37"/>
        <v>131</v>
      </c>
      <c r="AX132" t="s">
        <v>2072</v>
      </c>
      <c r="AY132" t="s">
        <v>2073</v>
      </c>
      <c r="AZ132" t="s">
        <v>2074</v>
      </c>
      <c r="BA132" t="s">
        <v>2075</v>
      </c>
      <c r="BC132">
        <f t="shared" si="38"/>
        <v>131</v>
      </c>
      <c r="BD132" t="s">
        <v>2076</v>
      </c>
      <c r="BE132" t="s">
        <v>2077</v>
      </c>
      <c r="BF132" t="s">
        <v>2078</v>
      </c>
      <c r="BG132" t="s">
        <v>2079</v>
      </c>
      <c r="BJ132">
        <f t="shared" si="39"/>
        <v>131</v>
      </c>
      <c r="BK132" s="390" t="s">
        <v>2080</v>
      </c>
      <c r="BL132" s="390" t="s">
        <v>3004</v>
      </c>
      <c r="BM132" s="390" t="s">
        <v>3126</v>
      </c>
      <c r="BN132" s="390" t="s">
        <v>3065</v>
      </c>
      <c r="BP132">
        <f t="shared" si="40"/>
        <v>131</v>
      </c>
      <c r="BQ132" t="s">
        <v>2081</v>
      </c>
      <c r="BR132" t="s">
        <v>2082</v>
      </c>
      <c r="BS132" t="s">
        <v>2083</v>
      </c>
      <c r="BT132" t="s">
        <v>2084</v>
      </c>
    </row>
    <row r="133" spans="13:72" x14ac:dyDescent="0.2">
      <c r="M133">
        <f t="shared" si="31"/>
        <v>132</v>
      </c>
      <c r="N133" t="s">
        <v>2085</v>
      </c>
      <c r="O133" t="s">
        <v>2086</v>
      </c>
      <c r="P133" t="s">
        <v>2087</v>
      </c>
      <c r="Q133" t="s">
        <v>2088</v>
      </c>
      <c r="S133">
        <f t="shared" si="32"/>
        <v>132</v>
      </c>
      <c r="T133" t="s">
        <v>2089</v>
      </c>
      <c r="U133" t="s">
        <v>2090</v>
      </c>
      <c r="V133" t="s">
        <v>2091</v>
      </c>
      <c r="W133" t="s">
        <v>2092</v>
      </c>
      <c r="Y133">
        <f t="shared" si="33"/>
        <v>132</v>
      </c>
      <c r="Z133" t="s">
        <v>2093</v>
      </c>
      <c r="AA133" t="s">
        <v>2094</v>
      </c>
      <c r="AB133" t="s">
        <v>2095</v>
      </c>
      <c r="AC133" t="s">
        <v>2096</v>
      </c>
      <c r="AE133">
        <f t="shared" si="34"/>
        <v>132</v>
      </c>
      <c r="AK133">
        <f t="shared" si="35"/>
        <v>132</v>
      </c>
      <c r="AL133" s="390" t="s">
        <v>2097</v>
      </c>
      <c r="AM133" s="390" t="s">
        <v>2968</v>
      </c>
      <c r="AN133" s="390" t="s">
        <v>3090</v>
      </c>
      <c r="AO133" s="390" t="s">
        <v>3029</v>
      </c>
      <c r="AP133" s="333"/>
      <c r="AQ133" s="25">
        <f t="shared" si="36"/>
        <v>132</v>
      </c>
      <c r="AR133" s="25" t="s">
        <v>2098</v>
      </c>
      <c r="AS133" s="25" t="s">
        <v>2099</v>
      </c>
      <c r="AT133" s="25" t="s">
        <v>2100</v>
      </c>
      <c r="AU133" s="25" t="s">
        <v>2101</v>
      </c>
      <c r="AW133">
        <f t="shared" si="37"/>
        <v>132</v>
      </c>
      <c r="AX133" t="s">
        <v>2102</v>
      </c>
      <c r="AY133" t="s">
        <v>2103</v>
      </c>
      <c r="AZ133" t="s">
        <v>2104</v>
      </c>
      <c r="BA133" t="s">
        <v>2105</v>
      </c>
      <c r="BC133">
        <f t="shared" si="38"/>
        <v>132</v>
      </c>
      <c r="BD133" s="390" t="s">
        <v>2106</v>
      </c>
      <c r="BE133" s="390" t="s">
        <v>3001</v>
      </c>
      <c r="BF133" s="390" t="s">
        <v>3083</v>
      </c>
      <c r="BG133" s="390" t="s">
        <v>3022</v>
      </c>
      <c r="BH133" s="25"/>
      <c r="BI133" s="25"/>
      <c r="BJ133">
        <f t="shared" si="39"/>
        <v>132</v>
      </c>
      <c r="BK133" t="s">
        <v>2107</v>
      </c>
      <c r="BL133" t="s">
        <v>2108</v>
      </c>
      <c r="BM133" t="s">
        <v>2109</v>
      </c>
      <c r="BN133" t="s">
        <v>2110</v>
      </c>
      <c r="BP133">
        <f t="shared" si="40"/>
        <v>132</v>
      </c>
      <c r="BQ133" s="390" t="s">
        <v>2106</v>
      </c>
      <c r="BR133" s="390" t="s">
        <v>3005</v>
      </c>
      <c r="BS133" s="390" t="s">
        <v>3083</v>
      </c>
      <c r="BT133" s="390" t="s">
        <v>3022</v>
      </c>
    </row>
    <row r="134" spans="13:72" x14ac:dyDescent="0.2">
      <c r="M134">
        <f t="shared" si="31"/>
        <v>133</v>
      </c>
      <c r="N134" t="s">
        <v>2111</v>
      </c>
      <c r="O134" t="s">
        <v>2112</v>
      </c>
      <c r="P134" t="s">
        <v>2113</v>
      </c>
      <c r="Q134" t="s">
        <v>2114</v>
      </c>
      <c r="S134">
        <f t="shared" si="32"/>
        <v>133</v>
      </c>
      <c r="T134" t="s">
        <v>2115</v>
      </c>
      <c r="U134" t="s">
        <v>2116</v>
      </c>
      <c r="V134" s="25" t="s">
        <v>2117</v>
      </c>
      <c r="W134" t="s">
        <v>2118</v>
      </c>
      <c r="Y134">
        <f t="shared" si="33"/>
        <v>133</v>
      </c>
      <c r="Z134" t="s">
        <v>2119</v>
      </c>
      <c r="AA134" t="s">
        <v>2120</v>
      </c>
      <c r="AB134" t="s">
        <v>2121</v>
      </c>
      <c r="AC134" t="s">
        <v>2122</v>
      </c>
      <c r="AE134">
        <f t="shared" si="34"/>
        <v>133</v>
      </c>
      <c r="AK134">
        <f t="shared" si="35"/>
        <v>133</v>
      </c>
      <c r="AL134" s="390" t="s">
        <v>2123</v>
      </c>
      <c r="AM134" s="390" t="s">
        <v>3140</v>
      </c>
      <c r="AN134" s="390" t="s">
        <v>3141</v>
      </c>
      <c r="AO134" s="390" t="s">
        <v>3142</v>
      </c>
      <c r="AP134" s="333"/>
      <c r="AQ134" s="390">
        <f t="shared" si="36"/>
        <v>133</v>
      </c>
      <c r="AR134" s="390" t="s">
        <v>2124</v>
      </c>
      <c r="AS134" s="390" t="s">
        <v>2991</v>
      </c>
      <c r="AT134" s="390" t="s">
        <v>3114</v>
      </c>
      <c r="AU134" s="390" t="s">
        <v>3053</v>
      </c>
      <c r="AW134">
        <f t="shared" si="37"/>
        <v>133</v>
      </c>
      <c r="AX134" s="390" t="s">
        <v>2125</v>
      </c>
      <c r="AY134" s="390" t="s">
        <v>3000</v>
      </c>
      <c r="AZ134" s="390" t="s">
        <v>3123</v>
      </c>
      <c r="BA134" s="390" t="s">
        <v>3062</v>
      </c>
      <c r="BC134">
        <f t="shared" si="38"/>
        <v>133</v>
      </c>
      <c r="BD134" t="s">
        <v>2126</v>
      </c>
      <c r="BE134" t="s">
        <v>2127</v>
      </c>
      <c r="BF134" t="s">
        <v>2128</v>
      </c>
      <c r="BG134" t="s">
        <v>2129</v>
      </c>
      <c r="BJ134">
        <f t="shared" si="39"/>
        <v>133</v>
      </c>
      <c r="BK134" t="s">
        <v>2130</v>
      </c>
      <c r="BL134" t="s">
        <v>2131</v>
      </c>
      <c r="BM134" t="s">
        <v>2132</v>
      </c>
      <c r="BN134" t="s">
        <v>2133</v>
      </c>
      <c r="BP134">
        <f t="shared" si="40"/>
        <v>133</v>
      </c>
      <c r="BQ134" t="s">
        <v>2134</v>
      </c>
      <c r="BR134" t="s">
        <v>2135</v>
      </c>
      <c r="BS134" t="s">
        <v>2136</v>
      </c>
      <c r="BT134" t="s">
        <v>2137</v>
      </c>
    </row>
    <row r="135" spans="13:72" x14ac:dyDescent="0.2">
      <c r="M135">
        <f t="shared" si="31"/>
        <v>134</v>
      </c>
      <c r="N135" t="s">
        <v>2138</v>
      </c>
      <c r="O135" t="s">
        <v>2139</v>
      </c>
      <c r="P135" t="s">
        <v>2140</v>
      </c>
      <c r="Q135" t="s">
        <v>2141</v>
      </c>
      <c r="S135">
        <f t="shared" si="32"/>
        <v>134</v>
      </c>
      <c r="T135" s="25" t="s">
        <v>2142</v>
      </c>
      <c r="U135" t="s">
        <v>2143</v>
      </c>
      <c r="V135" s="25" t="s">
        <v>2144</v>
      </c>
      <c r="W135" t="s">
        <v>2145</v>
      </c>
      <c r="Y135">
        <f t="shared" si="33"/>
        <v>134</v>
      </c>
      <c r="Z135" t="s">
        <v>2146</v>
      </c>
      <c r="AA135" t="s">
        <v>2147</v>
      </c>
      <c r="AB135" t="s">
        <v>2148</v>
      </c>
      <c r="AC135" t="s">
        <v>2149</v>
      </c>
      <c r="AE135">
        <f t="shared" si="34"/>
        <v>134</v>
      </c>
      <c r="AK135">
        <f t="shared" si="35"/>
        <v>134</v>
      </c>
      <c r="AL135" t="s">
        <v>2150</v>
      </c>
      <c r="AM135" t="s">
        <v>2151</v>
      </c>
      <c r="AN135" t="s">
        <v>2152</v>
      </c>
      <c r="AO135" t="s">
        <v>2153</v>
      </c>
      <c r="AP135" s="333"/>
      <c r="AQ135">
        <f t="shared" si="36"/>
        <v>134</v>
      </c>
      <c r="AR135" s="25" t="s">
        <v>2154</v>
      </c>
      <c r="AS135" s="25" t="s">
        <v>2155</v>
      </c>
      <c r="AT135" s="25" t="s">
        <v>2156</v>
      </c>
      <c r="AU135" s="25" t="s">
        <v>2157</v>
      </c>
      <c r="AW135">
        <f t="shared" si="37"/>
        <v>134</v>
      </c>
      <c r="AX135" t="s">
        <v>2158</v>
      </c>
      <c r="AY135" t="s">
        <v>2159</v>
      </c>
      <c r="AZ135" t="s">
        <v>2160</v>
      </c>
      <c r="BA135" t="s">
        <v>2161</v>
      </c>
      <c r="BC135">
        <f t="shared" si="38"/>
        <v>134</v>
      </c>
      <c r="BD135" s="25" t="s">
        <v>2162</v>
      </c>
      <c r="BE135" t="s">
        <v>2163</v>
      </c>
      <c r="BF135" s="25" t="s">
        <v>2164</v>
      </c>
      <c r="BG135" t="s">
        <v>2165</v>
      </c>
      <c r="BJ135">
        <f t="shared" si="39"/>
        <v>134</v>
      </c>
      <c r="BK135" t="s">
        <v>2166</v>
      </c>
      <c r="BL135" t="s">
        <v>2167</v>
      </c>
      <c r="BM135" t="s">
        <v>2168</v>
      </c>
      <c r="BN135" t="s">
        <v>2169</v>
      </c>
      <c r="BP135">
        <f t="shared" si="40"/>
        <v>134</v>
      </c>
    </row>
    <row r="136" spans="13:72" x14ac:dyDescent="0.2">
      <c r="M136">
        <f t="shared" si="31"/>
        <v>135</v>
      </c>
      <c r="N136" t="s">
        <v>2170</v>
      </c>
      <c r="O136" t="s">
        <v>2171</v>
      </c>
      <c r="P136" t="s">
        <v>2172</v>
      </c>
      <c r="Q136" t="s">
        <v>2173</v>
      </c>
      <c r="S136">
        <f t="shared" si="32"/>
        <v>135</v>
      </c>
      <c r="T136" t="s">
        <v>2174</v>
      </c>
      <c r="U136" t="s">
        <v>2175</v>
      </c>
      <c r="V136" t="s">
        <v>2176</v>
      </c>
      <c r="W136" t="s">
        <v>2177</v>
      </c>
      <c r="Y136">
        <f t="shared" si="33"/>
        <v>135</v>
      </c>
      <c r="Z136" s="390" t="s">
        <v>2178</v>
      </c>
      <c r="AA136" s="390" t="s">
        <v>2965</v>
      </c>
      <c r="AB136" s="390" t="s">
        <v>3139</v>
      </c>
      <c r="AC136" s="390" t="s">
        <v>3026</v>
      </c>
      <c r="AE136">
        <f t="shared" si="34"/>
        <v>135</v>
      </c>
      <c r="AK136">
        <f t="shared" si="35"/>
        <v>135</v>
      </c>
      <c r="AL136" s="25" t="s">
        <v>2179</v>
      </c>
      <c r="AM136" s="25" t="s">
        <v>2180</v>
      </c>
      <c r="AN136" s="25" t="s">
        <v>2181</v>
      </c>
      <c r="AO136" s="25" t="s">
        <v>2182</v>
      </c>
      <c r="AP136" s="333"/>
      <c r="AQ136">
        <f t="shared" si="36"/>
        <v>135</v>
      </c>
      <c r="AR136" s="25" t="s">
        <v>2183</v>
      </c>
      <c r="AS136" t="s">
        <v>2184</v>
      </c>
      <c r="AT136" t="s">
        <v>2185</v>
      </c>
      <c r="AU136" t="s">
        <v>2186</v>
      </c>
      <c r="AW136">
        <f t="shared" si="37"/>
        <v>135</v>
      </c>
      <c r="BC136">
        <f t="shared" si="38"/>
        <v>135</v>
      </c>
      <c r="BD136" s="306" t="s">
        <v>2946</v>
      </c>
      <c r="BE136" s="306" t="s">
        <v>2187</v>
      </c>
      <c r="BF136" s="306" t="s">
        <v>2188</v>
      </c>
      <c r="BG136" s="307" t="s">
        <v>2189</v>
      </c>
      <c r="BJ136">
        <f t="shared" si="39"/>
        <v>135</v>
      </c>
      <c r="BK136" t="s">
        <v>2190</v>
      </c>
      <c r="BL136" t="s">
        <v>2191</v>
      </c>
      <c r="BM136" t="s">
        <v>2192</v>
      </c>
      <c r="BN136" t="s">
        <v>2193</v>
      </c>
      <c r="BP136">
        <f t="shared" si="40"/>
        <v>135</v>
      </c>
    </row>
    <row r="137" spans="13:72" x14ac:dyDescent="0.2">
      <c r="M137">
        <f t="shared" si="31"/>
        <v>136</v>
      </c>
      <c r="N137" t="s">
        <v>2194</v>
      </c>
      <c r="O137" t="s">
        <v>1807</v>
      </c>
      <c r="P137" t="s">
        <v>2195</v>
      </c>
      <c r="Q137" t="s">
        <v>2196</v>
      </c>
      <c r="S137">
        <f t="shared" si="32"/>
        <v>136</v>
      </c>
      <c r="T137" s="25" t="s">
        <v>2197</v>
      </c>
      <c r="U137" t="s">
        <v>2198</v>
      </c>
      <c r="V137" s="25" t="s">
        <v>2199</v>
      </c>
      <c r="W137" t="s">
        <v>2200</v>
      </c>
      <c r="Y137">
        <f t="shared" si="33"/>
        <v>136</v>
      </c>
      <c r="Z137" t="s">
        <v>2201</v>
      </c>
      <c r="AA137" t="s">
        <v>2202</v>
      </c>
      <c r="AB137" t="s">
        <v>2203</v>
      </c>
      <c r="AC137" t="s">
        <v>2204</v>
      </c>
      <c r="AE137">
        <f t="shared" si="34"/>
        <v>136</v>
      </c>
      <c r="AK137">
        <f t="shared" si="35"/>
        <v>136</v>
      </c>
      <c r="AL137" s="25" t="s">
        <v>2205</v>
      </c>
      <c r="AM137" s="25" t="s">
        <v>2206</v>
      </c>
      <c r="AN137" s="25" t="s">
        <v>2207</v>
      </c>
      <c r="AO137" s="25" t="s">
        <v>2208</v>
      </c>
      <c r="AP137" s="333"/>
      <c r="AQ137">
        <f t="shared" si="36"/>
        <v>136</v>
      </c>
      <c r="AR137" s="25" t="s">
        <v>2209</v>
      </c>
      <c r="AS137" s="25" t="s">
        <v>2210</v>
      </c>
      <c r="AT137" s="25" t="s">
        <v>2211</v>
      </c>
      <c r="AU137" s="25" t="s">
        <v>2212</v>
      </c>
      <c r="AW137">
        <f t="shared" si="37"/>
        <v>136</v>
      </c>
      <c r="BC137">
        <f t="shared" si="38"/>
        <v>136</v>
      </c>
      <c r="BD137" t="s">
        <v>2213</v>
      </c>
      <c r="BE137" t="s">
        <v>2214</v>
      </c>
      <c r="BF137" t="s">
        <v>2215</v>
      </c>
      <c r="BG137" t="s">
        <v>2216</v>
      </c>
      <c r="BJ137">
        <f t="shared" si="39"/>
        <v>136</v>
      </c>
      <c r="BK137" t="s">
        <v>2217</v>
      </c>
      <c r="BL137" t="s">
        <v>2218</v>
      </c>
      <c r="BM137" t="s">
        <v>2219</v>
      </c>
      <c r="BN137" t="s">
        <v>2220</v>
      </c>
      <c r="BP137">
        <f t="shared" si="40"/>
        <v>136</v>
      </c>
    </row>
    <row r="138" spans="13:72" x14ac:dyDescent="0.2">
      <c r="M138">
        <f t="shared" si="31"/>
        <v>137</v>
      </c>
      <c r="N138" t="s">
        <v>2221</v>
      </c>
      <c r="O138" t="s">
        <v>2222</v>
      </c>
      <c r="P138" t="s">
        <v>2223</v>
      </c>
      <c r="Q138" t="s">
        <v>2224</v>
      </c>
      <c r="S138">
        <f t="shared" si="32"/>
        <v>137</v>
      </c>
      <c r="T138" t="s">
        <v>2225</v>
      </c>
      <c r="U138" t="s">
        <v>2226</v>
      </c>
      <c r="V138" t="s">
        <v>2227</v>
      </c>
      <c r="W138" t="s">
        <v>2228</v>
      </c>
      <c r="Y138">
        <f t="shared" si="33"/>
        <v>137</v>
      </c>
      <c r="Z138" t="s">
        <v>2229</v>
      </c>
      <c r="AA138" t="s">
        <v>2230</v>
      </c>
      <c r="AB138" t="s">
        <v>2231</v>
      </c>
      <c r="AC138" t="s">
        <v>2232</v>
      </c>
      <c r="AE138">
        <f t="shared" si="34"/>
        <v>137</v>
      </c>
      <c r="AK138">
        <f t="shared" si="35"/>
        <v>137</v>
      </c>
      <c r="AP138" s="333"/>
      <c r="AQ138">
        <f t="shared" si="36"/>
        <v>137</v>
      </c>
      <c r="AR138" s="25" t="s">
        <v>2233</v>
      </c>
      <c r="AS138" s="25" t="s">
        <v>2234</v>
      </c>
      <c r="AT138" s="25" t="s">
        <v>2235</v>
      </c>
      <c r="AU138" s="25" t="s">
        <v>2236</v>
      </c>
      <c r="AW138">
        <f t="shared" si="37"/>
        <v>137</v>
      </c>
      <c r="BC138">
        <f t="shared" si="38"/>
        <v>137</v>
      </c>
      <c r="BD138" t="s">
        <v>2237</v>
      </c>
      <c r="BE138" t="s">
        <v>2238</v>
      </c>
      <c r="BF138" t="s">
        <v>2239</v>
      </c>
      <c r="BG138" t="s">
        <v>2240</v>
      </c>
      <c r="BJ138">
        <f t="shared" si="39"/>
        <v>137</v>
      </c>
      <c r="BK138" t="s">
        <v>2241</v>
      </c>
      <c r="BL138" t="s">
        <v>2242</v>
      </c>
      <c r="BM138" t="s">
        <v>2243</v>
      </c>
      <c r="BN138" t="s">
        <v>2244</v>
      </c>
      <c r="BP138">
        <f t="shared" si="40"/>
        <v>137</v>
      </c>
    </row>
    <row r="139" spans="13:72" x14ac:dyDescent="0.2">
      <c r="M139">
        <f t="shared" si="31"/>
        <v>138</v>
      </c>
      <c r="N139" t="s">
        <v>2245</v>
      </c>
      <c r="O139" t="s">
        <v>2246</v>
      </c>
      <c r="P139" t="s">
        <v>2247</v>
      </c>
      <c r="Q139" t="s">
        <v>2248</v>
      </c>
      <c r="S139">
        <f t="shared" si="32"/>
        <v>138</v>
      </c>
      <c r="T139" s="25" t="s">
        <v>2249</v>
      </c>
      <c r="U139" t="s">
        <v>2250</v>
      </c>
      <c r="V139" s="25" t="s">
        <v>2251</v>
      </c>
      <c r="W139" t="s">
        <v>2252</v>
      </c>
      <c r="Y139">
        <f t="shared" si="33"/>
        <v>138</v>
      </c>
      <c r="Z139" t="s">
        <v>2253</v>
      </c>
      <c r="AA139" t="s">
        <v>2254</v>
      </c>
      <c r="AB139" t="s">
        <v>2255</v>
      </c>
      <c r="AC139" t="s">
        <v>2256</v>
      </c>
      <c r="AE139">
        <f t="shared" si="34"/>
        <v>138</v>
      </c>
      <c r="AK139">
        <f t="shared" si="35"/>
        <v>138</v>
      </c>
      <c r="AP139" s="333"/>
      <c r="AQ139">
        <f t="shared" si="36"/>
        <v>138</v>
      </c>
      <c r="AR139" s="390" t="s">
        <v>2257</v>
      </c>
      <c r="AS139" s="390" t="s">
        <v>2992</v>
      </c>
      <c r="AT139" s="390" t="s">
        <v>3115</v>
      </c>
      <c r="AU139" s="390" t="s">
        <v>3054</v>
      </c>
      <c r="AW139">
        <f t="shared" si="37"/>
        <v>138</v>
      </c>
      <c r="BC139">
        <f t="shared" si="38"/>
        <v>138</v>
      </c>
      <c r="BD139" t="s">
        <v>2258</v>
      </c>
      <c r="BE139" t="s">
        <v>2259</v>
      </c>
      <c r="BF139" t="s">
        <v>2260</v>
      </c>
      <c r="BG139" t="s">
        <v>2261</v>
      </c>
      <c r="BJ139">
        <f t="shared" si="39"/>
        <v>138</v>
      </c>
      <c r="BK139" s="25" t="s">
        <v>2262</v>
      </c>
      <c r="BL139" s="25" t="s">
        <v>2263</v>
      </c>
      <c r="BM139" s="25" t="s">
        <v>2264</v>
      </c>
      <c r="BN139" s="25" t="s">
        <v>2265</v>
      </c>
      <c r="BP139">
        <f t="shared" si="40"/>
        <v>138</v>
      </c>
    </row>
    <row r="140" spans="13:72" x14ac:dyDescent="0.2">
      <c r="M140">
        <f t="shared" si="31"/>
        <v>139</v>
      </c>
      <c r="N140" t="s">
        <v>2266</v>
      </c>
      <c r="O140" t="s">
        <v>2267</v>
      </c>
      <c r="P140" t="s">
        <v>2268</v>
      </c>
      <c r="Q140" t="s">
        <v>2269</v>
      </c>
      <c r="S140">
        <f t="shared" si="32"/>
        <v>139</v>
      </c>
      <c r="T140" s="333" t="s">
        <v>2941</v>
      </c>
      <c r="U140" s="333" t="s">
        <v>3150</v>
      </c>
      <c r="V140" s="333" t="s">
        <v>3130</v>
      </c>
      <c r="W140" s="333" t="s">
        <v>3158</v>
      </c>
      <c r="Y140">
        <f t="shared" si="33"/>
        <v>139</v>
      </c>
      <c r="Z140" t="s">
        <v>2270</v>
      </c>
      <c r="AA140" t="s">
        <v>2271</v>
      </c>
      <c r="AB140" t="s">
        <v>2272</v>
      </c>
      <c r="AC140" t="s">
        <v>2273</v>
      </c>
      <c r="AE140">
        <f t="shared" si="34"/>
        <v>139</v>
      </c>
      <c r="AK140">
        <f t="shared" si="35"/>
        <v>139</v>
      </c>
      <c r="AP140" s="333"/>
      <c r="AQ140">
        <f t="shared" si="36"/>
        <v>139</v>
      </c>
      <c r="AR140" t="s">
        <v>2274</v>
      </c>
      <c r="AW140">
        <f t="shared" si="37"/>
        <v>139</v>
      </c>
      <c r="BC140">
        <f t="shared" si="38"/>
        <v>139</v>
      </c>
      <c r="BD140" t="s">
        <v>2275</v>
      </c>
      <c r="BE140" t="s">
        <v>2276</v>
      </c>
      <c r="BF140" s="25" t="s">
        <v>2277</v>
      </c>
      <c r="BG140" t="s">
        <v>2278</v>
      </c>
      <c r="BJ140">
        <f t="shared" si="39"/>
        <v>139</v>
      </c>
      <c r="BP140">
        <f t="shared" si="40"/>
        <v>139</v>
      </c>
    </row>
    <row r="141" spans="13:72" x14ac:dyDescent="0.2">
      <c r="M141">
        <f t="shared" si="31"/>
        <v>140</v>
      </c>
      <c r="N141" t="s">
        <v>2279</v>
      </c>
      <c r="O141" t="s">
        <v>2280</v>
      </c>
      <c r="P141" t="s">
        <v>2281</v>
      </c>
      <c r="Q141" t="s">
        <v>2282</v>
      </c>
      <c r="S141">
        <f t="shared" si="32"/>
        <v>140</v>
      </c>
      <c r="T141" s="390" t="s">
        <v>3136</v>
      </c>
      <c r="U141" s="390" t="s">
        <v>3137</v>
      </c>
      <c r="V141" s="390" t="s">
        <v>3087</v>
      </c>
      <c r="W141" s="390" t="s">
        <v>3138</v>
      </c>
      <c r="Y141">
        <f t="shared" si="33"/>
        <v>140</v>
      </c>
      <c r="AE141">
        <f t="shared" si="34"/>
        <v>140</v>
      </c>
      <c r="AK141">
        <f t="shared" si="35"/>
        <v>140</v>
      </c>
      <c r="AP141" s="333"/>
      <c r="AQ141">
        <f t="shared" si="36"/>
        <v>140</v>
      </c>
      <c r="AW141">
        <f t="shared" si="37"/>
        <v>140</v>
      </c>
      <c r="BC141">
        <f t="shared" si="38"/>
        <v>140</v>
      </c>
      <c r="BJ141">
        <f t="shared" si="39"/>
        <v>140</v>
      </c>
      <c r="BP141">
        <f t="shared" si="40"/>
        <v>140</v>
      </c>
    </row>
    <row r="142" spans="13:72" x14ac:dyDescent="0.2">
      <c r="M142">
        <f t="shared" si="31"/>
        <v>141</v>
      </c>
      <c r="N142" t="s">
        <v>2283</v>
      </c>
      <c r="O142" t="s">
        <v>2284</v>
      </c>
      <c r="P142" t="s">
        <v>2285</v>
      </c>
      <c r="Q142" t="s">
        <v>2286</v>
      </c>
      <c r="S142">
        <f t="shared" si="32"/>
        <v>141</v>
      </c>
      <c r="T142" t="s">
        <v>2287</v>
      </c>
      <c r="U142" t="s">
        <v>2288</v>
      </c>
      <c r="V142" t="s">
        <v>2289</v>
      </c>
      <c r="W142" t="s">
        <v>2290</v>
      </c>
      <c r="Y142">
        <f t="shared" si="33"/>
        <v>141</v>
      </c>
      <c r="AE142">
        <f t="shared" si="34"/>
        <v>141</v>
      </c>
      <c r="AF142" t="s">
        <v>2291</v>
      </c>
      <c r="AG142" t="s">
        <v>2292</v>
      </c>
      <c r="AH142" t="s">
        <v>2293</v>
      </c>
      <c r="AI142" t="s">
        <v>2294</v>
      </c>
      <c r="AK142">
        <f t="shared" si="35"/>
        <v>141</v>
      </c>
      <c r="AL142" s="25" t="s">
        <v>2295</v>
      </c>
      <c r="AM142" s="25" t="s">
        <v>2296</v>
      </c>
      <c r="AN142" s="25" t="s">
        <v>2297</v>
      </c>
      <c r="AO142" s="25" t="s">
        <v>2298</v>
      </c>
      <c r="AP142" s="333"/>
      <c r="AQ142">
        <f t="shared" si="36"/>
        <v>141</v>
      </c>
      <c r="AR142" t="s">
        <v>2299</v>
      </c>
      <c r="AS142" t="s">
        <v>2300</v>
      </c>
      <c r="AT142" t="s">
        <v>2301</v>
      </c>
      <c r="AU142" t="s">
        <v>2302</v>
      </c>
      <c r="AW142">
        <f t="shared" si="37"/>
        <v>141</v>
      </c>
      <c r="AX142" t="s">
        <v>2303</v>
      </c>
      <c r="AY142" t="s">
        <v>2304</v>
      </c>
      <c r="AZ142" t="s">
        <v>2305</v>
      </c>
      <c r="BA142" t="s">
        <v>2306</v>
      </c>
      <c r="BC142">
        <f t="shared" si="38"/>
        <v>141</v>
      </c>
      <c r="BJ142">
        <f t="shared" si="39"/>
        <v>141</v>
      </c>
      <c r="BK142" s="390" t="s">
        <v>2080</v>
      </c>
      <c r="BL142" s="390" t="s">
        <v>3004</v>
      </c>
      <c r="BM142" s="390" t="s">
        <v>3126</v>
      </c>
      <c r="BN142" s="390" t="s">
        <v>3065</v>
      </c>
      <c r="BP142">
        <f t="shared" si="40"/>
        <v>141</v>
      </c>
      <c r="BQ142" t="s">
        <v>2081</v>
      </c>
      <c r="BR142" t="s">
        <v>2082</v>
      </c>
      <c r="BS142" t="s">
        <v>2083</v>
      </c>
      <c r="BT142" t="s">
        <v>2084</v>
      </c>
    </row>
    <row r="143" spans="13:72" x14ac:dyDescent="0.2">
      <c r="M143">
        <f t="shared" si="31"/>
        <v>142</v>
      </c>
      <c r="N143" t="s">
        <v>2307</v>
      </c>
      <c r="O143" t="s">
        <v>2308</v>
      </c>
      <c r="P143" t="s">
        <v>2309</v>
      </c>
      <c r="Q143" t="s">
        <v>2310</v>
      </c>
      <c r="S143">
        <f t="shared" si="32"/>
        <v>142</v>
      </c>
      <c r="T143" t="s">
        <v>2311</v>
      </c>
      <c r="U143" t="s">
        <v>2312</v>
      </c>
      <c r="V143" t="s">
        <v>2313</v>
      </c>
      <c r="W143" t="s">
        <v>2314</v>
      </c>
      <c r="Y143">
        <f t="shared" si="33"/>
        <v>142</v>
      </c>
      <c r="AE143">
        <f t="shared" si="34"/>
        <v>142</v>
      </c>
      <c r="AF143" t="s">
        <v>2315</v>
      </c>
      <c r="AG143" t="s">
        <v>2316</v>
      </c>
      <c r="AH143" t="s">
        <v>2317</v>
      </c>
      <c r="AI143" t="s">
        <v>2318</v>
      </c>
      <c r="AK143">
        <f t="shared" si="35"/>
        <v>142</v>
      </c>
      <c r="AL143" s="390" t="s">
        <v>2319</v>
      </c>
      <c r="AM143" s="390" t="s">
        <v>2969</v>
      </c>
      <c r="AN143" s="390" t="s">
        <v>3091</v>
      </c>
      <c r="AO143" s="390" t="s">
        <v>3030</v>
      </c>
      <c r="AP143" s="333"/>
      <c r="AQ143">
        <f t="shared" si="36"/>
        <v>142</v>
      </c>
      <c r="AR143" t="s">
        <v>2320</v>
      </c>
      <c r="AS143" t="s">
        <v>2321</v>
      </c>
      <c r="AT143" t="s">
        <v>2322</v>
      </c>
      <c r="AU143" t="s">
        <v>2323</v>
      </c>
      <c r="AW143">
        <f t="shared" si="37"/>
        <v>142</v>
      </c>
      <c r="AX143" s="390" t="s">
        <v>2106</v>
      </c>
      <c r="AY143" s="390" t="s">
        <v>3001</v>
      </c>
      <c r="AZ143" s="390" t="s">
        <v>3083</v>
      </c>
      <c r="BA143" s="390" t="s">
        <v>3022</v>
      </c>
      <c r="BC143">
        <f t="shared" si="38"/>
        <v>142</v>
      </c>
      <c r="BJ143">
        <f t="shared" si="39"/>
        <v>142</v>
      </c>
      <c r="BK143" t="s">
        <v>2107</v>
      </c>
      <c r="BL143" t="s">
        <v>2108</v>
      </c>
      <c r="BM143" t="s">
        <v>2109</v>
      </c>
      <c r="BN143" t="s">
        <v>2110</v>
      </c>
      <c r="BP143">
        <f t="shared" si="40"/>
        <v>142</v>
      </c>
      <c r="BQ143" s="390" t="s">
        <v>2106</v>
      </c>
      <c r="BR143" s="390" t="s">
        <v>3001</v>
      </c>
      <c r="BS143" s="390" t="s">
        <v>3083</v>
      </c>
      <c r="BT143" s="390" t="s">
        <v>3022</v>
      </c>
    </row>
    <row r="144" spans="13:72" x14ac:dyDescent="0.2">
      <c r="M144">
        <f t="shared" si="31"/>
        <v>143</v>
      </c>
      <c r="N144" t="s">
        <v>2324</v>
      </c>
      <c r="O144" t="s">
        <v>2325</v>
      </c>
      <c r="P144" t="s">
        <v>2326</v>
      </c>
      <c r="Q144" t="s">
        <v>2327</v>
      </c>
      <c r="S144">
        <f t="shared" si="32"/>
        <v>143</v>
      </c>
      <c r="T144" t="s">
        <v>2328</v>
      </c>
      <c r="U144" t="s">
        <v>2329</v>
      </c>
      <c r="V144" t="s">
        <v>2330</v>
      </c>
      <c r="W144" t="s">
        <v>2331</v>
      </c>
      <c r="Y144">
        <f t="shared" si="33"/>
        <v>143</v>
      </c>
      <c r="AE144">
        <f t="shared" si="34"/>
        <v>143</v>
      </c>
      <c r="AF144" t="s">
        <v>2332</v>
      </c>
      <c r="AG144" t="s">
        <v>2333</v>
      </c>
      <c r="AH144" t="s">
        <v>2334</v>
      </c>
      <c r="AI144" t="s">
        <v>2335</v>
      </c>
      <c r="AK144">
        <f t="shared" si="35"/>
        <v>143</v>
      </c>
      <c r="AL144" s="25" t="s">
        <v>2336</v>
      </c>
      <c r="AM144" s="25" t="s">
        <v>2337</v>
      </c>
      <c r="AN144" s="25" t="s">
        <v>2338</v>
      </c>
      <c r="AO144" s="25" t="s">
        <v>2339</v>
      </c>
      <c r="AP144" s="333"/>
      <c r="AQ144">
        <f t="shared" si="36"/>
        <v>143</v>
      </c>
      <c r="AR144" s="390" t="s">
        <v>2340</v>
      </c>
      <c r="AS144" s="390" t="s">
        <v>2993</v>
      </c>
      <c r="AT144" s="390" t="s">
        <v>3116</v>
      </c>
      <c r="AU144" s="390" t="s">
        <v>3055</v>
      </c>
      <c r="AW144">
        <f t="shared" si="37"/>
        <v>143</v>
      </c>
      <c r="BC144">
        <f t="shared" si="38"/>
        <v>143</v>
      </c>
      <c r="BJ144">
        <f t="shared" si="39"/>
        <v>143</v>
      </c>
      <c r="BP144">
        <f t="shared" si="40"/>
        <v>143</v>
      </c>
      <c r="BQ144" t="s">
        <v>2126</v>
      </c>
      <c r="BR144" t="s">
        <v>2127</v>
      </c>
      <c r="BS144" t="s">
        <v>2128</v>
      </c>
      <c r="BT144" t="s">
        <v>2129</v>
      </c>
    </row>
    <row r="145" spans="13:68" x14ac:dyDescent="0.2">
      <c r="M145">
        <f t="shared" si="31"/>
        <v>144</v>
      </c>
      <c r="N145" t="s">
        <v>2341</v>
      </c>
      <c r="O145" t="s">
        <v>2342</v>
      </c>
      <c r="P145" t="s">
        <v>2343</v>
      </c>
      <c r="Q145" t="s">
        <v>2344</v>
      </c>
      <c r="S145">
        <f t="shared" si="32"/>
        <v>144</v>
      </c>
      <c r="Y145">
        <f t="shared" si="33"/>
        <v>144</v>
      </c>
      <c r="AE145">
        <f t="shared" si="34"/>
        <v>144</v>
      </c>
      <c r="AF145" t="s">
        <v>2345</v>
      </c>
      <c r="AG145" t="s">
        <v>2346</v>
      </c>
      <c r="AH145" t="s">
        <v>2347</v>
      </c>
      <c r="AI145" t="s">
        <v>2348</v>
      </c>
      <c r="AL145" s="25"/>
      <c r="AM145" s="25"/>
      <c r="AN145" s="25"/>
      <c r="AO145" s="25"/>
      <c r="AP145" s="333"/>
      <c r="AQ145">
        <f t="shared" si="36"/>
        <v>144</v>
      </c>
      <c r="AW145">
        <f t="shared" si="37"/>
        <v>144</v>
      </c>
      <c r="BC145">
        <f t="shared" si="38"/>
        <v>144</v>
      </c>
      <c r="BJ145">
        <f t="shared" si="39"/>
        <v>144</v>
      </c>
      <c r="BP145">
        <f t="shared" si="40"/>
        <v>144</v>
      </c>
    </row>
    <row r="146" spans="13:68" x14ac:dyDescent="0.2">
      <c r="M146">
        <f t="shared" si="31"/>
        <v>145</v>
      </c>
      <c r="N146" t="s">
        <v>2221</v>
      </c>
      <c r="O146" t="s">
        <v>2222</v>
      </c>
      <c r="P146" t="s">
        <v>2223</v>
      </c>
      <c r="Q146" t="s">
        <v>2224</v>
      </c>
      <c r="S146">
        <f t="shared" si="32"/>
        <v>145</v>
      </c>
      <c r="Y146">
        <f t="shared" si="33"/>
        <v>145</v>
      </c>
      <c r="AE146">
        <f t="shared" si="34"/>
        <v>145</v>
      </c>
      <c r="AF146" t="s">
        <v>2349</v>
      </c>
      <c r="AG146" t="s">
        <v>2349</v>
      </c>
      <c r="AH146" t="s">
        <v>2350</v>
      </c>
      <c r="AI146" t="s">
        <v>2349</v>
      </c>
      <c r="AK146">
        <f t="shared" si="35"/>
        <v>145</v>
      </c>
      <c r="AP146" s="333"/>
      <c r="AQ146">
        <f t="shared" si="36"/>
        <v>145</v>
      </c>
      <c r="AW146">
        <f t="shared" si="37"/>
        <v>145</v>
      </c>
      <c r="BC146">
        <f t="shared" si="38"/>
        <v>145</v>
      </c>
      <c r="BJ146">
        <f t="shared" si="39"/>
        <v>145</v>
      </c>
      <c r="BP146">
        <f t="shared" si="40"/>
        <v>145</v>
      </c>
    </row>
    <row r="147" spans="13:68" x14ac:dyDescent="0.2">
      <c r="M147">
        <f t="shared" si="31"/>
        <v>146</v>
      </c>
      <c r="S147">
        <f t="shared" si="32"/>
        <v>146</v>
      </c>
      <c r="Y147">
        <f t="shared" si="33"/>
        <v>146</v>
      </c>
      <c r="AE147">
        <f t="shared" si="34"/>
        <v>146</v>
      </c>
      <c r="AF147" t="s">
        <v>2351</v>
      </c>
      <c r="AG147" t="s">
        <v>2351</v>
      </c>
      <c r="AH147" t="s">
        <v>2352</v>
      </c>
      <c r="AI147" t="s">
        <v>2351</v>
      </c>
      <c r="AK147">
        <f t="shared" si="35"/>
        <v>146</v>
      </c>
      <c r="AP147" s="333"/>
      <c r="AQ147">
        <f t="shared" si="36"/>
        <v>146</v>
      </c>
      <c r="AW147">
        <f t="shared" si="37"/>
        <v>146</v>
      </c>
      <c r="BC147">
        <f t="shared" si="38"/>
        <v>146</v>
      </c>
      <c r="BJ147">
        <f t="shared" si="39"/>
        <v>146</v>
      </c>
      <c r="BP147">
        <f t="shared" si="40"/>
        <v>146</v>
      </c>
    </row>
    <row r="148" spans="13:68" x14ac:dyDescent="0.2">
      <c r="M148">
        <f t="shared" si="31"/>
        <v>147</v>
      </c>
      <c r="S148">
        <f t="shared" si="32"/>
        <v>147</v>
      </c>
      <c r="Y148">
        <f t="shared" si="33"/>
        <v>147</v>
      </c>
      <c r="AE148">
        <f t="shared" si="34"/>
        <v>147</v>
      </c>
      <c r="AK148">
        <f t="shared" si="35"/>
        <v>147</v>
      </c>
      <c r="AP148" s="333"/>
      <c r="AQ148">
        <f t="shared" si="36"/>
        <v>147</v>
      </c>
      <c r="AR148" s="25" t="s">
        <v>2353</v>
      </c>
      <c r="AS148" s="25" t="s">
        <v>2354</v>
      </c>
      <c r="AT148" s="25" t="s">
        <v>2355</v>
      </c>
      <c r="AU148" s="25" t="s">
        <v>2356</v>
      </c>
      <c r="AW148">
        <f t="shared" si="37"/>
        <v>147</v>
      </c>
      <c r="BC148">
        <f t="shared" si="38"/>
        <v>147</v>
      </c>
      <c r="BJ148">
        <f t="shared" si="39"/>
        <v>147</v>
      </c>
      <c r="BP148">
        <f t="shared" si="40"/>
        <v>147</v>
      </c>
    </row>
    <row r="149" spans="13:68" x14ac:dyDescent="0.2">
      <c r="M149">
        <f t="shared" si="31"/>
        <v>148</v>
      </c>
      <c r="S149">
        <f t="shared" si="32"/>
        <v>148</v>
      </c>
      <c r="Y149">
        <f t="shared" si="33"/>
        <v>148</v>
      </c>
      <c r="AE149">
        <f t="shared" si="34"/>
        <v>148</v>
      </c>
      <c r="AK149">
        <f t="shared" si="35"/>
        <v>148</v>
      </c>
      <c r="AL149" t="s">
        <v>2357</v>
      </c>
      <c r="AM149" t="s">
        <v>2358</v>
      </c>
      <c r="AN149" t="s">
        <v>2359</v>
      </c>
      <c r="AO149" t="s">
        <v>2360</v>
      </c>
      <c r="AP149" s="333"/>
      <c r="AQ149" s="390">
        <f t="shared" si="36"/>
        <v>148</v>
      </c>
      <c r="AR149" s="390" t="s">
        <v>2361</v>
      </c>
      <c r="AS149" s="25" t="s">
        <v>2362</v>
      </c>
      <c r="AT149" s="25" t="s">
        <v>2363</v>
      </c>
      <c r="AU149" s="25" t="s">
        <v>2364</v>
      </c>
      <c r="AW149">
        <f t="shared" si="37"/>
        <v>148</v>
      </c>
      <c r="BC149">
        <f t="shared" si="38"/>
        <v>148</v>
      </c>
      <c r="BJ149">
        <f t="shared" si="39"/>
        <v>148</v>
      </c>
      <c r="BP149">
        <f t="shared" si="40"/>
        <v>148</v>
      </c>
    </row>
    <row r="150" spans="13:68" x14ac:dyDescent="0.2">
      <c r="M150">
        <f t="shared" si="31"/>
        <v>149</v>
      </c>
      <c r="S150">
        <f t="shared" si="32"/>
        <v>149</v>
      </c>
      <c r="Y150">
        <f t="shared" si="33"/>
        <v>149</v>
      </c>
      <c r="AE150">
        <f t="shared" si="34"/>
        <v>149</v>
      </c>
      <c r="AK150">
        <f t="shared" si="35"/>
        <v>149</v>
      </c>
      <c r="AP150" s="333"/>
      <c r="AQ150" s="390">
        <f t="shared" si="36"/>
        <v>149</v>
      </c>
      <c r="AR150" s="390" t="s">
        <v>2340</v>
      </c>
      <c r="AS150" s="390" t="s">
        <v>2993</v>
      </c>
      <c r="AT150" s="390" t="s">
        <v>3116</v>
      </c>
      <c r="AU150" s="390" t="s">
        <v>3055</v>
      </c>
      <c r="AW150">
        <f t="shared" si="37"/>
        <v>149</v>
      </c>
      <c r="BC150">
        <f t="shared" si="38"/>
        <v>149</v>
      </c>
      <c r="BJ150">
        <f t="shared" si="39"/>
        <v>149</v>
      </c>
      <c r="BP150">
        <f t="shared" si="40"/>
        <v>149</v>
      </c>
    </row>
    <row r="151" spans="13:68" x14ac:dyDescent="0.2">
      <c r="M151">
        <f t="shared" si="31"/>
        <v>150</v>
      </c>
      <c r="S151">
        <f t="shared" si="32"/>
        <v>150</v>
      </c>
      <c r="Y151">
        <f t="shared" si="33"/>
        <v>150</v>
      </c>
      <c r="AE151">
        <f t="shared" si="34"/>
        <v>150</v>
      </c>
      <c r="AK151">
        <f t="shared" si="35"/>
        <v>150</v>
      </c>
      <c r="AP151" s="333"/>
      <c r="AQ151" s="390">
        <f t="shared" si="36"/>
        <v>150</v>
      </c>
      <c r="AR151" s="390" t="s">
        <v>2365</v>
      </c>
      <c r="AS151" s="390" t="s">
        <v>2991</v>
      </c>
      <c r="AT151" s="390" t="s">
        <v>3114</v>
      </c>
      <c r="AU151" s="390" t="s">
        <v>3053</v>
      </c>
      <c r="AW151">
        <f t="shared" si="37"/>
        <v>150</v>
      </c>
      <c r="BC151">
        <f t="shared" si="38"/>
        <v>150</v>
      </c>
      <c r="BJ151">
        <f t="shared" si="39"/>
        <v>150</v>
      </c>
      <c r="BP151">
        <f t="shared" si="40"/>
        <v>150</v>
      </c>
    </row>
    <row r="152" spans="13:68" x14ac:dyDescent="0.2">
      <c r="M152">
        <f t="shared" ref="M152:M183" si="41">ROW()-1</f>
        <v>151</v>
      </c>
      <c r="N152" t="s">
        <v>329</v>
      </c>
      <c r="O152" t="s">
        <v>330</v>
      </c>
      <c r="P152" t="s">
        <v>331</v>
      </c>
      <c r="Q152" t="s">
        <v>2366</v>
      </c>
      <c r="S152">
        <f>ROW()-1</f>
        <v>151</v>
      </c>
      <c r="T152" t="s">
        <v>2367</v>
      </c>
      <c r="U152" t="s">
        <v>2368</v>
      </c>
      <c r="V152" t="s">
        <v>2369</v>
      </c>
      <c r="W152" t="s">
        <v>2370</v>
      </c>
      <c r="AE152">
        <f t="shared" ref="AE152:AE183" si="42">ROW()-1</f>
        <v>151</v>
      </c>
      <c r="AF152" t="s">
        <v>2371</v>
      </c>
      <c r="AG152" t="s">
        <v>2372</v>
      </c>
      <c r="AH152" t="s">
        <v>2373</v>
      </c>
      <c r="AI152" t="s">
        <v>2374</v>
      </c>
      <c r="AQ152" s="390">
        <f>ROW()-1</f>
        <v>151</v>
      </c>
      <c r="AR152" s="390" t="s">
        <v>2375</v>
      </c>
      <c r="AS152" s="390" t="s">
        <v>2994</v>
      </c>
      <c r="AT152" s="390" t="s">
        <v>3117</v>
      </c>
      <c r="AU152" s="390" t="s">
        <v>3056</v>
      </c>
      <c r="AW152">
        <f t="shared" ref="AW152:AW156" si="43">ROW()-1</f>
        <v>151</v>
      </c>
      <c r="AX152" t="s">
        <v>2376</v>
      </c>
      <c r="AY152" t="s">
        <v>2377</v>
      </c>
      <c r="AZ152" t="s">
        <v>2378</v>
      </c>
      <c r="BA152" t="s">
        <v>2379</v>
      </c>
    </row>
    <row r="153" spans="13:68" x14ac:dyDescent="0.2">
      <c r="M153">
        <f t="shared" si="41"/>
        <v>152</v>
      </c>
      <c r="N153" t="s">
        <v>2380</v>
      </c>
      <c r="O153" t="s">
        <v>2381</v>
      </c>
      <c r="P153" t="s">
        <v>2382</v>
      </c>
      <c r="Q153" t="s">
        <v>2381</v>
      </c>
      <c r="S153">
        <f t="shared" ref="S153:S160" si="44">ROW()-1</f>
        <v>152</v>
      </c>
      <c r="T153" t="s">
        <v>2383</v>
      </c>
      <c r="U153" t="s">
        <v>2384</v>
      </c>
      <c r="V153" t="s">
        <v>2385</v>
      </c>
      <c r="W153" t="s">
        <v>2386</v>
      </c>
      <c r="AE153">
        <f t="shared" si="42"/>
        <v>152</v>
      </c>
      <c r="AF153" t="s">
        <v>2387</v>
      </c>
      <c r="AG153" t="s">
        <v>2388</v>
      </c>
      <c r="AH153" t="s">
        <v>2389</v>
      </c>
      <c r="AI153" t="s">
        <v>2390</v>
      </c>
      <c r="AQ153" s="390">
        <f>ROW()-1</f>
        <v>152</v>
      </c>
      <c r="AR153" s="390" t="s">
        <v>2933</v>
      </c>
      <c r="AS153" s="390" t="s">
        <v>2995</v>
      </c>
      <c r="AT153" s="390" t="s">
        <v>3118</v>
      </c>
      <c r="AU153" s="390" t="s">
        <v>3057</v>
      </c>
      <c r="AW153">
        <f t="shared" si="43"/>
        <v>152</v>
      </c>
      <c r="AX153" s="391" t="s">
        <v>2945</v>
      </c>
      <c r="AY153" s="333" t="s">
        <v>3151</v>
      </c>
      <c r="AZ153" s="333" t="s">
        <v>3143</v>
      </c>
      <c r="BA153" s="391" t="s">
        <v>3159</v>
      </c>
    </row>
    <row r="154" spans="13:68" x14ac:dyDescent="0.2">
      <c r="M154">
        <f t="shared" si="41"/>
        <v>153</v>
      </c>
      <c r="N154" t="s">
        <v>2391</v>
      </c>
      <c r="O154" t="s">
        <v>2392</v>
      </c>
      <c r="P154" t="s">
        <v>2393</v>
      </c>
      <c r="Q154" t="s">
        <v>2394</v>
      </c>
      <c r="S154">
        <f t="shared" si="44"/>
        <v>153</v>
      </c>
      <c r="T154" t="s">
        <v>2395</v>
      </c>
      <c r="U154" t="s">
        <v>2396</v>
      </c>
      <c r="V154" t="s">
        <v>2397</v>
      </c>
      <c r="W154" t="s">
        <v>2398</v>
      </c>
      <c r="AE154">
        <f t="shared" si="42"/>
        <v>153</v>
      </c>
      <c r="AF154" t="s">
        <v>2399</v>
      </c>
      <c r="AG154" t="s">
        <v>2400</v>
      </c>
      <c r="AH154" t="s">
        <v>2401</v>
      </c>
      <c r="AI154" t="s">
        <v>2402</v>
      </c>
      <c r="AQ154" s="390">
        <f>ROW()-1</f>
        <v>153</v>
      </c>
      <c r="AR154" s="390" t="s">
        <v>2403</v>
      </c>
      <c r="AS154" s="390" t="s">
        <v>2996</v>
      </c>
      <c r="AT154" s="390" t="s">
        <v>3119</v>
      </c>
      <c r="AU154" s="390" t="s">
        <v>3058</v>
      </c>
      <c r="AW154">
        <f t="shared" si="43"/>
        <v>153</v>
      </c>
      <c r="AX154" s="390" t="s">
        <v>2404</v>
      </c>
      <c r="AY154" s="390" t="s">
        <v>3002</v>
      </c>
      <c r="AZ154" s="390" t="s">
        <v>3124</v>
      </c>
      <c r="BA154" s="390" t="s">
        <v>3063</v>
      </c>
    </row>
    <row r="155" spans="13:68" x14ac:dyDescent="0.2">
      <c r="M155">
        <f t="shared" si="41"/>
        <v>154</v>
      </c>
      <c r="N155" t="s">
        <v>1565</v>
      </c>
      <c r="O155" t="s">
        <v>1566</v>
      </c>
      <c r="P155" t="s">
        <v>1567</v>
      </c>
      <c r="Q155" t="s">
        <v>1568</v>
      </c>
      <c r="S155">
        <f t="shared" si="44"/>
        <v>154</v>
      </c>
      <c r="T155" t="s">
        <v>2405</v>
      </c>
      <c r="U155" t="s">
        <v>2406</v>
      </c>
      <c r="V155" t="s">
        <v>2407</v>
      </c>
      <c r="W155" t="s">
        <v>2408</v>
      </c>
      <c r="AE155">
        <f t="shared" si="42"/>
        <v>154</v>
      </c>
      <c r="AQ155" s="390">
        <f>ROW()-1</f>
        <v>154</v>
      </c>
      <c r="AR155" s="392" t="s">
        <v>2409</v>
      </c>
      <c r="AS155" s="392" t="s">
        <v>2997</v>
      </c>
      <c r="AT155" s="392" t="s">
        <v>3120</v>
      </c>
      <c r="AU155" s="392" t="s">
        <v>3059</v>
      </c>
      <c r="AW155">
        <f t="shared" si="43"/>
        <v>154</v>
      </c>
      <c r="AX155" s="390" t="s">
        <v>2410</v>
      </c>
      <c r="AY155" s="390" t="s">
        <v>3003</v>
      </c>
      <c r="AZ155" s="390" t="s">
        <v>3125</v>
      </c>
      <c r="BA155" s="390" t="s">
        <v>3064</v>
      </c>
    </row>
    <row r="156" spans="13:68" x14ac:dyDescent="0.2">
      <c r="M156">
        <f t="shared" si="41"/>
        <v>155</v>
      </c>
      <c r="N156" t="s">
        <v>2411</v>
      </c>
      <c r="O156" t="s">
        <v>2412</v>
      </c>
      <c r="P156" t="s">
        <v>2413</v>
      </c>
      <c r="Q156" t="s">
        <v>2414</v>
      </c>
      <c r="S156">
        <f t="shared" si="44"/>
        <v>155</v>
      </c>
      <c r="T156" t="s">
        <v>2415</v>
      </c>
      <c r="U156" t="s">
        <v>2416</v>
      </c>
      <c r="V156" t="s">
        <v>2417</v>
      </c>
      <c r="W156" t="s">
        <v>2418</v>
      </c>
      <c r="AE156">
        <f t="shared" si="42"/>
        <v>155</v>
      </c>
      <c r="AQ156" s="390">
        <f>ROW()-1</f>
        <v>155</v>
      </c>
      <c r="AR156" s="392" t="s">
        <v>2419</v>
      </c>
      <c r="AS156" s="392" t="s">
        <v>2998</v>
      </c>
      <c r="AT156" s="392" t="s">
        <v>3121</v>
      </c>
      <c r="AU156" s="392" t="s">
        <v>3060</v>
      </c>
      <c r="AW156">
        <f t="shared" si="43"/>
        <v>155</v>
      </c>
      <c r="AX156" s="272"/>
      <c r="AY156" s="272"/>
      <c r="AZ156" s="272"/>
      <c r="BA156" s="272"/>
    </row>
    <row r="157" spans="13:68" x14ac:dyDescent="0.2">
      <c r="M157">
        <f t="shared" si="41"/>
        <v>156</v>
      </c>
      <c r="N157" t="s">
        <v>2420</v>
      </c>
      <c r="O157" t="s">
        <v>2421</v>
      </c>
      <c r="P157" t="s">
        <v>2422</v>
      </c>
      <c r="Q157" t="s">
        <v>2423</v>
      </c>
      <c r="S157">
        <f t="shared" si="44"/>
        <v>156</v>
      </c>
      <c r="T157" t="s">
        <v>2424</v>
      </c>
      <c r="U157" t="s">
        <v>2425</v>
      </c>
      <c r="V157" t="s">
        <v>2426</v>
      </c>
      <c r="W157" t="s">
        <v>2427</v>
      </c>
      <c r="AE157">
        <f t="shared" si="42"/>
        <v>156</v>
      </c>
      <c r="AR157" s="308"/>
    </row>
    <row r="158" spans="13:68" x14ac:dyDescent="0.2">
      <c r="M158">
        <f t="shared" si="41"/>
        <v>157</v>
      </c>
      <c r="N158" t="s">
        <v>2428</v>
      </c>
      <c r="O158" t="s">
        <v>2429</v>
      </c>
      <c r="P158" t="s">
        <v>2430</v>
      </c>
      <c r="Q158" t="s">
        <v>2431</v>
      </c>
      <c r="S158">
        <f t="shared" si="44"/>
        <v>157</v>
      </c>
      <c r="T158" t="s">
        <v>2432</v>
      </c>
      <c r="U158" t="s">
        <v>2433</v>
      </c>
      <c r="V158" t="s">
        <v>2434</v>
      </c>
      <c r="W158" t="s">
        <v>2435</v>
      </c>
      <c r="AE158">
        <f t="shared" si="42"/>
        <v>157</v>
      </c>
    </row>
    <row r="159" spans="13:68" x14ac:dyDescent="0.2">
      <c r="M159">
        <f t="shared" si="41"/>
        <v>158</v>
      </c>
      <c r="N159" t="s">
        <v>2436</v>
      </c>
      <c r="O159" t="s">
        <v>2437</v>
      </c>
      <c r="P159" t="s">
        <v>2438</v>
      </c>
      <c r="Q159" t="s">
        <v>2439</v>
      </c>
      <c r="S159">
        <f t="shared" si="44"/>
        <v>158</v>
      </c>
      <c r="T159" t="s">
        <v>2440</v>
      </c>
      <c r="U159" t="s">
        <v>2441</v>
      </c>
      <c r="V159" t="s">
        <v>2442</v>
      </c>
      <c r="W159" t="s">
        <v>2443</v>
      </c>
      <c r="AE159">
        <f t="shared" si="42"/>
        <v>158</v>
      </c>
    </row>
    <row r="160" spans="13:68" x14ac:dyDescent="0.2">
      <c r="M160">
        <f t="shared" si="41"/>
        <v>159</v>
      </c>
      <c r="N160" t="s">
        <v>2444</v>
      </c>
      <c r="O160" t="s">
        <v>2445</v>
      </c>
      <c r="P160" t="s">
        <v>2446</v>
      </c>
      <c r="Q160" t="s">
        <v>2447</v>
      </c>
      <c r="S160">
        <f t="shared" si="44"/>
        <v>159</v>
      </c>
      <c r="T160" t="s">
        <v>2448</v>
      </c>
      <c r="U160" t="s">
        <v>2449</v>
      </c>
      <c r="V160" t="s">
        <v>2450</v>
      </c>
      <c r="W160" t="s">
        <v>2451</v>
      </c>
      <c r="AE160">
        <f t="shared" si="42"/>
        <v>159</v>
      </c>
    </row>
    <row r="161" spans="13:35" x14ac:dyDescent="0.2">
      <c r="M161">
        <f t="shared" si="41"/>
        <v>160</v>
      </c>
      <c r="N161" t="s">
        <v>894</v>
      </c>
      <c r="O161" t="s">
        <v>895</v>
      </c>
      <c r="P161" t="s">
        <v>2452</v>
      </c>
      <c r="Q161" t="s">
        <v>897</v>
      </c>
      <c r="AE161">
        <f t="shared" si="42"/>
        <v>160</v>
      </c>
    </row>
    <row r="162" spans="13:35" x14ac:dyDescent="0.2">
      <c r="M162">
        <f t="shared" si="41"/>
        <v>161</v>
      </c>
      <c r="N162" t="s">
        <v>2453</v>
      </c>
      <c r="O162" t="s">
        <v>915</v>
      </c>
      <c r="P162" t="s">
        <v>2454</v>
      </c>
      <c r="Q162" t="s">
        <v>2455</v>
      </c>
      <c r="AE162">
        <f t="shared" si="42"/>
        <v>161</v>
      </c>
      <c r="AF162" t="s">
        <v>2456</v>
      </c>
      <c r="AG162" t="s">
        <v>2457</v>
      </c>
      <c r="AH162" t="s">
        <v>2458</v>
      </c>
      <c r="AI162" t="s">
        <v>2459</v>
      </c>
    </row>
    <row r="163" spans="13:35" x14ac:dyDescent="0.2">
      <c r="M163">
        <f t="shared" si="41"/>
        <v>162</v>
      </c>
      <c r="N163" t="s">
        <v>2460</v>
      </c>
      <c r="O163" t="s">
        <v>1026</v>
      </c>
      <c r="P163" t="s">
        <v>2461</v>
      </c>
      <c r="Q163" t="s">
        <v>1028</v>
      </c>
      <c r="AE163">
        <f t="shared" si="42"/>
        <v>162</v>
      </c>
      <c r="AF163" t="s">
        <v>2462</v>
      </c>
      <c r="AG163" t="s">
        <v>2463</v>
      </c>
      <c r="AH163" t="s">
        <v>2464</v>
      </c>
      <c r="AI163" t="s">
        <v>2465</v>
      </c>
    </row>
    <row r="164" spans="13:35" x14ac:dyDescent="0.2">
      <c r="M164">
        <f t="shared" si="41"/>
        <v>163</v>
      </c>
      <c r="N164" t="s">
        <v>2466</v>
      </c>
      <c r="O164" t="s">
        <v>2467</v>
      </c>
      <c r="P164" t="s">
        <v>2468</v>
      </c>
      <c r="Q164" t="s">
        <v>2469</v>
      </c>
      <c r="AE164">
        <f t="shared" si="42"/>
        <v>163</v>
      </c>
      <c r="AF164" t="s">
        <v>2470</v>
      </c>
      <c r="AG164" t="s">
        <v>2471</v>
      </c>
      <c r="AH164" t="s">
        <v>2472</v>
      </c>
      <c r="AI164" t="s">
        <v>2473</v>
      </c>
    </row>
    <row r="165" spans="13:35" x14ac:dyDescent="0.2">
      <c r="M165">
        <f t="shared" si="41"/>
        <v>164</v>
      </c>
      <c r="N165" t="s">
        <v>2474</v>
      </c>
      <c r="O165" t="s">
        <v>2475</v>
      </c>
      <c r="P165" t="s">
        <v>2476</v>
      </c>
      <c r="Q165" t="s">
        <v>2477</v>
      </c>
      <c r="AE165">
        <f t="shared" si="42"/>
        <v>164</v>
      </c>
    </row>
    <row r="166" spans="13:35" x14ac:dyDescent="0.2">
      <c r="M166">
        <f t="shared" si="41"/>
        <v>165</v>
      </c>
      <c r="N166" t="s">
        <v>2460</v>
      </c>
      <c r="O166" t="s">
        <v>1026</v>
      </c>
      <c r="P166" t="s">
        <v>2461</v>
      </c>
      <c r="Q166" t="s">
        <v>1028</v>
      </c>
      <c r="AE166">
        <f t="shared" si="42"/>
        <v>165</v>
      </c>
    </row>
    <row r="167" spans="13:35" x14ac:dyDescent="0.2">
      <c r="M167">
        <f t="shared" si="41"/>
        <v>166</v>
      </c>
      <c r="N167" t="s">
        <v>2478</v>
      </c>
      <c r="O167" t="s">
        <v>2478</v>
      </c>
      <c r="P167" t="s">
        <v>2478</v>
      </c>
      <c r="Q167" t="s">
        <v>2478</v>
      </c>
      <c r="AE167">
        <f t="shared" si="42"/>
        <v>166</v>
      </c>
    </row>
    <row r="168" spans="13:35" x14ac:dyDescent="0.2">
      <c r="M168">
        <f t="shared" si="41"/>
        <v>167</v>
      </c>
      <c r="N168" t="s">
        <v>2479</v>
      </c>
      <c r="O168" t="s">
        <v>2480</v>
      </c>
      <c r="P168" t="s">
        <v>2481</v>
      </c>
      <c r="Q168" t="s">
        <v>1307</v>
      </c>
      <c r="AE168">
        <f t="shared" si="42"/>
        <v>167</v>
      </c>
    </row>
    <row r="169" spans="13:35" x14ac:dyDescent="0.2">
      <c r="M169">
        <f t="shared" si="41"/>
        <v>168</v>
      </c>
      <c r="N169" t="s">
        <v>2482</v>
      </c>
      <c r="O169" t="s">
        <v>2483</v>
      </c>
      <c r="P169" t="s">
        <v>2484</v>
      </c>
      <c r="Q169" t="s">
        <v>2485</v>
      </c>
      <c r="AE169">
        <f t="shared" si="42"/>
        <v>168</v>
      </c>
    </row>
    <row r="170" spans="13:35" x14ac:dyDescent="0.2">
      <c r="M170">
        <f t="shared" si="41"/>
        <v>169</v>
      </c>
      <c r="N170" t="s">
        <v>2486</v>
      </c>
      <c r="O170" t="s">
        <v>2487</v>
      </c>
      <c r="P170" t="s">
        <v>2488</v>
      </c>
      <c r="Q170" t="s">
        <v>2489</v>
      </c>
      <c r="AE170">
        <f t="shared" si="42"/>
        <v>169</v>
      </c>
    </row>
    <row r="171" spans="13:35" x14ac:dyDescent="0.2">
      <c r="M171">
        <f t="shared" si="41"/>
        <v>170</v>
      </c>
      <c r="N171" t="s">
        <v>2460</v>
      </c>
      <c r="O171" t="s">
        <v>1026</v>
      </c>
      <c r="P171" t="s">
        <v>2461</v>
      </c>
      <c r="Q171" t="s">
        <v>1028</v>
      </c>
      <c r="AE171">
        <f t="shared" si="42"/>
        <v>170</v>
      </c>
    </row>
    <row r="172" spans="13:35" x14ac:dyDescent="0.2">
      <c r="M172">
        <f t="shared" si="41"/>
        <v>171</v>
      </c>
      <c r="N172" t="s">
        <v>2490</v>
      </c>
      <c r="O172" t="s">
        <v>2491</v>
      </c>
      <c r="P172" t="s">
        <v>2492</v>
      </c>
      <c r="Q172" t="s">
        <v>2493</v>
      </c>
      <c r="AE172">
        <f t="shared" si="42"/>
        <v>171</v>
      </c>
    </row>
    <row r="173" spans="13:35" x14ac:dyDescent="0.2">
      <c r="M173">
        <f t="shared" si="41"/>
        <v>172</v>
      </c>
      <c r="N173" t="s">
        <v>2494</v>
      </c>
      <c r="O173" t="s">
        <v>2495</v>
      </c>
      <c r="P173" t="s">
        <v>2496</v>
      </c>
      <c r="Q173" t="s">
        <v>2497</v>
      </c>
      <c r="AE173">
        <f t="shared" si="42"/>
        <v>172</v>
      </c>
    </row>
    <row r="174" spans="13:35" x14ac:dyDescent="0.2">
      <c r="M174">
        <f t="shared" si="41"/>
        <v>173</v>
      </c>
      <c r="N174" s="389" t="s">
        <v>2498</v>
      </c>
      <c r="O174" s="389" t="s">
        <v>2947</v>
      </c>
      <c r="P174" s="389" t="s">
        <v>3072</v>
      </c>
      <c r="Q174" s="389" t="s">
        <v>3006</v>
      </c>
      <c r="AE174">
        <f t="shared" si="42"/>
        <v>173</v>
      </c>
    </row>
    <row r="175" spans="13:35" x14ac:dyDescent="0.2">
      <c r="M175">
        <f t="shared" si="41"/>
        <v>174</v>
      </c>
      <c r="N175" s="48" t="s">
        <v>2499</v>
      </c>
      <c r="O175" t="s">
        <v>2500</v>
      </c>
      <c r="P175" s="48" t="s">
        <v>2501</v>
      </c>
      <c r="Q175" t="s">
        <v>2502</v>
      </c>
      <c r="AE175">
        <f t="shared" si="42"/>
        <v>174</v>
      </c>
    </row>
    <row r="176" spans="13:35" x14ac:dyDescent="0.2">
      <c r="M176">
        <f t="shared" si="41"/>
        <v>175</v>
      </c>
      <c r="N176" s="48" t="s">
        <v>2503</v>
      </c>
      <c r="O176" t="s">
        <v>2504</v>
      </c>
      <c r="P176" s="48" t="s">
        <v>2505</v>
      </c>
      <c r="Q176" t="s">
        <v>2506</v>
      </c>
      <c r="AE176">
        <f t="shared" si="42"/>
        <v>175</v>
      </c>
    </row>
    <row r="177" spans="13:31" x14ac:dyDescent="0.2">
      <c r="M177">
        <f t="shared" si="41"/>
        <v>176</v>
      </c>
      <c r="N177" s="48" t="s">
        <v>2507</v>
      </c>
      <c r="O177" t="s">
        <v>2508</v>
      </c>
      <c r="P177" s="48" t="s">
        <v>2509</v>
      </c>
      <c r="Q177" t="s">
        <v>2510</v>
      </c>
      <c r="AE177">
        <f t="shared" si="42"/>
        <v>176</v>
      </c>
    </row>
    <row r="178" spans="13:31" x14ac:dyDescent="0.2">
      <c r="M178">
        <f t="shared" si="41"/>
        <v>177</v>
      </c>
      <c r="N178" s="48" t="s">
        <v>2511</v>
      </c>
      <c r="O178" t="s">
        <v>2512</v>
      </c>
      <c r="P178" s="48" t="s">
        <v>2513</v>
      </c>
      <c r="Q178" t="s">
        <v>2514</v>
      </c>
      <c r="AE178">
        <f t="shared" si="42"/>
        <v>177</v>
      </c>
    </row>
    <row r="179" spans="13:31" x14ac:dyDescent="0.2">
      <c r="M179">
        <f t="shared" si="41"/>
        <v>178</v>
      </c>
      <c r="AE179">
        <f t="shared" si="42"/>
        <v>178</v>
      </c>
    </row>
    <row r="180" spans="13:31" x14ac:dyDescent="0.2">
      <c r="M180">
        <f t="shared" si="41"/>
        <v>179</v>
      </c>
      <c r="AE180">
        <f t="shared" si="42"/>
        <v>179</v>
      </c>
    </row>
    <row r="181" spans="13:31" x14ac:dyDescent="0.2">
      <c r="M181">
        <f t="shared" si="41"/>
        <v>180</v>
      </c>
      <c r="AE181">
        <f t="shared" si="42"/>
        <v>180</v>
      </c>
    </row>
    <row r="182" spans="13:31" x14ac:dyDescent="0.2">
      <c r="M182">
        <f t="shared" si="41"/>
        <v>181</v>
      </c>
      <c r="N182" t="s">
        <v>2515</v>
      </c>
      <c r="O182" t="s">
        <v>832</v>
      </c>
      <c r="P182" t="s">
        <v>2516</v>
      </c>
      <c r="Q182" t="s">
        <v>834</v>
      </c>
      <c r="AE182">
        <f t="shared" si="42"/>
        <v>181</v>
      </c>
    </row>
    <row r="183" spans="13:31" x14ac:dyDescent="0.2">
      <c r="M183">
        <f t="shared" si="41"/>
        <v>182</v>
      </c>
      <c r="N183" t="s">
        <v>2517</v>
      </c>
      <c r="O183" t="s">
        <v>675</v>
      </c>
      <c r="P183" t="s">
        <v>2518</v>
      </c>
      <c r="Q183" t="s">
        <v>677</v>
      </c>
      <c r="AE183">
        <f t="shared" si="42"/>
        <v>182</v>
      </c>
    </row>
    <row r="184" spans="13:31" x14ac:dyDescent="0.2">
      <c r="M184">
        <f t="shared" ref="M184:M215" si="45">ROW()-1</f>
        <v>183</v>
      </c>
      <c r="AE184">
        <f t="shared" ref="AE184:AE215" si="46">ROW()-1</f>
        <v>183</v>
      </c>
    </row>
    <row r="185" spans="13:31" x14ac:dyDescent="0.2">
      <c r="M185">
        <f t="shared" si="45"/>
        <v>184</v>
      </c>
      <c r="AE185">
        <f t="shared" si="46"/>
        <v>184</v>
      </c>
    </row>
    <row r="186" spans="13:31" x14ac:dyDescent="0.2">
      <c r="M186">
        <f t="shared" si="45"/>
        <v>185</v>
      </c>
      <c r="AE186">
        <f t="shared" si="46"/>
        <v>185</v>
      </c>
    </row>
    <row r="187" spans="13:31" x14ac:dyDescent="0.2">
      <c r="M187">
        <f t="shared" si="45"/>
        <v>186</v>
      </c>
      <c r="AE187">
        <f t="shared" si="46"/>
        <v>186</v>
      </c>
    </row>
    <row r="188" spans="13:31" x14ac:dyDescent="0.2">
      <c r="M188">
        <f t="shared" si="45"/>
        <v>187</v>
      </c>
      <c r="AE188">
        <f t="shared" si="46"/>
        <v>187</v>
      </c>
    </row>
    <row r="189" spans="13:31" x14ac:dyDescent="0.2">
      <c r="M189">
        <f t="shared" si="45"/>
        <v>188</v>
      </c>
      <c r="AE189">
        <f t="shared" si="46"/>
        <v>188</v>
      </c>
    </row>
    <row r="190" spans="13:31" x14ac:dyDescent="0.2">
      <c r="M190">
        <f t="shared" si="45"/>
        <v>189</v>
      </c>
      <c r="AE190">
        <f t="shared" si="46"/>
        <v>189</v>
      </c>
    </row>
    <row r="191" spans="13:31" x14ac:dyDescent="0.2">
      <c r="M191">
        <f t="shared" si="45"/>
        <v>190</v>
      </c>
      <c r="AE191">
        <f t="shared" si="46"/>
        <v>190</v>
      </c>
    </row>
    <row r="192" spans="13:31" x14ac:dyDescent="0.2">
      <c r="M192">
        <f t="shared" si="45"/>
        <v>191</v>
      </c>
      <c r="N192" t="s">
        <v>2519</v>
      </c>
      <c r="O192" t="s">
        <v>2520</v>
      </c>
      <c r="P192" t="s">
        <v>2521</v>
      </c>
      <c r="Q192" t="s">
        <v>2522</v>
      </c>
      <c r="AE192">
        <f t="shared" si="46"/>
        <v>191</v>
      </c>
    </row>
    <row r="193" spans="13:35" x14ac:dyDescent="0.2">
      <c r="M193">
        <f t="shared" si="45"/>
        <v>192</v>
      </c>
      <c r="N193" t="s">
        <v>2523</v>
      </c>
      <c r="O193" t="s">
        <v>2524</v>
      </c>
      <c r="P193" t="s">
        <v>2525</v>
      </c>
      <c r="Q193" t="s">
        <v>2526</v>
      </c>
      <c r="AE193">
        <f t="shared" si="46"/>
        <v>192</v>
      </c>
    </row>
    <row r="194" spans="13:35" x14ac:dyDescent="0.2">
      <c r="M194">
        <f t="shared" si="45"/>
        <v>193</v>
      </c>
      <c r="N194" t="s">
        <v>2527</v>
      </c>
      <c r="O194" t="s">
        <v>2528</v>
      </c>
      <c r="P194" t="s">
        <v>2529</v>
      </c>
      <c r="Q194" t="s">
        <v>2530</v>
      </c>
      <c r="AE194">
        <f t="shared" si="46"/>
        <v>193</v>
      </c>
    </row>
    <row r="195" spans="13:35" x14ac:dyDescent="0.2">
      <c r="M195">
        <f t="shared" si="45"/>
        <v>194</v>
      </c>
      <c r="N195" t="s">
        <v>2531</v>
      </c>
      <c r="O195" t="s">
        <v>2532</v>
      </c>
      <c r="P195" t="s">
        <v>2533</v>
      </c>
      <c r="Q195" t="s">
        <v>2534</v>
      </c>
      <c r="AE195">
        <f t="shared" si="46"/>
        <v>194</v>
      </c>
    </row>
    <row r="196" spans="13:35" x14ac:dyDescent="0.2">
      <c r="M196">
        <f t="shared" si="45"/>
        <v>195</v>
      </c>
      <c r="N196" t="s">
        <v>2535</v>
      </c>
      <c r="O196" t="s">
        <v>2536</v>
      </c>
      <c r="P196" t="s">
        <v>2537</v>
      </c>
      <c r="Q196" t="s">
        <v>2538</v>
      </c>
      <c r="AE196">
        <f t="shared" si="46"/>
        <v>195</v>
      </c>
    </row>
    <row r="197" spans="13:35" x14ac:dyDescent="0.2">
      <c r="M197">
        <f t="shared" si="45"/>
        <v>196</v>
      </c>
      <c r="N197" t="s">
        <v>2539</v>
      </c>
      <c r="O197" t="s">
        <v>2540</v>
      </c>
      <c r="P197" t="s">
        <v>2541</v>
      </c>
      <c r="Q197" t="s">
        <v>2542</v>
      </c>
      <c r="AE197">
        <f t="shared" si="46"/>
        <v>196</v>
      </c>
    </row>
    <row r="198" spans="13:35" x14ac:dyDescent="0.2">
      <c r="M198">
        <f t="shared" si="45"/>
        <v>197</v>
      </c>
      <c r="N198" t="s">
        <v>2543</v>
      </c>
      <c r="O198" t="s">
        <v>2544</v>
      </c>
      <c r="P198" t="s">
        <v>2545</v>
      </c>
      <c r="Q198" t="s">
        <v>2546</v>
      </c>
      <c r="AE198">
        <f t="shared" si="46"/>
        <v>197</v>
      </c>
    </row>
    <row r="199" spans="13:35" x14ac:dyDescent="0.2">
      <c r="M199">
        <f t="shared" si="45"/>
        <v>198</v>
      </c>
      <c r="N199" t="s">
        <v>2547</v>
      </c>
      <c r="O199" t="s">
        <v>2548</v>
      </c>
      <c r="P199" t="s">
        <v>2549</v>
      </c>
      <c r="Q199" t="s">
        <v>2550</v>
      </c>
      <c r="AE199">
        <f t="shared" si="46"/>
        <v>198</v>
      </c>
    </row>
    <row r="200" spans="13:35" x14ac:dyDescent="0.2">
      <c r="M200">
        <f t="shared" si="45"/>
        <v>199</v>
      </c>
      <c r="N200" t="s">
        <v>2551</v>
      </c>
      <c r="O200" t="s">
        <v>2552</v>
      </c>
      <c r="P200" t="s">
        <v>2553</v>
      </c>
      <c r="Q200" t="s">
        <v>2554</v>
      </c>
      <c r="AE200">
        <f t="shared" si="46"/>
        <v>199</v>
      </c>
    </row>
    <row r="201" spans="13:35" x14ac:dyDescent="0.2">
      <c r="M201">
        <f t="shared" si="45"/>
        <v>200</v>
      </c>
      <c r="N201" t="s">
        <v>2555</v>
      </c>
      <c r="O201" t="s">
        <v>2556</v>
      </c>
      <c r="P201" t="s">
        <v>2557</v>
      </c>
      <c r="Q201" t="s">
        <v>2558</v>
      </c>
      <c r="AE201">
        <f t="shared" si="46"/>
        <v>200</v>
      </c>
    </row>
    <row r="202" spans="13:35" x14ac:dyDescent="0.2">
      <c r="M202">
        <f t="shared" si="45"/>
        <v>201</v>
      </c>
      <c r="N202" t="s">
        <v>2559</v>
      </c>
      <c r="O202" t="s">
        <v>2560</v>
      </c>
      <c r="P202" t="s">
        <v>2561</v>
      </c>
      <c r="Q202" t="s">
        <v>2562</v>
      </c>
      <c r="AE202">
        <f t="shared" si="46"/>
        <v>201</v>
      </c>
      <c r="AF202" t="s">
        <v>2563</v>
      </c>
      <c r="AG202" t="s">
        <v>2564</v>
      </c>
      <c r="AH202" t="s">
        <v>2565</v>
      </c>
      <c r="AI202" t="s">
        <v>2566</v>
      </c>
    </row>
    <row r="203" spans="13:35" x14ac:dyDescent="0.2">
      <c r="M203">
        <f t="shared" si="45"/>
        <v>202</v>
      </c>
      <c r="N203" t="s">
        <v>2567</v>
      </c>
      <c r="O203" t="s">
        <v>2568</v>
      </c>
      <c r="P203" t="s">
        <v>2569</v>
      </c>
      <c r="Q203" t="s">
        <v>2570</v>
      </c>
      <c r="AE203">
        <f t="shared" si="46"/>
        <v>202</v>
      </c>
    </row>
    <row r="204" spans="13:35" x14ac:dyDescent="0.2">
      <c r="M204">
        <f t="shared" si="45"/>
        <v>203</v>
      </c>
      <c r="N204" t="s">
        <v>2571</v>
      </c>
      <c r="O204" t="s">
        <v>2572</v>
      </c>
      <c r="P204" t="s">
        <v>2573</v>
      </c>
      <c r="Q204" t="s">
        <v>2574</v>
      </c>
      <c r="AE204">
        <f t="shared" si="46"/>
        <v>203</v>
      </c>
    </row>
    <row r="205" spans="13:35" x14ac:dyDescent="0.2">
      <c r="M205">
        <f t="shared" si="45"/>
        <v>204</v>
      </c>
      <c r="N205" t="s">
        <v>2575</v>
      </c>
      <c r="O205" t="s">
        <v>2576</v>
      </c>
      <c r="P205" t="s">
        <v>2577</v>
      </c>
      <c r="Q205" t="s">
        <v>2578</v>
      </c>
      <c r="AE205">
        <f t="shared" si="46"/>
        <v>204</v>
      </c>
      <c r="AF205" t="s">
        <v>2579</v>
      </c>
      <c r="AG205" t="s">
        <v>2580</v>
      </c>
      <c r="AH205" t="s">
        <v>2581</v>
      </c>
      <c r="AI205" t="s">
        <v>2582</v>
      </c>
    </row>
    <row r="206" spans="13:35" x14ac:dyDescent="0.2">
      <c r="M206">
        <f t="shared" si="45"/>
        <v>205</v>
      </c>
      <c r="N206" t="s">
        <v>2583</v>
      </c>
      <c r="O206" t="s">
        <v>2584</v>
      </c>
      <c r="P206" t="s">
        <v>2585</v>
      </c>
      <c r="Q206" t="s">
        <v>2586</v>
      </c>
      <c r="AE206">
        <f t="shared" si="46"/>
        <v>205</v>
      </c>
      <c r="AF206" t="s">
        <v>2587</v>
      </c>
      <c r="AG206" t="s">
        <v>2588</v>
      </c>
      <c r="AH206" t="s">
        <v>2589</v>
      </c>
      <c r="AI206" t="s">
        <v>2590</v>
      </c>
    </row>
    <row r="207" spans="13:35" x14ac:dyDescent="0.2">
      <c r="M207">
        <f t="shared" si="45"/>
        <v>206</v>
      </c>
      <c r="N207" t="s">
        <v>2591</v>
      </c>
      <c r="O207" t="s">
        <v>2592</v>
      </c>
      <c r="P207" t="s">
        <v>2593</v>
      </c>
      <c r="Q207" t="s">
        <v>2594</v>
      </c>
      <c r="AE207">
        <f t="shared" si="46"/>
        <v>206</v>
      </c>
    </row>
    <row r="208" spans="13:35" x14ac:dyDescent="0.2">
      <c r="M208">
        <f t="shared" si="45"/>
        <v>207</v>
      </c>
      <c r="AE208">
        <f t="shared" si="46"/>
        <v>207</v>
      </c>
    </row>
    <row r="209" spans="13:41" x14ac:dyDescent="0.2">
      <c r="M209">
        <f t="shared" si="45"/>
        <v>208</v>
      </c>
      <c r="AE209">
        <f t="shared" si="46"/>
        <v>208</v>
      </c>
    </row>
    <row r="210" spans="13:41" x14ac:dyDescent="0.2">
      <c r="M210">
        <f t="shared" si="45"/>
        <v>209</v>
      </c>
      <c r="N210" t="s">
        <v>2595</v>
      </c>
      <c r="O210" t="s">
        <v>2596</v>
      </c>
      <c r="P210" t="s">
        <v>2597</v>
      </c>
      <c r="Q210" t="s">
        <v>2598</v>
      </c>
      <c r="AE210">
        <f t="shared" si="46"/>
        <v>209</v>
      </c>
    </row>
    <row r="211" spans="13:41" x14ac:dyDescent="0.2">
      <c r="M211">
        <f t="shared" si="45"/>
        <v>210</v>
      </c>
      <c r="N211" t="s">
        <v>2599</v>
      </c>
      <c r="O211" t="s">
        <v>2600</v>
      </c>
      <c r="P211" t="s">
        <v>2600</v>
      </c>
      <c r="Q211" t="s">
        <v>2601</v>
      </c>
      <c r="AE211">
        <f t="shared" si="46"/>
        <v>210</v>
      </c>
    </row>
    <row r="212" spans="13:41" x14ac:dyDescent="0.2">
      <c r="M212">
        <f t="shared" si="45"/>
        <v>211</v>
      </c>
      <c r="N212" t="s">
        <v>2602</v>
      </c>
      <c r="O212" t="s">
        <v>2603</v>
      </c>
      <c r="P212" t="s">
        <v>2604</v>
      </c>
      <c r="Q212" t="s">
        <v>2605</v>
      </c>
      <c r="AE212">
        <f t="shared" si="46"/>
        <v>211</v>
      </c>
      <c r="AF212" t="s">
        <v>2072</v>
      </c>
      <c r="AG212" t="s">
        <v>2073</v>
      </c>
      <c r="AH212" t="s">
        <v>2074</v>
      </c>
      <c r="AI212" t="s">
        <v>2606</v>
      </c>
    </row>
    <row r="213" spans="13:41" x14ac:dyDescent="0.2">
      <c r="M213">
        <f t="shared" si="45"/>
        <v>212</v>
      </c>
      <c r="N213" t="s">
        <v>2607</v>
      </c>
      <c r="O213" t="s">
        <v>2608</v>
      </c>
      <c r="P213" t="s">
        <v>2609</v>
      </c>
      <c r="Q213" t="s">
        <v>2610</v>
      </c>
      <c r="AE213">
        <f t="shared" si="46"/>
        <v>212</v>
      </c>
      <c r="AF213" t="s">
        <v>2611</v>
      </c>
      <c r="AG213" t="s">
        <v>2612</v>
      </c>
      <c r="AH213" t="s">
        <v>2613</v>
      </c>
      <c r="AI213" t="s">
        <v>2614</v>
      </c>
    </row>
    <row r="214" spans="13:41" x14ac:dyDescent="0.2">
      <c r="M214">
        <f t="shared" si="45"/>
        <v>213</v>
      </c>
      <c r="N214" t="s">
        <v>2615</v>
      </c>
      <c r="O214" t="s">
        <v>2616</v>
      </c>
      <c r="P214" t="s">
        <v>2617</v>
      </c>
      <c r="Q214" t="s">
        <v>2618</v>
      </c>
      <c r="AE214">
        <f t="shared" si="46"/>
        <v>213</v>
      </c>
      <c r="AF214" t="s">
        <v>2619</v>
      </c>
      <c r="AG214" t="s">
        <v>2620</v>
      </c>
      <c r="AH214" t="s">
        <v>2621</v>
      </c>
      <c r="AI214" t="s">
        <v>2622</v>
      </c>
    </row>
    <row r="215" spans="13:41" x14ac:dyDescent="0.2">
      <c r="M215">
        <f t="shared" si="45"/>
        <v>214</v>
      </c>
      <c r="N215" t="s">
        <v>2623</v>
      </c>
      <c r="O215" t="s">
        <v>2624</v>
      </c>
      <c r="P215" t="s">
        <v>2625</v>
      </c>
      <c r="Q215" t="s">
        <v>2626</v>
      </c>
      <c r="AE215">
        <f t="shared" si="46"/>
        <v>214</v>
      </c>
      <c r="AF215" t="s">
        <v>2627</v>
      </c>
      <c r="AG215" t="s">
        <v>2628</v>
      </c>
      <c r="AH215" t="s">
        <v>2629</v>
      </c>
      <c r="AI215" t="s">
        <v>2630</v>
      </c>
    </row>
    <row r="216" spans="13:41" x14ac:dyDescent="0.2">
      <c r="M216">
        <f t="shared" ref="M216:M226" si="47">ROW()-1</f>
        <v>215</v>
      </c>
      <c r="N216" t="s">
        <v>2631</v>
      </c>
      <c r="O216" t="s">
        <v>2632</v>
      </c>
      <c r="P216" t="s">
        <v>2633</v>
      </c>
      <c r="Q216" t="s">
        <v>2634</v>
      </c>
      <c r="AE216">
        <f t="shared" ref="AE216:AE239" si="48">ROW()-1</f>
        <v>215</v>
      </c>
      <c r="AF216" s="390" t="s">
        <v>2635</v>
      </c>
      <c r="AG216" s="390" t="s">
        <v>2966</v>
      </c>
      <c r="AH216" s="390" t="s">
        <v>3088</v>
      </c>
      <c r="AI216" s="390" t="s">
        <v>3027</v>
      </c>
      <c r="AJ216" s="272"/>
      <c r="AK216" s="272"/>
      <c r="AL216" s="272"/>
      <c r="AM216" s="272"/>
      <c r="AN216" s="272"/>
      <c r="AO216" s="272"/>
    </row>
    <row r="217" spans="13:41" x14ac:dyDescent="0.2">
      <c r="M217">
        <f t="shared" si="47"/>
        <v>216</v>
      </c>
      <c r="N217" t="s">
        <v>2636</v>
      </c>
      <c r="O217" t="s">
        <v>2637</v>
      </c>
      <c r="P217" t="s">
        <v>2638</v>
      </c>
      <c r="Q217" t="s">
        <v>2639</v>
      </c>
      <c r="AE217">
        <f t="shared" si="48"/>
        <v>216</v>
      </c>
      <c r="AF217" s="390" t="s">
        <v>2640</v>
      </c>
      <c r="AG217" s="390" t="s">
        <v>2967</v>
      </c>
      <c r="AH217" s="390" t="s">
        <v>3089</v>
      </c>
      <c r="AI217" s="390" t="s">
        <v>3028</v>
      </c>
      <c r="AJ217" s="272"/>
      <c r="AK217" s="272"/>
      <c r="AL217" s="272"/>
      <c r="AM217" s="272"/>
      <c r="AN217" s="272"/>
      <c r="AO217" s="272"/>
    </row>
    <row r="218" spans="13:41" x14ac:dyDescent="0.2">
      <c r="M218">
        <f t="shared" si="47"/>
        <v>217</v>
      </c>
      <c r="N218" t="s">
        <v>2641</v>
      </c>
      <c r="O218" t="s">
        <v>2642</v>
      </c>
      <c r="P218" t="s">
        <v>2642</v>
      </c>
      <c r="Q218" t="s">
        <v>2643</v>
      </c>
      <c r="AE218">
        <f t="shared" si="48"/>
        <v>217</v>
      </c>
      <c r="AF218" s="25" t="s">
        <v>2644</v>
      </c>
      <c r="AG218" t="s">
        <v>2645</v>
      </c>
      <c r="AH218" s="25" t="s">
        <v>2646</v>
      </c>
      <c r="AI218" t="s">
        <v>2647</v>
      </c>
    </row>
    <row r="219" spans="13:41" x14ac:dyDescent="0.2">
      <c r="M219">
        <f t="shared" si="47"/>
        <v>218</v>
      </c>
      <c r="N219" t="s">
        <v>2648</v>
      </c>
      <c r="O219" t="s">
        <v>2649</v>
      </c>
      <c r="P219" t="s">
        <v>2650</v>
      </c>
      <c r="Q219" t="s">
        <v>2651</v>
      </c>
      <c r="AE219">
        <f t="shared" si="48"/>
        <v>218</v>
      </c>
      <c r="AF219" s="25" t="s">
        <v>2652</v>
      </c>
      <c r="AG219" s="25" t="s">
        <v>2653</v>
      </c>
      <c r="AH219" s="25" t="s">
        <v>2654</v>
      </c>
      <c r="AI219" s="25" t="s">
        <v>2655</v>
      </c>
    </row>
    <row r="220" spans="13:41" x14ac:dyDescent="0.2">
      <c r="M220">
        <f t="shared" si="47"/>
        <v>219</v>
      </c>
      <c r="N220" t="s">
        <v>2656</v>
      </c>
      <c r="O220" t="s">
        <v>2657</v>
      </c>
      <c r="P220" t="s">
        <v>2658</v>
      </c>
      <c r="Q220" t="s">
        <v>2659</v>
      </c>
      <c r="AE220">
        <f t="shared" si="48"/>
        <v>219</v>
      </c>
    </row>
    <row r="221" spans="13:41" x14ac:dyDescent="0.2">
      <c r="M221">
        <f t="shared" si="47"/>
        <v>220</v>
      </c>
      <c r="AE221">
        <f t="shared" si="48"/>
        <v>220</v>
      </c>
    </row>
    <row r="222" spans="13:41" x14ac:dyDescent="0.2">
      <c r="M222">
        <f t="shared" si="47"/>
        <v>221</v>
      </c>
      <c r="N222" t="s">
        <v>2660</v>
      </c>
      <c r="O222" t="s">
        <v>2661</v>
      </c>
      <c r="P222" t="s">
        <v>2662</v>
      </c>
      <c r="Q222" t="s">
        <v>2663</v>
      </c>
      <c r="AE222">
        <f t="shared" si="48"/>
        <v>221</v>
      </c>
      <c r="AF222" t="s">
        <v>2664</v>
      </c>
      <c r="AG222" t="s">
        <v>2665</v>
      </c>
      <c r="AH222" t="s">
        <v>2666</v>
      </c>
      <c r="AI222" t="s">
        <v>2667</v>
      </c>
    </row>
    <row r="223" spans="13:41" x14ac:dyDescent="0.2">
      <c r="M223">
        <f t="shared" si="47"/>
        <v>222</v>
      </c>
      <c r="N223" t="s">
        <v>2668</v>
      </c>
      <c r="O223" t="s">
        <v>2669</v>
      </c>
      <c r="P223" t="s">
        <v>2670</v>
      </c>
      <c r="Q223" t="s">
        <v>2671</v>
      </c>
      <c r="AE223">
        <f t="shared" si="48"/>
        <v>222</v>
      </c>
      <c r="AF223" t="s">
        <v>2672</v>
      </c>
      <c r="AG223" t="s">
        <v>2673</v>
      </c>
      <c r="AH223" t="s">
        <v>2674</v>
      </c>
      <c r="AI223" t="s">
        <v>2675</v>
      </c>
    </row>
    <row r="224" spans="13:41" x14ac:dyDescent="0.2">
      <c r="M224">
        <f t="shared" si="47"/>
        <v>223</v>
      </c>
      <c r="N224" t="s">
        <v>2676</v>
      </c>
      <c r="O224" t="s">
        <v>2677</v>
      </c>
      <c r="P224" t="s">
        <v>2678</v>
      </c>
      <c r="Q224" t="s">
        <v>2679</v>
      </c>
      <c r="AE224">
        <f t="shared" si="48"/>
        <v>223</v>
      </c>
      <c r="AF224" t="s">
        <v>2680</v>
      </c>
      <c r="AG224" t="s">
        <v>2681</v>
      </c>
      <c r="AH224" t="s">
        <v>2682</v>
      </c>
      <c r="AI224" t="s">
        <v>2683</v>
      </c>
    </row>
    <row r="225" spans="13:35" x14ac:dyDescent="0.2">
      <c r="M225">
        <f t="shared" si="47"/>
        <v>224</v>
      </c>
      <c r="AE225">
        <f t="shared" si="48"/>
        <v>224</v>
      </c>
    </row>
    <row r="226" spans="13:35" x14ac:dyDescent="0.2">
      <c r="M226" s="390">
        <f t="shared" si="47"/>
        <v>225</v>
      </c>
      <c r="N226" s="390" t="s">
        <v>2684</v>
      </c>
      <c r="O226" s="390" t="s">
        <v>2948</v>
      </c>
      <c r="P226" s="390" t="s">
        <v>3066</v>
      </c>
      <c r="Q226" s="390" t="s">
        <v>3007</v>
      </c>
      <c r="AE226">
        <f t="shared" si="48"/>
        <v>225</v>
      </c>
    </row>
    <row r="227" spans="13:35" x14ac:dyDescent="0.2">
      <c r="M227" s="390">
        <f t="shared" ref="M227:M258" si="49">ROW()-1</f>
        <v>226</v>
      </c>
      <c r="N227" s="390" t="s">
        <v>2685</v>
      </c>
      <c r="O227" s="390" t="s">
        <v>2949</v>
      </c>
      <c r="P227" s="390" t="s">
        <v>3067</v>
      </c>
      <c r="Q227" s="390" t="s">
        <v>3008</v>
      </c>
      <c r="AE227">
        <f t="shared" si="48"/>
        <v>226</v>
      </c>
    </row>
    <row r="228" spans="13:35" x14ac:dyDescent="0.2">
      <c r="M228" s="390">
        <f t="shared" si="49"/>
        <v>227</v>
      </c>
      <c r="N228" s="390" t="s">
        <v>2686</v>
      </c>
      <c r="O228" s="390" t="s">
        <v>2950</v>
      </c>
      <c r="P228" s="390" t="s">
        <v>3068</v>
      </c>
      <c r="Q228" s="390" t="s">
        <v>3009</v>
      </c>
      <c r="AE228">
        <f t="shared" si="48"/>
        <v>227</v>
      </c>
    </row>
    <row r="229" spans="13:35" x14ac:dyDescent="0.2">
      <c r="M229" s="390">
        <f t="shared" si="49"/>
        <v>228</v>
      </c>
      <c r="N229" s="390" t="s">
        <v>2687</v>
      </c>
      <c r="O229" s="390" t="s">
        <v>2951</v>
      </c>
      <c r="P229" s="390" t="s">
        <v>2691</v>
      </c>
      <c r="Q229" s="390" t="s">
        <v>2692</v>
      </c>
      <c r="AE229">
        <f t="shared" si="48"/>
        <v>228</v>
      </c>
    </row>
    <row r="230" spans="13:35" x14ac:dyDescent="0.2">
      <c r="M230" s="390">
        <f t="shared" si="49"/>
        <v>229</v>
      </c>
      <c r="N230" s="390" t="s">
        <v>2688</v>
      </c>
      <c r="O230" s="390" t="s">
        <v>2952</v>
      </c>
      <c r="P230" s="390" t="s">
        <v>3069</v>
      </c>
      <c r="Q230" s="390" t="s">
        <v>3010</v>
      </c>
      <c r="AE230">
        <f t="shared" si="48"/>
        <v>229</v>
      </c>
    </row>
    <row r="231" spans="13:35" x14ac:dyDescent="0.2">
      <c r="M231" s="390">
        <f t="shared" si="49"/>
        <v>230</v>
      </c>
      <c r="N231" s="390" t="s">
        <v>2689</v>
      </c>
      <c r="O231" s="390" t="s">
        <v>2953</v>
      </c>
      <c r="P231" s="390" t="s">
        <v>3070</v>
      </c>
      <c r="Q231" s="390" t="s">
        <v>3011</v>
      </c>
      <c r="AE231">
        <f t="shared" si="48"/>
        <v>230</v>
      </c>
    </row>
    <row r="232" spans="13:35" x14ac:dyDescent="0.2">
      <c r="M232">
        <f t="shared" si="49"/>
        <v>231</v>
      </c>
      <c r="N232" t="s">
        <v>2687</v>
      </c>
      <c r="O232" t="s">
        <v>2690</v>
      </c>
      <c r="P232" t="s">
        <v>2691</v>
      </c>
      <c r="Q232" t="s">
        <v>2692</v>
      </c>
      <c r="AE232">
        <f t="shared" si="48"/>
        <v>231</v>
      </c>
      <c r="AF232" t="s">
        <v>2693</v>
      </c>
      <c r="AG232" t="s">
        <v>2694</v>
      </c>
      <c r="AH232" t="s">
        <v>2695</v>
      </c>
      <c r="AI232" t="s">
        <v>2696</v>
      </c>
    </row>
    <row r="233" spans="13:35" x14ac:dyDescent="0.2">
      <c r="M233">
        <f t="shared" si="49"/>
        <v>232</v>
      </c>
      <c r="N233" t="s">
        <v>2697</v>
      </c>
      <c r="O233" t="s">
        <v>2698</v>
      </c>
      <c r="P233" t="s">
        <v>2699</v>
      </c>
      <c r="Q233" t="s">
        <v>2700</v>
      </c>
      <c r="AE233">
        <f t="shared" si="48"/>
        <v>232</v>
      </c>
    </row>
    <row r="234" spans="13:35" x14ac:dyDescent="0.2">
      <c r="M234">
        <f t="shared" si="49"/>
        <v>233</v>
      </c>
      <c r="N234" t="s">
        <v>2701</v>
      </c>
      <c r="O234" t="s">
        <v>2702</v>
      </c>
      <c r="P234" t="s">
        <v>2703</v>
      </c>
      <c r="Q234" t="s">
        <v>2704</v>
      </c>
      <c r="AE234">
        <f t="shared" si="48"/>
        <v>233</v>
      </c>
    </row>
    <row r="235" spans="13:35" x14ac:dyDescent="0.2">
      <c r="M235">
        <f t="shared" si="49"/>
        <v>234</v>
      </c>
      <c r="N235" t="s">
        <v>2705</v>
      </c>
      <c r="O235" t="s">
        <v>2706</v>
      </c>
      <c r="P235" t="s">
        <v>2707</v>
      </c>
      <c r="Q235" t="s">
        <v>2708</v>
      </c>
      <c r="AE235">
        <f t="shared" si="48"/>
        <v>234</v>
      </c>
    </row>
    <row r="236" spans="13:35" x14ac:dyDescent="0.2">
      <c r="M236">
        <f t="shared" si="49"/>
        <v>235</v>
      </c>
      <c r="N236" t="s">
        <v>2709</v>
      </c>
      <c r="O236" t="s">
        <v>2710</v>
      </c>
      <c r="P236" t="s">
        <v>2711</v>
      </c>
      <c r="Q236" t="s">
        <v>2712</v>
      </c>
      <c r="AE236">
        <f t="shared" si="48"/>
        <v>235</v>
      </c>
    </row>
    <row r="237" spans="13:35" x14ac:dyDescent="0.2">
      <c r="M237" s="390">
        <f t="shared" si="49"/>
        <v>236</v>
      </c>
      <c r="N237" s="390" t="s">
        <v>2713</v>
      </c>
      <c r="O237" s="390" t="s">
        <v>2954</v>
      </c>
      <c r="P237" s="390" t="s">
        <v>3071</v>
      </c>
      <c r="Q237" s="390" t="s">
        <v>3012</v>
      </c>
      <c r="AE237">
        <f t="shared" si="48"/>
        <v>236</v>
      </c>
    </row>
    <row r="238" spans="13:35" x14ac:dyDescent="0.2">
      <c r="M238">
        <f t="shared" si="49"/>
        <v>237</v>
      </c>
      <c r="AE238">
        <f t="shared" si="48"/>
        <v>237</v>
      </c>
    </row>
    <row r="239" spans="13:35" x14ac:dyDescent="0.2">
      <c r="M239">
        <f t="shared" si="49"/>
        <v>238</v>
      </c>
      <c r="AE239">
        <f t="shared" si="48"/>
        <v>238</v>
      </c>
    </row>
    <row r="240" spans="13:35" x14ac:dyDescent="0.2">
      <c r="M240">
        <f t="shared" si="49"/>
        <v>239</v>
      </c>
      <c r="AE240">
        <f t="shared" ref="AE240:AE246" si="50">ROW()-1</f>
        <v>239</v>
      </c>
    </row>
    <row r="241" spans="13:35" x14ac:dyDescent="0.2">
      <c r="M241">
        <f t="shared" si="49"/>
        <v>240</v>
      </c>
      <c r="AE241">
        <f t="shared" si="50"/>
        <v>240</v>
      </c>
    </row>
    <row r="242" spans="13:35" x14ac:dyDescent="0.2">
      <c r="M242">
        <f t="shared" si="49"/>
        <v>241</v>
      </c>
      <c r="N242" s="25" t="s">
        <v>2714</v>
      </c>
      <c r="O242" t="s">
        <v>2715</v>
      </c>
      <c r="P242" s="25" t="s">
        <v>2716</v>
      </c>
      <c r="Q242" t="s">
        <v>2717</v>
      </c>
      <c r="AE242">
        <f t="shared" si="50"/>
        <v>241</v>
      </c>
      <c r="AF242" t="s">
        <v>2718</v>
      </c>
      <c r="AG242" t="s">
        <v>2719</v>
      </c>
      <c r="AH242" t="s">
        <v>2720</v>
      </c>
      <c r="AI242" t="s">
        <v>2721</v>
      </c>
    </row>
    <row r="243" spans="13:35" x14ac:dyDescent="0.2">
      <c r="M243">
        <f t="shared" si="49"/>
        <v>242</v>
      </c>
      <c r="N243" t="s">
        <v>2827</v>
      </c>
      <c r="O243" t="s">
        <v>2828</v>
      </c>
      <c r="P243" t="s">
        <v>2829</v>
      </c>
      <c r="Q243" t="s">
        <v>2830</v>
      </c>
      <c r="AE243">
        <f t="shared" si="50"/>
        <v>242</v>
      </c>
      <c r="AF243" s="25" t="s">
        <v>2722</v>
      </c>
      <c r="AG243" t="s">
        <v>2723</v>
      </c>
      <c r="AH243" s="25" t="s">
        <v>2724</v>
      </c>
      <c r="AI243" t="s">
        <v>2725</v>
      </c>
    </row>
    <row r="244" spans="13:35" x14ac:dyDescent="0.2">
      <c r="M244">
        <f t="shared" si="49"/>
        <v>243</v>
      </c>
      <c r="N244" t="s">
        <v>2831</v>
      </c>
      <c r="O244" t="s">
        <v>2832</v>
      </c>
      <c r="P244" t="s">
        <v>2833</v>
      </c>
      <c r="Q244" t="s">
        <v>2834</v>
      </c>
      <c r="AE244">
        <f t="shared" si="50"/>
        <v>243</v>
      </c>
    </row>
    <row r="245" spans="13:35" x14ac:dyDescent="0.2">
      <c r="M245">
        <f t="shared" si="49"/>
        <v>244</v>
      </c>
      <c r="N245" s="25" t="s">
        <v>2835</v>
      </c>
      <c r="O245" t="s">
        <v>2836</v>
      </c>
      <c r="P245" s="25" t="s">
        <v>2837</v>
      </c>
      <c r="Q245" t="s">
        <v>2838</v>
      </c>
      <c r="AE245">
        <f t="shared" si="50"/>
        <v>244</v>
      </c>
    </row>
    <row r="246" spans="13:35" x14ac:dyDescent="0.2">
      <c r="M246">
        <f t="shared" si="49"/>
        <v>245</v>
      </c>
      <c r="N246" t="s">
        <v>2839</v>
      </c>
      <c r="O246" t="s">
        <v>2840</v>
      </c>
      <c r="P246" t="s">
        <v>2841</v>
      </c>
      <c r="Q246" t="s">
        <v>2842</v>
      </c>
      <c r="AE246">
        <f t="shared" si="50"/>
        <v>245</v>
      </c>
    </row>
    <row r="247" spans="13:35" x14ac:dyDescent="0.2">
      <c r="M247">
        <f t="shared" si="49"/>
        <v>246</v>
      </c>
      <c r="N247" t="s">
        <v>2843</v>
      </c>
      <c r="O247" t="s">
        <v>2844</v>
      </c>
      <c r="P247" t="s">
        <v>2845</v>
      </c>
      <c r="Q247" t="s">
        <v>2846</v>
      </c>
      <c r="AE247">
        <f t="shared" ref="AE247:AE254" si="51">ROW()-1</f>
        <v>246</v>
      </c>
    </row>
    <row r="248" spans="13:35" x14ac:dyDescent="0.2">
      <c r="M248">
        <f t="shared" si="49"/>
        <v>247</v>
      </c>
      <c r="N248" t="s">
        <v>2847</v>
      </c>
      <c r="O248" t="s">
        <v>2848</v>
      </c>
      <c r="P248" t="s">
        <v>2849</v>
      </c>
      <c r="Q248" t="s">
        <v>2850</v>
      </c>
      <c r="AE248">
        <f t="shared" si="51"/>
        <v>247</v>
      </c>
    </row>
    <row r="249" spans="13:35" x14ac:dyDescent="0.2">
      <c r="M249">
        <f t="shared" si="49"/>
        <v>248</v>
      </c>
      <c r="N249" t="s">
        <v>2851</v>
      </c>
      <c r="O249" t="s">
        <v>2852</v>
      </c>
      <c r="P249" t="s">
        <v>2853</v>
      </c>
      <c r="Q249" t="s">
        <v>2854</v>
      </c>
      <c r="AE249">
        <f t="shared" si="51"/>
        <v>248</v>
      </c>
    </row>
    <row r="250" spans="13:35" x14ac:dyDescent="0.2">
      <c r="M250">
        <f t="shared" si="49"/>
        <v>249</v>
      </c>
      <c r="AE250">
        <f t="shared" si="51"/>
        <v>249</v>
      </c>
    </row>
    <row r="251" spans="13:35" x14ac:dyDescent="0.2">
      <c r="M251">
        <f t="shared" si="49"/>
        <v>250</v>
      </c>
      <c r="N251" s="390" t="s">
        <v>2826</v>
      </c>
      <c r="O251" s="390" t="s">
        <v>2955</v>
      </c>
      <c r="P251" s="390" t="s">
        <v>3073</v>
      </c>
      <c r="Q251" s="390" t="s">
        <v>3013</v>
      </c>
      <c r="AE251">
        <f t="shared" si="51"/>
        <v>250</v>
      </c>
    </row>
    <row r="252" spans="13:35" x14ac:dyDescent="0.2">
      <c r="M252">
        <f t="shared" si="49"/>
        <v>251</v>
      </c>
      <c r="N252" t="s">
        <v>2726</v>
      </c>
      <c r="O252" t="s">
        <v>2727</v>
      </c>
      <c r="P252" t="s">
        <v>2728</v>
      </c>
      <c r="Q252" t="s">
        <v>2729</v>
      </c>
      <c r="AE252">
        <f t="shared" si="51"/>
        <v>251</v>
      </c>
      <c r="AF252" t="s">
        <v>2730</v>
      </c>
      <c r="AG252" t="s">
        <v>2731</v>
      </c>
      <c r="AH252" t="s">
        <v>2732</v>
      </c>
      <c r="AI252" t="s">
        <v>2733</v>
      </c>
    </row>
    <row r="253" spans="13:35" x14ac:dyDescent="0.2">
      <c r="M253">
        <f t="shared" si="49"/>
        <v>252</v>
      </c>
      <c r="AE253">
        <f t="shared" si="51"/>
        <v>252</v>
      </c>
      <c r="AF253" t="s">
        <v>2734</v>
      </c>
      <c r="AG253" t="s">
        <v>2735</v>
      </c>
      <c r="AH253" t="s">
        <v>2736</v>
      </c>
      <c r="AI253" t="s">
        <v>2737</v>
      </c>
    </row>
    <row r="254" spans="13:35" x14ac:dyDescent="0.2">
      <c r="M254">
        <f t="shared" si="49"/>
        <v>253</v>
      </c>
      <c r="N254" s="25" t="s">
        <v>2738</v>
      </c>
      <c r="O254" s="25" t="s">
        <v>2739</v>
      </c>
      <c r="P254" s="25" t="s">
        <v>2740</v>
      </c>
      <c r="Q254" s="25" t="s">
        <v>2741</v>
      </c>
      <c r="AE254">
        <f t="shared" si="51"/>
        <v>253</v>
      </c>
      <c r="AF254" s="272"/>
    </row>
    <row r="255" spans="13:35" x14ac:dyDescent="0.2">
      <c r="M255">
        <f t="shared" si="49"/>
        <v>254</v>
      </c>
      <c r="N255" t="s">
        <v>2742</v>
      </c>
      <c r="O255" t="s">
        <v>2743</v>
      </c>
      <c r="P255" t="s">
        <v>2744</v>
      </c>
      <c r="Q255" t="s">
        <v>2745</v>
      </c>
    </row>
    <row r="256" spans="13:35" x14ac:dyDescent="0.2">
      <c r="M256">
        <f t="shared" si="49"/>
        <v>255</v>
      </c>
    </row>
    <row r="257" spans="13:17" x14ac:dyDescent="0.2">
      <c r="M257">
        <f t="shared" si="49"/>
        <v>256</v>
      </c>
    </row>
    <row r="258" spans="13:17" x14ac:dyDescent="0.2">
      <c r="M258">
        <f t="shared" si="49"/>
        <v>257</v>
      </c>
    </row>
    <row r="259" spans="13:17" x14ac:dyDescent="0.2">
      <c r="M259">
        <f t="shared" ref="M259:M308" si="52">ROW()-1</f>
        <v>258</v>
      </c>
    </row>
    <row r="260" spans="13:17" x14ac:dyDescent="0.2">
      <c r="M260">
        <f t="shared" si="52"/>
        <v>259</v>
      </c>
    </row>
    <row r="261" spans="13:17" x14ac:dyDescent="0.2">
      <c r="M261">
        <f t="shared" si="52"/>
        <v>260</v>
      </c>
    </row>
    <row r="262" spans="13:17" x14ac:dyDescent="0.2">
      <c r="M262">
        <f t="shared" si="52"/>
        <v>261</v>
      </c>
      <c r="N262" s="25" t="s">
        <v>2714</v>
      </c>
      <c r="O262" t="s">
        <v>2746</v>
      </c>
      <c r="P262" s="25" t="s">
        <v>2716</v>
      </c>
      <c r="Q262" t="s">
        <v>2717</v>
      </c>
    </row>
    <row r="263" spans="13:17" x14ac:dyDescent="0.2">
      <c r="M263">
        <f t="shared" si="52"/>
        <v>262</v>
      </c>
      <c r="N263" t="s">
        <v>2747</v>
      </c>
      <c r="O263" t="s">
        <v>2748</v>
      </c>
      <c r="P263" s="25" t="s">
        <v>2749</v>
      </c>
      <c r="Q263" t="s">
        <v>2750</v>
      </c>
    </row>
    <row r="264" spans="13:17" x14ac:dyDescent="0.2">
      <c r="M264">
        <f t="shared" si="52"/>
        <v>263</v>
      </c>
      <c r="N264" t="s">
        <v>2859</v>
      </c>
      <c r="O264" t="s">
        <v>2860</v>
      </c>
      <c r="P264" t="s">
        <v>2861</v>
      </c>
      <c r="Q264" t="s">
        <v>2862</v>
      </c>
    </row>
    <row r="265" spans="13:17" x14ac:dyDescent="0.2">
      <c r="M265">
        <f t="shared" si="52"/>
        <v>264</v>
      </c>
      <c r="N265" s="333" t="s">
        <v>2863</v>
      </c>
      <c r="O265" s="333" t="s">
        <v>2864</v>
      </c>
      <c r="P265" s="333" t="s">
        <v>2865</v>
      </c>
      <c r="Q265" s="333" t="s">
        <v>2866</v>
      </c>
    </row>
    <row r="266" spans="13:17" x14ac:dyDescent="0.2">
      <c r="M266">
        <f t="shared" si="52"/>
        <v>265</v>
      </c>
      <c r="N266" s="333" t="s">
        <v>2867</v>
      </c>
      <c r="O266" s="333" t="s">
        <v>2868</v>
      </c>
      <c r="P266" s="333" t="s">
        <v>2869</v>
      </c>
      <c r="Q266" s="333" t="s">
        <v>2870</v>
      </c>
    </row>
    <row r="267" spans="13:17" x14ac:dyDescent="0.2">
      <c r="M267">
        <f t="shared" si="52"/>
        <v>266</v>
      </c>
      <c r="N267" s="391" t="s">
        <v>2871</v>
      </c>
      <c r="O267" s="390" t="s">
        <v>2872</v>
      </c>
      <c r="P267" s="390" t="s">
        <v>3074</v>
      </c>
      <c r="Q267" s="390" t="s">
        <v>3014</v>
      </c>
    </row>
    <row r="268" spans="13:17" x14ac:dyDescent="0.2">
      <c r="M268">
        <f t="shared" ref="M268:M269" si="53">ROW()-1</f>
        <v>267</v>
      </c>
      <c r="N268" s="333" t="s">
        <v>2873</v>
      </c>
      <c r="O268" s="333" t="s">
        <v>2874</v>
      </c>
      <c r="P268" s="333" t="s">
        <v>2875</v>
      </c>
      <c r="Q268" s="333" t="s">
        <v>2876</v>
      </c>
    </row>
    <row r="269" spans="13:17" x14ac:dyDescent="0.2">
      <c r="M269">
        <f t="shared" si="53"/>
        <v>268</v>
      </c>
      <c r="N269" s="391" t="s">
        <v>2926</v>
      </c>
      <c r="O269" s="390" t="s">
        <v>2956</v>
      </c>
      <c r="P269" s="390" t="s">
        <v>3075</v>
      </c>
      <c r="Q269" s="390" t="s">
        <v>3015</v>
      </c>
    </row>
    <row r="270" spans="13:17" x14ac:dyDescent="0.2">
      <c r="M270">
        <f>ROW()-1</f>
        <v>269</v>
      </c>
      <c r="N270" s="391" t="s">
        <v>2934</v>
      </c>
      <c r="O270" s="390" t="s">
        <v>2957</v>
      </c>
      <c r="P270" s="390" t="s">
        <v>3076</v>
      </c>
      <c r="Q270" s="390" t="s">
        <v>3016</v>
      </c>
    </row>
    <row r="271" spans="13:17" x14ac:dyDescent="0.2">
      <c r="M271">
        <f t="shared" si="52"/>
        <v>270</v>
      </c>
      <c r="N271" s="333" t="s">
        <v>2877</v>
      </c>
      <c r="O271" s="333" t="s">
        <v>2878</v>
      </c>
      <c r="P271" s="333" t="s">
        <v>2879</v>
      </c>
      <c r="Q271" s="333" t="s">
        <v>2880</v>
      </c>
    </row>
    <row r="272" spans="13:17" x14ac:dyDescent="0.2">
      <c r="M272">
        <f t="shared" si="52"/>
        <v>271</v>
      </c>
      <c r="N272" s="333" t="s">
        <v>2881</v>
      </c>
      <c r="O272" s="333" t="s">
        <v>2882</v>
      </c>
      <c r="P272" s="333" t="s">
        <v>2883</v>
      </c>
      <c r="Q272" s="333" t="s">
        <v>2884</v>
      </c>
    </row>
    <row r="273" spans="13:17" x14ac:dyDescent="0.2">
      <c r="M273">
        <f t="shared" si="52"/>
        <v>272</v>
      </c>
      <c r="N273" s="332" t="s">
        <v>2885</v>
      </c>
      <c r="O273" s="332" t="s">
        <v>2885</v>
      </c>
      <c r="P273" s="332" t="s">
        <v>2885</v>
      </c>
      <c r="Q273" s="332" t="s">
        <v>2885</v>
      </c>
    </row>
    <row r="274" spans="13:17" x14ac:dyDescent="0.2">
      <c r="M274">
        <f t="shared" ref="M274:M275" si="54">ROW()-1</f>
        <v>273</v>
      </c>
      <c r="N274" s="332" t="s">
        <v>2886</v>
      </c>
      <c r="O274" s="332" t="s">
        <v>2886</v>
      </c>
      <c r="P274" s="332" t="s">
        <v>2886</v>
      </c>
      <c r="Q274" s="332" t="s">
        <v>2886</v>
      </c>
    </row>
    <row r="275" spans="13:17" x14ac:dyDescent="0.2">
      <c r="M275">
        <f t="shared" si="54"/>
        <v>274</v>
      </c>
      <c r="N275" s="332" t="s">
        <v>2887</v>
      </c>
      <c r="O275" s="332" t="s">
        <v>2887</v>
      </c>
      <c r="P275" s="332" t="s">
        <v>2887</v>
      </c>
      <c r="Q275" s="332" t="s">
        <v>2887</v>
      </c>
    </row>
    <row r="276" spans="13:17" x14ac:dyDescent="0.2">
      <c r="M276">
        <f t="shared" ref="M276:M287" si="55">ROW()-1</f>
        <v>275</v>
      </c>
      <c r="N276" s="333" t="s">
        <v>2888</v>
      </c>
      <c r="O276" s="333" t="s">
        <v>2889</v>
      </c>
      <c r="P276" s="333" t="s">
        <v>2890</v>
      </c>
      <c r="Q276" s="333" t="s">
        <v>2891</v>
      </c>
    </row>
    <row r="277" spans="13:17" x14ac:dyDescent="0.2">
      <c r="M277">
        <f t="shared" si="55"/>
        <v>276</v>
      </c>
      <c r="N277" s="391" t="s">
        <v>2892</v>
      </c>
      <c r="O277" s="390" t="s">
        <v>2893</v>
      </c>
      <c r="P277" s="390" t="s">
        <v>3077</v>
      </c>
      <c r="Q277" s="390" t="s">
        <v>2894</v>
      </c>
    </row>
    <row r="278" spans="13:17" x14ac:dyDescent="0.2">
      <c r="M278">
        <f t="shared" si="55"/>
        <v>277</v>
      </c>
      <c r="N278" s="391" t="s">
        <v>2895</v>
      </c>
      <c r="O278" s="390" t="s">
        <v>2958</v>
      </c>
      <c r="P278" s="390" t="s">
        <v>3078</v>
      </c>
      <c r="Q278" s="390" t="s">
        <v>3017</v>
      </c>
    </row>
    <row r="279" spans="13:17" x14ac:dyDescent="0.2">
      <c r="M279">
        <f t="shared" si="55"/>
        <v>278</v>
      </c>
      <c r="N279" s="332" t="s">
        <v>2896</v>
      </c>
      <c r="O279" s="333" t="s">
        <v>2903</v>
      </c>
      <c r="P279" s="332" t="s">
        <v>2908</v>
      </c>
      <c r="Q279" s="333" t="s">
        <v>2909</v>
      </c>
    </row>
    <row r="280" spans="13:17" x14ac:dyDescent="0.2">
      <c r="M280">
        <f t="shared" si="55"/>
        <v>279</v>
      </c>
      <c r="N280" s="332" t="s">
        <v>2897</v>
      </c>
      <c r="O280" s="333" t="s">
        <v>2904</v>
      </c>
      <c r="P280" s="332" t="s">
        <v>2910</v>
      </c>
      <c r="Q280" s="333" t="s">
        <v>2911</v>
      </c>
    </row>
    <row r="281" spans="13:17" x14ac:dyDescent="0.2">
      <c r="M281">
        <f t="shared" si="55"/>
        <v>280</v>
      </c>
      <c r="N281" s="391" t="s">
        <v>2898</v>
      </c>
      <c r="O281" s="390" t="s">
        <v>2959</v>
      </c>
      <c r="P281" s="390" t="s">
        <v>3079</v>
      </c>
      <c r="Q281" s="390" t="s">
        <v>3018</v>
      </c>
    </row>
    <row r="282" spans="13:17" x14ac:dyDescent="0.2">
      <c r="M282">
        <f t="shared" si="55"/>
        <v>281</v>
      </c>
      <c r="N282" s="391" t="s">
        <v>2899</v>
      </c>
      <c r="O282" s="391" t="s">
        <v>2905</v>
      </c>
      <c r="P282" s="390" t="s">
        <v>3080</v>
      </c>
      <c r="Q282" s="390" t="s">
        <v>3019</v>
      </c>
    </row>
    <row r="283" spans="13:17" x14ac:dyDescent="0.2">
      <c r="M283">
        <f t="shared" si="55"/>
        <v>282</v>
      </c>
      <c r="N283" s="333" t="s">
        <v>2900</v>
      </c>
      <c r="O283" s="333" t="s">
        <v>2906</v>
      </c>
      <c r="P283" s="391" t="s">
        <v>2912</v>
      </c>
      <c r="Q283" s="333" t="s">
        <v>2913</v>
      </c>
    </row>
    <row r="284" spans="13:17" x14ac:dyDescent="0.2">
      <c r="M284">
        <f t="shared" si="55"/>
        <v>283</v>
      </c>
      <c r="N284" s="333" t="s">
        <v>2901</v>
      </c>
      <c r="O284" s="333" t="s">
        <v>2907</v>
      </c>
      <c r="P284" s="332" t="s">
        <v>2914</v>
      </c>
      <c r="Q284" s="333" t="s">
        <v>2915</v>
      </c>
    </row>
    <row r="285" spans="13:17" x14ac:dyDescent="0.2">
      <c r="M285">
        <f t="shared" si="55"/>
        <v>284</v>
      </c>
      <c r="N285" s="391" t="s">
        <v>2902</v>
      </c>
      <c r="O285" s="390" t="s">
        <v>2960</v>
      </c>
      <c r="P285" s="390" t="s">
        <v>3081</v>
      </c>
      <c r="Q285" s="390" t="s">
        <v>3020</v>
      </c>
    </row>
    <row r="286" spans="13:17" x14ac:dyDescent="0.2">
      <c r="M286">
        <f t="shared" si="55"/>
        <v>285</v>
      </c>
      <c r="N286" s="391" t="s">
        <v>2928</v>
      </c>
      <c r="O286" s="390" t="s">
        <v>2961</v>
      </c>
      <c r="P286" s="390" t="s">
        <v>3082</v>
      </c>
      <c r="Q286" s="390" t="s">
        <v>3021</v>
      </c>
    </row>
    <row r="287" spans="13:17" x14ac:dyDescent="0.2">
      <c r="M287">
        <f t="shared" si="55"/>
        <v>286</v>
      </c>
      <c r="N287" s="333" t="s">
        <v>2936</v>
      </c>
      <c r="O287" s="333" t="s">
        <v>3144</v>
      </c>
      <c r="P287" s="333" t="s">
        <v>3131</v>
      </c>
      <c r="Q287" s="333" t="s">
        <v>3152</v>
      </c>
    </row>
    <row r="288" spans="13:17" x14ac:dyDescent="0.2">
      <c r="M288">
        <f t="shared" si="52"/>
        <v>287</v>
      </c>
      <c r="N288" s="333" t="s">
        <v>2935</v>
      </c>
      <c r="O288" s="333" t="s">
        <v>3145</v>
      </c>
      <c r="P288" s="333" t="s">
        <v>3132</v>
      </c>
      <c r="Q288" s="333" t="s">
        <v>3153</v>
      </c>
    </row>
    <row r="289" spans="13:17" x14ac:dyDescent="0.2">
      <c r="M289">
        <f>ROW()-1</f>
        <v>288</v>
      </c>
      <c r="N289" s="333" t="s">
        <v>2937</v>
      </c>
      <c r="O289" s="333" t="s">
        <v>3146</v>
      </c>
      <c r="P289" s="333" t="s">
        <v>3133</v>
      </c>
      <c r="Q289" s="333" t="s">
        <v>3154</v>
      </c>
    </row>
    <row r="290" spans="13:17" x14ac:dyDescent="0.2">
      <c r="M290">
        <f t="shared" si="52"/>
        <v>289</v>
      </c>
      <c r="N290" t="s">
        <v>2072</v>
      </c>
      <c r="O290" t="s">
        <v>2073</v>
      </c>
      <c r="P290" t="s">
        <v>2751</v>
      </c>
      <c r="Q290" t="s">
        <v>2075</v>
      </c>
    </row>
    <row r="291" spans="13:17" x14ac:dyDescent="0.2">
      <c r="M291">
        <f t="shared" si="52"/>
        <v>290</v>
      </c>
      <c r="N291" t="s">
        <v>2611</v>
      </c>
      <c r="O291" t="s">
        <v>2612</v>
      </c>
      <c r="P291" t="s">
        <v>2613</v>
      </c>
      <c r="Q291" t="s">
        <v>2614</v>
      </c>
    </row>
    <row r="292" spans="13:17" x14ac:dyDescent="0.2">
      <c r="M292">
        <f t="shared" si="52"/>
        <v>291</v>
      </c>
      <c r="N292" t="s">
        <v>2619</v>
      </c>
      <c r="O292" t="s">
        <v>2620</v>
      </c>
      <c r="P292" t="s">
        <v>2752</v>
      </c>
      <c r="Q292" t="s">
        <v>2753</v>
      </c>
    </row>
    <row r="293" spans="13:17" x14ac:dyDescent="0.2">
      <c r="M293">
        <f t="shared" si="52"/>
        <v>292</v>
      </c>
      <c r="N293" s="25" t="s">
        <v>2754</v>
      </c>
      <c r="O293" t="s">
        <v>2755</v>
      </c>
      <c r="P293" s="25" t="s">
        <v>2756</v>
      </c>
      <c r="Q293" t="s">
        <v>2757</v>
      </c>
    </row>
    <row r="294" spans="13:17" x14ac:dyDescent="0.2">
      <c r="M294">
        <f t="shared" si="52"/>
        <v>293</v>
      </c>
      <c r="N294" s="333" t="s">
        <v>2940</v>
      </c>
      <c r="O294" s="333" t="s">
        <v>3147</v>
      </c>
      <c r="P294" s="333" t="s">
        <v>3134</v>
      </c>
      <c r="Q294" s="333" t="s">
        <v>3155</v>
      </c>
    </row>
    <row r="295" spans="13:17" x14ac:dyDescent="0.2">
      <c r="M295">
        <f t="shared" si="52"/>
        <v>294</v>
      </c>
      <c r="N295" t="s">
        <v>2758</v>
      </c>
      <c r="O295" t="s">
        <v>2759</v>
      </c>
      <c r="P295" s="25" t="s">
        <v>2760</v>
      </c>
      <c r="Q295" t="s">
        <v>2761</v>
      </c>
    </row>
    <row r="296" spans="13:17" x14ac:dyDescent="0.2">
      <c r="M296">
        <f t="shared" si="52"/>
        <v>295</v>
      </c>
    </row>
    <row r="297" spans="13:17" x14ac:dyDescent="0.2">
      <c r="M297">
        <f t="shared" ref="M297:M301" si="56">ROW()-1</f>
        <v>296</v>
      </c>
    </row>
    <row r="298" spans="13:17" x14ac:dyDescent="0.2">
      <c r="M298">
        <f t="shared" si="56"/>
        <v>297</v>
      </c>
      <c r="N298" s="391" t="s">
        <v>3128</v>
      </c>
      <c r="O298" s="391" t="s">
        <v>3161</v>
      </c>
      <c r="P298" s="391" t="s">
        <v>3162</v>
      </c>
      <c r="Q298" s="390" t="s">
        <v>3160</v>
      </c>
    </row>
    <row r="299" spans="13:17" x14ac:dyDescent="0.2">
      <c r="M299">
        <f t="shared" si="56"/>
        <v>298</v>
      </c>
    </row>
    <row r="300" spans="13:17" x14ac:dyDescent="0.2">
      <c r="M300">
        <f t="shared" si="56"/>
        <v>299</v>
      </c>
      <c r="N300" t="s">
        <v>2072</v>
      </c>
      <c r="O300" t="s">
        <v>2073</v>
      </c>
      <c r="P300" t="s">
        <v>2751</v>
      </c>
      <c r="Q300" t="s">
        <v>2075</v>
      </c>
    </row>
    <row r="301" spans="13:17" x14ac:dyDescent="0.2">
      <c r="M301">
        <f t="shared" si="56"/>
        <v>300</v>
      </c>
      <c r="N301" t="s">
        <v>2611</v>
      </c>
      <c r="O301" t="s">
        <v>2612</v>
      </c>
      <c r="P301" t="s">
        <v>2613</v>
      </c>
      <c r="Q301" t="s">
        <v>2614</v>
      </c>
    </row>
    <row r="302" spans="13:17" x14ac:dyDescent="0.2">
      <c r="M302">
        <f t="shared" ref="M302:M306" si="57">ROW()-1</f>
        <v>301</v>
      </c>
      <c r="N302" t="s">
        <v>2619</v>
      </c>
      <c r="O302" t="s">
        <v>2620</v>
      </c>
      <c r="P302" t="s">
        <v>2752</v>
      </c>
      <c r="Q302" t="s">
        <v>2753</v>
      </c>
    </row>
    <row r="303" spans="13:17" x14ac:dyDescent="0.2">
      <c r="M303">
        <f t="shared" si="57"/>
        <v>302</v>
      </c>
    </row>
    <row r="304" spans="13:17" x14ac:dyDescent="0.2">
      <c r="M304">
        <f t="shared" si="57"/>
        <v>303</v>
      </c>
    </row>
    <row r="305" spans="13:17" x14ac:dyDescent="0.2">
      <c r="M305">
        <f t="shared" si="57"/>
        <v>304</v>
      </c>
    </row>
    <row r="306" spans="13:17" x14ac:dyDescent="0.2">
      <c r="M306">
        <f t="shared" si="57"/>
        <v>305</v>
      </c>
    </row>
    <row r="307" spans="13:17" x14ac:dyDescent="0.2">
      <c r="M307">
        <f t="shared" si="52"/>
        <v>306</v>
      </c>
    </row>
    <row r="308" spans="13:17" x14ac:dyDescent="0.2">
      <c r="M308">
        <f t="shared" si="52"/>
        <v>307</v>
      </c>
    </row>
    <row r="309" spans="13:17" x14ac:dyDescent="0.2">
      <c r="M309">
        <f t="shared" ref="M309:M322" si="58">ROW()-1</f>
        <v>308</v>
      </c>
    </row>
    <row r="310" spans="13:17" x14ac:dyDescent="0.2">
      <c r="M310">
        <f t="shared" si="58"/>
        <v>309</v>
      </c>
      <c r="N310" t="s">
        <v>2072</v>
      </c>
      <c r="O310" t="s">
        <v>2073</v>
      </c>
      <c r="P310" t="s">
        <v>2751</v>
      </c>
      <c r="Q310" t="s">
        <v>2075</v>
      </c>
    </row>
    <row r="311" spans="13:17" x14ac:dyDescent="0.2">
      <c r="M311">
        <f t="shared" si="58"/>
        <v>310</v>
      </c>
      <c r="N311" s="390" t="s">
        <v>2106</v>
      </c>
      <c r="O311" s="390" t="s">
        <v>3001</v>
      </c>
      <c r="P311" s="390" t="s">
        <v>3083</v>
      </c>
      <c r="Q311" s="390" t="s">
        <v>3022</v>
      </c>
    </row>
    <row r="312" spans="13:17" x14ac:dyDescent="0.2">
      <c r="M312">
        <f t="shared" si="58"/>
        <v>311</v>
      </c>
      <c r="N312" t="s">
        <v>2619</v>
      </c>
      <c r="O312" t="s">
        <v>2620</v>
      </c>
      <c r="P312" t="s">
        <v>2752</v>
      </c>
      <c r="Q312" t="s">
        <v>2753</v>
      </c>
    </row>
    <row r="313" spans="13:17" x14ac:dyDescent="0.2">
      <c r="M313">
        <f t="shared" si="58"/>
        <v>312</v>
      </c>
      <c r="N313" t="s">
        <v>2762</v>
      </c>
      <c r="O313" t="s">
        <v>2763</v>
      </c>
      <c r="P313" t="s">
        <v>2764</v>
      </c>
      <c r="Q313" t="s">
        <v>2765</v>
      </c>
    </row>
    <row r="314" spans="13:17" x14ac:dyDescent="0.2">
      <c r="M314">
        <f t="shared" si="58"/>
        <v>313</v>
      </c>
    </row>
    <row r="315" spans="13:17" x14ac:dyDescent="0.2">
      <c r="M315">
        <f t="shared" si="58"/>
        <v>314</v>
      </c>
    </row>
    <row r="316" spans="13:17" x14ac:dyDescent="0.2">
      <c r="M316">
        <f t="shared" si="58"/>
        <v>315</v>
      </c>
    </row>
    <row r="317" spans="13:17" x14ac:dyDescent="0.2">
      <c r="M317">
        <f t="shared" si="58"/>
        <v>316</v>
      </c>
    </row>
    <row r="318" spans="13:17" x14ac:dyDescent="0.2">
      <c r="M318">
        <f t="shared" si="58"/>
        <v>317</v>
      </c>
    </row>
    <row r="319" spans="13:17" x14ac:dyDescent="0.2">
      <c r="M319">
        <f t="shared" si="58"/>
        <v>318</v>
      </c>
    </row>
    <row r="320" spans="13:17" x14ac:dyDescent="0.2">
      <c r="M320">
        <f t="shared" si="58"/>
        <v>319</v>
      </c>
      <c r="N320" t="s">
        <v>2072</v>
      </c>
      <c r="O320" t="s">
        <v>2073</v>
      </c>
      <c r="P320" t="s">
        <v>2751</v>
      </c>
      <c r="Q320" t="s">
        <v>2075</v>
      </c>
    </row>
    <row r="321" spans="13:17" x14ac:dyDescent="0.2">
      <c r="M321">
        <f t="shared" si="58"/>
        <v>320</v>
      </c>
      <c r="N321" t="s">
        <v>2107</v>
      </c>
      <c r="O321" t="s">
        <v>2108</v>
      </c>
      <c r="P321" t="s">
        <v>2109</v>
      </c>
      <c r="Q321" t="s">
        <v>2110</v>
      </c>
    </row>
    <row r="322" spans="13:17" x14ac:dyDescent="0.2">
      <c r="M322">
        <f t="shared" si="58"/>
        <v>321</v>
      </c>
      <c r="N322" t="s">
        <v>2766</v>
      </c>
      <c r="O322" t="s">
        <v>2131</v>
      </c>
      <c r="P322" t="s">
        <v>2767</v>
      </c>
      <c r="Q322" t="s">
        <v>2768</v>
      </c>
    </row>
    <row r="323" spans="13:17" x14ac:dyDescent="0.2">
      <c r="M323">
        <f t="shared" ref="M323:M335" si="59">ROW()-1</f>
        <v>322</v>
      </c>
      <c r="N323" s="306" t="s">
        <v>2769</v>
      </c>
      <c r="O323" s="306" t="s">
        <v>2755</v>
      </c>
      <c r="P323" s="308" t="s">
        <v>2756</v>
      </c>
      <c r="Q323" s="307" t="s">
        <v>2757</v>
      </c>
    </row>
    <row r="324" spans="13:17" x14ac:dyDescent="0.2">
      <c r="M324">
        <f t="shared" si="59"/>
        <v>323</v>
      </c>
      <c r="N324" s="333" t="s">
        <v>2939</v>
      </c>
      <c r="O324" s="333" t="s">
        <v>3148</v>
      </c>
      <c r="P324" s="333" t="s">
        <v>3135</v>
      </c>
      <c r="Q324" s="333" t="s">
        <v>3156</v>
      </c>
    </row>
    <row r="325" spans="13:17" x14ac:dyDescent="0.2">
      <c r="M325">
        <f t="shared" si="59"/>
        <v>324</v>
      </c>
      <c r="N325" s="306" t="s">
        <v>2770</v>
      </c>
      <c r="O325" s="306" t="s">
        <v>2771</v>
      </c>
      <c r="P325" s="306" t="s">
        <v>2772</v>
      </c>
      <c r="Q325" s="307" t="s">
        <v>2773</v>
      </c>
    </row>
    <row r="326" spans="13:17" x14ac:dyDescent="0.2">
      <c r="M326">
        <f t="shared" si="59"/>
        <v>325</v>
      </c>
      <c r="N326" t="s">
        <v>2774</v>
      </c>
      <c r="O326" t="s">
        <v>2775</v>
      </c>
      <c r="P326" t="s">
        <v>2776</v>
      </c>
      <c r="Q326" t="s">
        <v>2777</v>
      </c>
    </row>
    <row r="327" spans="13:17" x14ac:dyDescent="0.2">
      <c r="M327">
        <f t="shared" si="59"/>
        <v>326</v>
      </c>
      <c r="N327" s="306" t="s">
        <v>2778</v>
      </c>
      <c r="O327" s="306" t="s">
        <v>2779</v>
      </c>
      <c r="P327" s="306" t="s">
        <v>2780</v>
      </c>
      <c r="Q327" s="307" t="s">
        <v>2781</v>
      </c>
    </row>
    <row r="328" spans="13:17" x14ac:dyDescent="0.2">
      <c r="M328">
        <f t="shared" si="59"/>
        <v>327</v>
      </c>
      <c r="N328" s="390" t="s">
        <v>2782</v>
      </c>
      <c r="O328" s="390" t="s">
        <v>2962</v>
      </c>
      <c r="P328" s="390" t="s">
        <v>3084</v>
      </c>
      <c r="Q328" s="390" t="s">
        <v>3023</v>
      </c>
    </row>
    <row r="329" spans="13:17" x14ac:dyDescent="0.2">
      <c r="M329">
        <f t="shared" si="59"/>
        <v>328</v>
      </c>
    </row>
    <row r="330" spans="13:17" x14ac:dyDescent="0.2">
      <c r="M330">
        <f t="shared" si="59"/>
        <v>329</v>
      </c>
      <c r="N330" t="s">
        <v>2783</v>
      </c>
      <c r="O330" t="s">
        <v>2784</v>
      </c>
      <c r="P330" t="s">
        <v>2785</v>
      </c>
      <c r="Q330" t="s">
        <v>2786</v>
      </c>
    </row>
    <row r="331" spans="13:17" x14ac:dyDescent="0.2">
      <c r="M331">
        <f t="shared" si="59"/>
        <v>330</v>
      </c>
      <c r="N331" t="s">
        <v>2787</v>
      </c>
      <c r="O331" t="s">
        <v>2788</v>
      </c>
      <c r="P331" t="s">
        <v>2789</v>
      </c>
      <c r="Q331" t="s">
        <v>2790</v>
      </c>
    </row>
    <row r="332" spans="13:17" x14ac:dyDescent="0.2">
      <c r="M332">
        <f t="shared" si="59"/>
        <v>331</v>
      </c>
    </row>
    <row r="333" spans="13:17" x14ac:dyDescent="0.2">
      <c r="M333">
        <f t="shared" si="59"/>
        <v>332</v>
      </c>
    </row>
    <row r="334" spans="13:17" x14ac:dyDescent="0.2">
      <c r="M334">
        <f t="shared" si="59"/>
        <v>333</v>
      </c>
      <c r="P334">
        <v>8</v>
      </c>
    </row>
    <row r="335" spans="13:17" x14ac:dyDescent="0.2">
      <c r="M335">
        <f t="shared" si="59"/>
        <v>334</v>
      </c>
    </row>
    <row r="336" spans="13:17" x14ac:dyDescent="0.2">
      <c r="M336">
        <f t="shared" ref="M336:M341" si="60">ROW()-1</f>
        <v>335</v>
      </c>
    </row>
    <row r="337" spans="13:17" x14ac:dyDescent="0.2">
      <c r="M337">
        <f t="shared" si="60"/>
        <v>336</v>
      </c>
    </row>
    <row r="338" spans="13:17" x14ac:dyDescent="0.2">
      <c r="M338">
        <f t="shared" si="60"/>
        <v>337</v>
      </c>
    </row>
    <row r="339" spans="13:17" x14ac:dyDescent="0.2">
      <c r="M339">
        <f t="shared" si="60"/>
        <v>338</v>
      </c>
    </row>
    <row r="340" spans="13:17" x14ac:dyDescent="0.2">
      <c r="M340">
        <f t="shared" si="60"/>
        <v>339</v>
      </c>
      <c r="N340" t="s">
        <v>2791</v>
      </c>
      <c r="O340" t="s">
        <v>2792</v>
      </c>
      <c r="P340" t="s">
        <v>2793</v>
      </c>
      <c r="Q340" t="s">
        <v>2794</v>
      </c>
    </row>
    <row r="341" spans="13:17" x14ac:dyDescent="0.2">
      <c r="M341">
        <f t="shared" si="60"/>
        <v>340</v>
      </c>
      <c r="N341" t="s">
        <v>2795</v>
      </c>
      <c r="O341" t="s">
        <v>2796</v>
      </c>
      <c r="P341" t="s">
        <v>2797</v>
      </c>
      <c r="Q341" t="s">
        <v>2798</v>
      </c>
    </row>
    <row r="342" spans="13:17" x14ac:dyDescent="0.2">
      <c r="M342">
        <f t="shared" ref="M342:M348" si="61">ROW()-1</f>
        <v>341</v>
      </c>
      <c r="N342" t="s">
        <v>2799</v>
      </c>
      <c r="O342" t="s">
        <v>2800</v>
      </c>
      <c r="P342" t="s">
        <v>2801</v>
      </c>
      <c r="Q342" t="s">
        <v>2802</v>
      </c>
    </row>
    <row r="343" spans="13:17" x14ac:dyDescent="0.2">
      <c r="M343">
        <f t="shared" si="61"/>
        <v>342</v>
      </c>
      <c r="N343" t="s">
        <v>2803</v>
      </c>
      <c r="O343" t="s">
        <v>2804</v>
      </c>
      <c r="P343" t="s">
        <v>2805</v>
      </c>
      <c r="Q343" t="s">
        <v>2806</v>
      </c>
    </row>
    <row r="344" spans="13:17" x14ac:dyDescent="0.2">
      <c r="M344">
        <f>ROW()-1</f>
        <v>343</v>
      </c>
      <c r="N344" t="s">
        <v>2807</v>
      </c>
      <c r="O344" t="s">
        <v>2808</v>
      </c>
      <c r="P344" t="s">
        <v>2809</v>
      </c>
      <c r="Q344" t="s">
        <v>2810</v>
      </c>
    </row>
    <row r="345" spans="13:17" x14ac:dyDescent="0.2">
      <c r="M345">
        <f>ROW()-1</f>
        <v>344</v>
      </c>
      <c r="N345" t="s">
        <v>2811</v>
      </c>
      <c r="O345" t="s">
        <v>2812</v>
      </c>
      <c r="P345" s="25" t="s">
        <v>2813</v>
      </c>
      <c r="Q345" t="s">
        <v>2814</v>
      </c>
    </row>
    <row r="346" spans="13:17" x14ac:dyDescent="0.2">
      <c r="M346">
        <f t="shared" si="61"/>
        <v>345</v>
      </c>
      <c r="N346" t="s">
        <v>2815</v>
      </c>
      <c r="O346" t="s">
        <v>2816</v>
      </c>
      <c r="P346" s="25" t="s">
        <v>2817</v>
      </c>
      <c r="Q346" t="s">
        <v>2818</v>
      </c>
    </row>
    <row r="347" spans="13:17" x14ac:dyDescent="0.2">
      <c r="M347">
        <f t="shared" si="61"/>
        <v>346</v>
      </c>
      <c r="N347" t="s">
        <v>2819</v>
      </c>
      <c r="O347" t="s">
        <v>2820</v>
      </c>
      <c r="P347" s="25" t="s">
        <v>2821</v>
      </c>
      <c r="Q347" t="s">
        <v>2822</v>
      </c>
    </row>
    <row r="348" spans="13:17" x14ac:dyDescent="0.2">
      <c r="M348">
        <f t="shared" si="61"/>
        <v>347</v>
      </c>
      <c r="N348" s="391" t="s">
        <v>2942</v>
      </c>
      <c r="O348" s="333" t="s">
        <v>3149</v>
      </c>
      <c r="P348" s="391" t="s">
        <v>3129</v>
      </c>
      <c r="Q348" s="333" t="s">
        <v>3157</v>
      </c>
    </row>
    <row r="349" spans="13:17" x14ac:dyDescent="0.2">
      <c r="M349">
        <f t="shared" ref="M349:M355" si="62">ROW()-1</f>
        <v>348</v>
      </c>
    </row>
    <row r="350" spans="13:17" x14ac:dyDescent="0.2">
      <c r="M350">
        <f t="shared" si="62"/>
        <v>349</v>
      </c>
    </row>
    <row r="351" spans="13:17" x14ac:dyDescent="0.2">
      <c r="M351">
        <f t="shared" si="62"/>
        <v>350</v>
      </c>
    </row>
    <row r="352" spans="13:17" x14ac:dyDescent="0.2">
      <c r="M352">
        <f t="shared" si="62"/>
        <v>351</v>
      </c>
    </row>
    <row r="353" spans="13:14" x14ac:dyDescent="0.2">
      <c r="M353">
        <f t="shared" si="62"/>
        <v>352</v>
      </c>
      <c r="N353" t="s">
        <v>201</v>
      </c>
    </row>
    <row r="354" spans="13:14" x14ac:dyDescent="0.2">
      <c r="M354">
        <f t="shared" si="62"/>
        <v>353</v>
      </c>
    </row>
    <row r="355" spans="13:14" x14ac:dyDescent="0.2">
      <c r="M355">
        <f t="shared" si="62"/>
        <v>354</v>
      </c>
    </row>
  </sheetData>
  <sheetProtection algorithmName="SHA-512" hashValue="4EO32g1MxUqyFMC+Hn0eb3M7ScMprTPXnC26zMRCTnT+7fi0rdgPfj7ZFLS2wAsXE7Y5syD/aZeaoJX6Y+ikAA==" saltValue="JYFWB2yd9NDehif7Ic3DCQ==" spinCount="100000" sheet="1" objects="1" scenarios="1"/>
  <dataValidations disablePrompts="1" count="1">
    <dataValidation allowBlank="1" showInputMessage="1" showErrorMessage="1" sqref="F2" xr:uid="{00000000-0002-0000-0C00-000000000000}"/>
  </dataValidations>
  <pageMargins left="0.7" right="0.7" top="0.78740157499999996" bottom="0.78740157499999996" header="0.3" footer="0.3"/>
  <pageSetup paperSize="9" orientation="portrait" r:id="rId1"/>
  <tableParts count="12">
    <tablePart r:id="rId2"/>
    <tablePart r:id="rId3"/>
    <tablePart r:id="rId4"/>
    <tablePart r:id="rId5"/>
    <tablePart r:id="rId6"/>
    <tablePart r:id="rId7"/>
    <tablePart r:id="rId8"/>
    <tablePart r:id="rId9"/>
    <tablePart r:id="rId10"/>
    <tablePart r:id="rId11"/>
    <tablePart r:id="rId12"/>
    <tablePart r:id="rId13"/>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Tabelle5">
    <tabColor theme="3"/>
  </sheetPr>
  <dimension ref="A1:D5"/>
  <sheetViews>
    <sheetView showRowColHeaders="0" workbookViewId="0">
      <selection activeCell="C36" sqref="C36"/>
    </sheetView>
  </sheetViews>
  <sheetFormatPr baseColWidth="10" defaultColWidth="11.42578125" defaultRowHeight="12.75" x14ac:dyDescent="0.2"/>
  <cols>
    <col min="2" max="2" width="11.85546875" customWidth="1"/>
    <col min="4" max="4" width="18.5703125" customWidth="1"/>
  </cols>
  <sheetData>
    <row r="1" spans="1:4" x14ac:dyDescent="0.2">
      <c r="A1" t="s">
        <v>2823</v>
      </c>
      <c r="B1" t="s">
        <v>2824</v>
      </c>
      <c r="D1" t="s">
        <v>2825</v>
      </c>
    </row>
    <row r="2" spans="1:4" x14ac:dyDescent="0.2">
      <c r="A2" t="s">
        <v>0</v>
      </c>
      <c r="B2">
        <v>2</v>
      </c>
      <c r="D2">
        <f>VLOOKUP(Inhaltsverzeichnis!$F$2,Sprachen[],2,FALSE)</f>
        <v>3</v>
      </c>
    </row>
    <row r="3" spans="1:4" x14ac:dyDescent="0.2">
      <c r="A3" t="s">
        <v>149</v>
      </c>
      <c r="B3">
        <v>3</v>
      </c>
    </row>
    <row r="4" spans="1:4" x14ac:dyDescent="0.2">
      <c r="A4" t="s">
        <v>150</v>
      </c>
      <c r="B4">
        <v>4</v>
      </c>
    </row>
    <row r="5" spans="1:4" x14ac:dyDescent="0.2">
      <c r="A5" t="s">
        <v>151</v>
      </c>
      <c r="B5">
        <v>5</v>
      </c>
    </row>
  </sheetData>
  <sheetProtection algorithmName="SHA-512" hashValue="gS+HhzD6si17e45FwlXvKNk6B3cA0+mJkrchcRCKVCASm84DKv+5/OZNk2TCCkyEPLQaBA/lpmOwQqR7e6WvHw==" saltValue="SwtUF7vI1ja5vKkxist4+w==" spinCount="100000" sheet="1" objects="1" scenarios="1"/>
  <dataValidations count="1">
    <dataValidation allowBlank="1" showInputMessage="1" showErrorMessage="1" sqref="F2" xr:uid="{00000000-0002-0000-0B00-000000000000}"/>
  </dataValidations>
  <pageMargins left="0.7" right="0.7" top="0.78740157499999996" bottom="0.78740157499999996" header="0.3" footer="0.3"/>
  <pageSetup paperSize="9" orientation="portrait" r:id="rId1"/>
  <tableParts count="2">
    <tablePart r:id="rId2"/>
    <tablePart r:id="rId3"/>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13">
    <tabColor rgb="FF004976"/>
  </sheetPr>
  <dimension ref="A1:CK366"/>
  <sheetViews>
    <sheetView showGridLines="0" showRowColHeaders="0" zoomScaleNormal="100" workbookViewId="0">
      <pane xSplit="7" topLeftCell="O1" activePane="topRight" state="frozen"/>
      <selection activeCell="J349" sqref="J349"/>
      <selection pane="topRight" activeCell="B3" sqref="B3:C3"/>
    </sheetView>
  </sheetViews>
  <sheetFormatPr baseColWidth="10" defaultColWidth="10.85546875" defaultRowHeight="12.6" customHeight="1" x14ac:dyDescent="0.2"/>
  <cols>
    <col min="1" max="1" width="2.42578125" style="56" customWidth="1"/>
    <col min="2" max="2" width="2.42578125" style="1" customWidth="1"/>
    <col min="3" max="3" width="52.5703125" style="1" customWidth="1"/>
    <col min="4" max="4" width="26.85546875" style="1" customWidth="1"/>
    <col min="5" max="5" width="11.85546875" style="146" customWidth="1"/>
    <col min="6" max="6" width="14.140625" style="9" customWidth="1"/>
    <col min="7" max="7" width="2.42578125" style="34" customWidth="1"/>
    <col min="8" max="19" width="12" style="9" customWidth="1"/>
    <col min="20" max="23" width="12" style="11" customWidth="1"/>
    <col min="24" max="24" width="12" style="240" customWidth="1"/>
    <col min="25" max="26" width="13.42578125" style="11" customWidth="1"/>
    <col min="27" max="27" width="12" style="8" customWidth="1"/>
    <col min="28" max="89" width="12" style="9" customWidth="1"/>
    <col min="90" max="16384" width="10.85546875" style="1"/>
  </cols>
  <sheetData>
    <row r="1" spans="1:89" ht="12.6" customHeight="1" x14ac:dyDescent="0.2">
      <c r="X1" s="237"/>
    </row>
    <row r="2" spans="1:89" s="89" customFormat="1" ht="26.1" customHeight="1" x14ac:dyDescent="0.2">
      <c r="A2" s="53"/>
      <c r="B2" s="406" t="str">
        <f>UPPER(RIGHT(Inhaltsverzeichnis!$C$7,LEN(Inhaltsverzeichnis!$C$7)-FIND(" – ",Inhaltsverzeichnis!$C$7,1)-2))</f>
        <v>DIVULGATIONS GÉNÉRALES</v>
      </c>
      <c r="C2" s="406"/>
      <c r="D2" s="402" t="str">
        <f>VLOOKUP(35,Textbausteine_Menu[],Hilfsgrössen!$D$2,FALSE)</f>
        <v>retour à la table des matières</v>
      </c>
      <c r="E2" s="403"/>
      <c r="F2" s="83" t="s">
        <v>149</v>
      </c>
      <c r="G2" s="96"/>
      <c r="H2" s="67"/>
      <c r="I2" s="67"/>
      <c r="J2" s="67"/>
      <c r="K2" s="67"/>
      <c r="L2" s="67"/>
      <c r="M2" s="67"/>
      <c r="N2" s="67"/>
      <c r="O2" s="67"/>
      <c r="P2" s="67"/>
      <c r="Q2" s="67"/>
      <c r="R2" s="67"/>
      <c r="S2" s="67"/>
      <c r="T2" s="70"/>
      <c r="U2" s="70"/>
      <c r="V2" s="70"/>
      <c r="W2" s="70"/>
      <c r="X2" s="237"/>
      <c r="Y2" s="70"/>
      <c r="Z2" s="70"/>
      <c r="AA2" s="297"/>
      <c r="AB2" s="67"/>
      <c r="AC2" s="67"/>
      <c r="AD2" s="67"/>
      <c r="AE2" s="67"/>
      <c r="AF2" s="67"/>
      <c r="AG2" s="67"/>
      <c r="AH2" s="67"/>
      <c r="AI2" s="67"/>
      <c r="AJ2" s="67"/>
      <c r="AK2" s="67"/>
      <c r="AL2" s="67"/>
      <c r="AM2" s="67"/>
      <c r="AN2" s="67"/>
      <c r="AO2" s="67"/>
      <c r="AP2" s="67"/>
      <c r="AQ2" s="67"/>
      <c r="AR2" s="67"/>
      <c r="AS2" s="67"/>
      <c r="AT2" s="67"/>
      <c r="AU2" s="67"/>
      <c r="AV2" s="67"/>
      <c r="AW2" s="67"/>
      <c r="AX2" s="67"/>
      <c r="AY2" s="67"/>
      <c r="AZ2" s="67"/>
      <c r="BA2" s="67"/>
      <c r="BB2" s="67"/>
      <c r="BC2" s="67"/>
      <c r="BD2" s="67"/>
      <c r="BE2" s="67"/>
      <c r="BF2" s="67"/>
      <c r="BG2" s="67"/>
      <c r="BH2" s="67"/>
      <c r="BI2" s="67"/>
      <c r="BJ2" s="67"/>
      <c r="BK2" s="67"/>
      <c r="BL2" s="67"/>
      <c r="BM2" s="67"/>
      <c r="BN2" s="67"/>
      <c r="BO2" s="67"/>
      <c r="BP2" s="67"/>
      <c r="BQ2" s="67"/>
      <c r="BR2" s="67"/>
      <c r="BS2" s="67"/>
      <c r="BT2" s="67"/>
      <c r="BU2" s="67"/>
      <c r="BV2" s="67"/>
      <c r="BW2" s="67"/>
      <c r="BX2" s="67"/>
      <c r="BY2" s="67"/>
      <c r="BZ2" s="67"/>
      <c r="CA2" s="67"/>
      <c r="CB2" s="67"/>
      <c r="CC2" s="67"/>
      <c r="CD2" s="67"/>
      <c r="CE2" s="67"/>
      <c r="CF2" s="67"/>
      <c r="CG2" s="67"/>
      <c r="CH2" s="67"/>
      <c r="CI2" s="67"/>
      <c r="CJ2" s="67"/>
      <c r="CK2" s="67"/>
    </row>
    <row r="3" spans="1:89" s="90" customFormat="1" ht="26.1" customHeight="1" x14ac:dyDescent="0.2">
      <c r="A3" s="54"/>
      <c r="B3" s="407" t="str">
        <f>UPPER("GRI "&amp;LEFT(Inhaltsverzeichnis!$C$7,2))</f>
        <v xml:space="preserve">GRI 2 </v>
      </c>
      <c r="C3" s="407"/>
      <c r="E3" s="144"/>
      <c r="F3" s="27"/>
      <c r="G3" s="32"/>
      <c r="H3" s="27"/>
      <c r="I3" s="27"/>
      <c r="J3" s="27"/>
      <c r="K3" s="27"/>
      <c r="L3" s="27"/>
      <c r="M3" s="27"/>
      <c r="N3" s="27"/>
      <c r="O3" s="27"/>
      <c r="P3" s="27"/>
      <c r="Q3" s="27"/>
      <c r="R3" s="27"/>
      <c r="S3" s="27"/>
      <c r="T3" s="71"/>
      <c r="U3" s="71"/>
      <c r="V3" s="71"/>
      <c r="W3" s="71"/>
      <c r="X3" s="238"/>
      <c r="Y3" s="71"/>
      <c r="Z3" s="71"/>
      <c r="AA3" s="298"/>
      <c r="AB3" s="27"/>
      <c r="AC3" s="27"/>
      <c r="AD3" s="27"/>
      <c r="AE3" s="27"/>
      <c r="AF3" s="27"/>
      <c r="AG3" s="27"/>
      <c r="AH3" s="27"/>
      <c r="AI3" s="27"/>
      <c r="AJ3" s="27"/>
      <c r="AK3" s="27"/>
      <c r="AL3" s="27"/>
      <c r="AM3" s="27"/>
      <c r="AN3" s="27"/>
      <c r="AO3" s="27"/>
      <c r="AP3" s="27"/>
      <c r="AQ3" s="27"/>
      <c r="AR3" s="27"/>
      <c r="AS3" s="27"/>
      <c r="AT3" s="27"/>
      <c r="AU3" s="27"/>
      <c r="AV3" s="27"/>
      <c r="AW3" s="27"/>
      <c r="AX3" s="27"/>
      <c r="AY3" s="27"/>
      <c r="AZ3" s="27"/>
      <c r="BA3" s="27"/>
      <c r="BB3" s="27"/>
      <c r="BC3" s="27"/>
      <c r="BD3" s="27"/>
      <c r="BE3" s="27"/>
      <c r="BF3" s="27"/>
      <c r="BG3" s="27"/>
      <c r="BH3" s="27"/>
      <c r="BI3" s="27"/>
      <c r="BJ3" s="27"/>
      <c r="BK3" s="27"/>
      <c r="BL3" s="27"/>
      <c r="BM3" s="27"/>
      <c r="BN3" s="27"/>
      <c r="BO3" s="27"/>
      <c r="BP3" s="27"/>
      <c r="BQ3" s="27"/>
      <c r="BR3" s="27"/>
      <c r="BS3" s="27"/>
      <c r="BT3" s="27"/>
      <c r="BU3" s="27"/>
      <c r="BV3" s="27"/>
      <c r="BW3" s="27"/>
      <c r="BX3" s="27"/>
      <c r="BY3" s="27"/>
      <c r="BZ3" s="27"/>
      <c r="CA3" s="27"/>
      <c r="CB3" s="27"/>
      <c r="CC3" s="27"/>
      <c r="CD3" s="27"/>
      <c r="CE3" s="27"/>
      <c r="CF3" s="27"/>
      <c r="CG3" s="27"/>
      <c r="CH3" s="27"/>
      <c r="CI3" s="27"/>
      <c r="CJ3" s="27"/>
      <c r="CK3" s="27"/>
    </row>
    <row r="6" spans="1:89" s="6" customFormat="1" ht="12.6" customHeight="1" x14ac:dyDescent="0.2">
      <c r="A6" s="55"/>
      <c r="B6" s="6" t="str">
        <f>VLOOKUP(31,Textbausteine_Menu[],Hilfsgrössen!$D$2,FALSE)</f>
        <v>Divulgations</v>
      </c>
      <c r="E6" s="145"/>
      <c r="F6" s="28"/>
      <c r="G6" s="33"/>
      <c r="H6" s="28"/>
      <c r="I6" s="28"/>
      <c r="J6" s="28"/>
      <c r="K6" s="28"/>
      <c r="L6" s="28"/>
      <c r="M6" s="28"/>
      <c r="N6" s="28"/>
      <c r="O6" s="28"/>
      <c r="P6" s="28"/>
      <c r="Q6" s="28"/>
      <c r="R6" s="28"/>
      <c r="S6" s="28"/>
      <c r="T6" s="7"/>
      <c r="U6" s="7"/>
      <c r="V6" s="7"/>
      <c r="W6" s="7"/>
      <c r="X6" s="239"/>
      <c r="Y6" s="7"/>
      <c r="Z6" s="7"/>
      <c r="AA6" s="299"/>
      <c r="AB6" s="28"/>
      <c r="AC6" s="28"/>
      <c r="AD6" s="28"/>
      <c r="AE6" s="28"/>
      <c r="AF6" s="28"/>
      <c r="AG6" s="28"/>
      <c r="AH6" s="28"/>
      <c r="AI6" s="28"/>
      <c r="AJ6" s="28"/>
      <c r="AK6" s="28"/>
      <c r="AL6" s="28"/>
      <c r="AM6" s="28"/>
      <c r="AN6" s="28"/>
      <c r="AO6" s="28"/>
      <c r="AP6" s="28"/>
      <c r="AQ6" s="28"/>
      <c r="AR6" s="28"/>
      <c r="AS6" s="28"/>
      <c r="AT6" s="28"/>
      <c r="AU6" s="28"/>
      <c r="AV6" s="28"/>
      <c r="AW6" s="28"/>
      <c r="AX6" s="28"/>
      <c r="AY6" s="28"/>
      <c r="AZ6" s="28"/>
      <c r="BA6" s="28"/>
      <c r="BB6" s="28"/>
      <c r="BC6" s="28"/>
      <c r="BD6" s="28"/>
      <c r="BE6" s="28"/>
      <c r="BF6" s="28"/>
      <c r="BG6" s="28"/>
      <c r="BH6" s="28"/>
      <c r="BI6" s="28"/>
      <c r="BJ6" s="28"/>
      <c r="BK6" s="28"/>
      <c r="BL6" s="28"/>
      <c r="BM6" s="28"/>
      <c r="BN6" s="28"/>
      <c r="BO6" s="28"/>
      <c r="BP6" s="28"/>
      <c r="BQ6" s="28"/>
      <c r="BR6" s="28"/>
      <c r="BS6" s="28"/>
      <c r="BT6" s="28"/>
      <c r="BU6" s="28"/>
      <c r="BV6" s="28"/>
      <c r="BW6" s="28"/>
      <c r="BX6" s="28"/>
      <c r="BY6" s="28"/>
      <c r="BZ6" s="28"/>
      <c r="CA6" s="28"/>
      <c r="CB6" s="28"/>
      <c r="CC6" s="28"/>
      <c r="CD6" s="28"/>
      <c r="CE6" s="28"/>
      <c r="CF6" s="28"/>
      <c r="CG6" s="28"/>
      <c r="CH6" s="28"/>
      <c r="CI6" s="28"/>
      <c r="CJ6" s="28"/>
      <c r="CK6" s="28"/>
    </row>
    <row r="7" spans="1:89" ht="12.6" customHeight="1" x14ac:dyDescent="0.2">
      <c r="B7" s="2"/>
      <c r="C7" s="85" t="str">
        <f>VLOOKUP(1,Textbausteine_102[],Hilfsgrössen!$D$2,FALSE)</f>
        <v>Parts de marché</v>
      </c>
      <c r="D7" s="4"/>
    </row>
    <row r="8" spans="1:89" ht="12.6" customHeight="1" x14ac:dyDescent="0.2">
      <c r="B8" s="2"/>
      <c r="C8" s="85" t="str">
        <f>VLOOKUP(2,Textbausteine_102[],Hilfsgrössen!$D$2,FALSE)</f>
        <v>Financement</v>
      </c>
      <c r="D8" s="4"/>
    </row>
    <row r="9" spans="1:89" ht="12.6" customHeight="1" x14ac:dyDescent="0.2">
      <c r="B9" s="2"/>
      <c r="C9" s="85" t="str">
        <f>VLOOKUP(3,Textbausteine_102[],Hilfsgrössen!$D$2,FALSE)</f>
        <v>Cash-flow et investissements</v>
      </c>
      <c r="D9" s="4"/>
    </row>
    <row r="10" spans="1:89" ht="12.6" customHeight="1" x14ac:dyDescent="0.2">
      <c r="B10" s="2"/>
      <c r="C10" s="85" t="str">
        <f>VLOOKUP(4,Textbausteine_102[],Hilfsgrössen!$D$2,FALSE)</f>
        <v>Evolution des volumes</v>
      </c>
      <c r="D10" s="4"/>
    </row>
    <row r="11" spans="1:89" ht="12.6" customHeight="1" x14ac:dyDescent="0.2">
      <c r="B11" s="2"/>
      <c r="C11" s="85" t="str">
        <f>VLOOKUP(5,Textbausteine_102[],Hilfsgrössen!$D$2,FALSE)</f>
        <v>Volume trafic des paiements</v>
      </c>
      <c r="D11" s="4"/>
    </row>
    <row r="12" spans="1:89" ht="12.6" customHeight="1" x14ac:dyDescent="0.2">
      <c r="B12" s="2"/>
      <c r="C12" s="85" t="str">
        <f>VLOOKUP(6,Textbausteine_102[],Hilfsgrössen!$D$2,FALSE)</f>
        <v>Effectif</v>
      </c>
      <c r="D12" s="4"/>
    </row>
    <row r="13" spans="1:89" ht="12.6" customHeight="1" x14ac:dyDescent="0.2">
      <c r="B13" s="2"/>
      <c r="C13" s="85" t="str">
        <f>VLOOKUP(7,Textbausteine_102[],Hilfsgrössen!$D$2,FALSE)</f>
        <v>Répartition des sexes</v>
      </c>
      <c r="D13" s="4"/>
    </row>
    <row r="14" spans="1:89" ht="12.6" customHeight="1" x14ac:dyDescent="0.2">
      <c r="B14" s="2"/>
      <c r="C14" s="85" t="str">
        <f>VLOOKUP(8,Textbausteine_102[],Hilfsgrössen!$D$2,FALSE)</f>
        <v>Temps partiel</v>
      </c>
      <c r="D14" s="4"/>
    </row>
    <row r="15" spans="1:89" ht="12.6" customHeight="1" x14ac:dyDescent="0.2">
      <c r="B15" s="2"/>
      <c r="C15" s="85" t="str">
        <f>VLOOKUP(9,Textbausteine_102[],Hilfsgrössen!$D$2,FALSE)</f>
        <v>Rapports de travail</v>
      </c>
      <c r="D15" s="4"/>
      <c r="E15" s="145"/>
      <c r="F15" s="28"/>
      <c r="G15" s="33"/>
    </row>
    <row r="16" spans="1:89" ht="12.6" customHeight="1" x14ac:dyDescent="0.2">
      <c r="B16" s="2"/>
      <c r="C16" s="85" t="str">
        <f>VLOOKUP(10,Textbausteine_102[],Hilfsgrössen!$D$2,FALSE)</f>
        <v xml:space="preserve">Chaîne d'approvisionnement </v>
      </c>
      <c r="D16" s="4"/>
      <c r="E16" s="145"/>
      <c r="F16" s="28"/>
      <c r="G16" s="33"/>
    </row>
    <row r="17" spans="1:89" ht="12.6" customHeight="1" x14ac:dyDescent="0.2">
      <c r="B17" s="2"/>
      <c r="C17" s="85" t="str">
        <f>VLOOKUP(11,Textbausteine_102[],Hilfsgrössen!$D$2,FALSE)</f>
        <v>Satisfaction des clients</v>
      </c>
      <c r="D17" s="4"/>
    </row>
    <row r="18" spans="1:89" ht="12.6" customHeight="1" x14ac:dyDescent="0.2">
      <c r="B18" s="2"/>
    </row>
    <row r="19" spans="1:89" ht="12.6" customHeight="1" x14ac:dyDescent="0.2">
      <c r="B19" s="2"/>
    </row>
    <row r="20" spans="1:89" s="78" customFormat="1" ht="12.6" customHeight="1" x14ac:dyDescent="0.2">
      <c r="A20" s="43" t="s">
        <v>27</v>
      </c>
      <c r="B20" s="401" t="str">
        <f>$C$7</f>
        <v>Parts de marché</v>
      </c>
      <c r="C20" s="401"/>
      <c r="D20" s="78" t="str">
        <f>VLOOKUP(32,Textbausteine_Menu[],Hilfsgrössen!$D$2,FALSE)</f>
        <v>Unité</v>
      </c>
      <c r="E20" s="147" t="str">
        <f>VLOOKUP(33,Textbausteine_Menu[],Hilfsgrössen!$D$2,FALSE)</f>
        <v>Notes</v>
      </c>
      <c r="F20" s="28" t="str">
        <f>VLOOKUP(34,Textbausteine_Menu[],Hilfsgrössen!$D$2,FALSE)</f>
        <v>GRI</v>
      </c>
      <c r="G20" s="33"/>
      <c r="H20" s="72">
        <v>2004</v>
      </c>
      <c r="I20" s="72">
        <v>2005</v>
      </c>
      <c r="J20" s="72">
        <v>2006</v>
      </c>
      <c r="K20" s="72">
        <v>2007</v>
      </c>
      <c r="L20" s="72">
        <v>2008</v>
      </c>
      <c r="M20" s="72">
        <v>2009</v>
      </c>
      <c r="N20" s="72">
        <v>2010</v>
      </c>
      <c r="O20" s="72">
        <v>2011</v>
      </c>
      <c r="P20" s="72">
        <v>2012</v>
      </c>
      <c r="Q20" s="72">
        <v>2013</v>
      </c>
      <c r="R20" s="72">
        <v>2014</v>
      </c>
      <c r="S20" s="72">
        <v>2015</v>
      </c>
      <c r="T20" s="74">
        <v>2016</v>
      </c>
      <c r="U20" s="74">
        <v>2017</v>
      </c>
      <c r="V20" s="74">
        <v>2018</v>
      </c>
      <c r="W20" s="74">
        <v>2019</v>
      </c>
      <c r="X20" s="241">
        <v>2020</v>
      </c>
      <c r="Y20" s="241">
        <v>2021</v>
      </c>
      <c r="Z20" s="241">
        <v>2022</v>
      </c>
      <c r="AA20" s="359"/>
      <c r="AB20" s="72"/>
      <c r="AC20" s="72"/>
      <c r="AD20" s="72"/>
      <c r="AE20" s="72"/>
      <c r="AF20" s="72"/>
      <c r="AG20" s="72"/>
      <c r="AH20" s="72"/>
      <c r="AI20" s="72"/>
      <c r="AJ20" s="72"/>
      <c r="AK20" s="72"/>
      <c r="AL20" s="72"/>
      <c r="AM20" s="72"/>
      <c r="AN20" s="72"/>
      <c r="AO20" s="72"/>
      <c r="AP20" s="72"/>
      <c r="AQ20" s="72"/>
      <c r="AR20" s="72"/>
      <c r="AS20" s="72"/>
      <c r="AT20" s="72"/>
      <c r="AU20" s="72"/>
      <c r="AV20" s="72"/>
      <c r="AW20" s="72"/>
      <c r="AX20" s="72"/>
      <c r="AY20" s="72"/>
      <c r="AZ20" s="72"/>
      <c r="BA20" s="72"/>
      <c r="BB20" s="72"/>
      <c r="BC20" s="72"/>
      <c r="BD20" s="72"/>
      <c r="BE20" s="72"/>
      <c r="BF20" s="72"/>
      <c r="BG20" s="72"/>
      <c r="BH20" s="72"/>
      <c r="BI20" s="72"/>
      <c r="BJ20" s="72"/>
      <c r="BK20" s="72"/>
      <c r="BL20" s="72"/>
      <c r="BM20" s="72"/>
      <c r="BN20" s="72"/>
      <c r="BO20" s="72"/>
      <c r="BP20" s="72"/>
      <c r="BQ20" s="72"/>
      <c r="BR20" s="72"/>
      <c r="BS20" s="72"/>
      <c r="BT20" s="72"/>
      <c r="BU20" s="72"/>
      <c r="BV20" s="72"/>
      <c r="BW20" s="72"/>
      <c r="BX20" s="72"/>
      <c r="BY20" s="72"/>
      <c r="BZ20" s="72"/>
      <c r="CA20" s="72"/>
      <c r="CB20" s="72"/>
      <c r="CC20" s="72"/>
      <c r="CD20" s="72"/>
      <c r="CE20" s="72"/>
      <c r="CF20" s="72"/>
      <c r="CG20" s="72"/>
      <c r="CH20" s="72"/>
      <c r="CI20" s="72"/>
      <c r="CJ20" s="72"/>
      <c r="CK20" s="72"/>
    </row>
    <row r="21" spans="1:89" s="42" customFormat="1" ht="12.6" customHeight="1" x14ac:dyDescent="0.2">
      <c r="A21" s="57"/>
      <c r="B21" s="401"/>
      <c r="C21" s="401"/>
      <c r="E21" s="145"/>
      <c r="F21" s="28"/>
      <c r="G21" s="34"/>
      <c r="H21" s="73"/>
      <c r="I21" s="73"/>
      <c r="J21" s="73"/>
      <c r="K21" s="73"/>
      <c r="L21" s="73"/>
      <c r="M21" s="73"/>
      <c r="N21" s="73"/>
      <c r="O21" s="73"/>
      <c r="P21" s="73"/>
      <c r="Q21" s="73"/>
      <c r="R21" s="73"/>
      <c r="S21" s="73"/>
      <c r="T21" s="75"/>
      <c r="U21" s="75"/>
      <c r="V21" s="75"/>
      <c r="W21" s="75"/>
      <c r="X21" s="242"/>
      <c r="Y21" s="242"/>
      <c r="Z21" s="242"/>
      <c r="AA21" s="360"/>
      <c r="AB21" s="73"/>
      <c r="AC21" s="73"/>
      <c r="AD21" s="73"/>
      <c r="AE21" s="73"/>
      <c r="AF21" s="73"/>
      <c r="AG21" s="73"/>
      <c r="AH21" s="73"/>
      <c r="AI21" s="73"/>
      <c r="AJ21" s="73"/>
      <c r="AK21" s="73"/>
      <c r="AL21" s="73"/>
      <c r="AM21" s="73"/>
      <c r="AN21" s="73"/>
      <c r="AO21" s="73"/>
      <c r="AP21" s="73"/>
      <c r="AQ21" s="73"/>
      <c r="AR21" s="73"/>
      <c r="AS21" s="73"/>
      <c r="AT21" s="73"/>
      <c r="AU21" s="73"/>
      <c r="AV21" s="73"/>
      <c r="AW21" s="73"/>
      <c r="AX21" s="73"/>
      <c r="AY21" s="73"/>
      <c r="AZ21" s="73"/>
      <c r="BA21" s="73"/>
      <c r="BB21" s="73"/>
      <c r="BC21" s="73"/>
      <c r="BD21" s="73"/>
      <c r="BE21" s="73"/>
      <c r="BF21" s="73"/>
      <c r="BG21" s="73"/>
      <c r="BH21" s="73"/>
      <c r="BI21" s="73"/>
      <c r="BJ21" s="73"/>
      <c r="BK21" s="73"/>
      <c r="BL21" s="73"/>
      <c r="BM21" s="73"/>
      <c r="BN21" s="73"/>
      <c r="BO21" s="73"/>
      <c r="BP21" s="73"/>
      <c r="BQ21" s="73"/>
      <c r="BR21" s="73"/>
      <c r="BS21" s="73"/>
      <c r="BT21" s="73"/>
      <c r="BU21" s="73"/>
      <c r="BV21" s="73"/>
      <c r="BW21" s="73"/>
      <c r="BX21" s="73"/>
      <c r="BY21" s="73"/>
      <c r="BZ21" s="73"/>
      <c r="CA21" s="73"/>
      <c r="CB21" s="73"/>
      <c r="CC21" s="73"/>
      <c r="CD21" s="73"/>
      <c r="CE21" s="73"/>
      <c r="CF21" s="73"/>
      <c r="CG21" s="73"/>
      <c r="CH21" s="73"/>
      <c r="CI21" s="73"/>
      <c r="CJ21" s="73"/>
      <c r="CK21" s="73"/>
    </row>
    <row r="22" spans="1:89" ht="12.6" customHeight="1" x14ac:dyDescent="0.2">
      <c r="B22" s="2"/>
      <c r="E22" s="148"/>
      <c r="G22" s="33"/>
      <c r="Y22" s="240"/>
      <c r="Z22" s="240"/>
      <c r="AA22" s="349"/>
    </row>
    <row r="23" spans="1:89" ht="12.6" customHeight="1" x14ac:dyDescent="0.2">
      <c r="B23" s="2" t="str">
        <f>VLOOKUP(45,Textbausteine_Menu[],Hilfsgrössen!$D$2,FALSE)</f>
        <v>Services logistiques</v>
      </c>
      <c r="E23" s="148"/>
      <c r="T23" s="9"/>
      <c r="U23" s="9"/>
      <c r="V23" s="9"/>
      <c r="W23" s="9"/>
      <c r="X23" s="269"/>
      <c r="Y23" s="269"/>
      <c r="Z23" s="269"/>
      <c r="AA23" s="349"/>
    </row>
    <row r="24" spans="1:89" ht="12.6" customHeight="1" x14ac:dyDescent="0.2">
      <c r="B24" s="2"/>
      <c r="C24" s="1" t="str">
        <f>VLOOKUP(41,Textbausteine_102[],Hilfsgrössen!$D$2,FALSE)</f>
        <v>Importation et exportation de courrier</v>
      </c>
      <c r="D24" s="1" t="str">
        <f>VLOOKUP(21,Textbausteine_102[],Hilfsgrössen!$D$2,FALSE)</f>
        <v>%</v>
      </c>
      <c r="E24" s="148" t="s">
        <v>79</v>
      </c>
      <c r="F24" s="94" t="s">
        <v>3167</v>
      </c>
      <c r="G24" s="95"/>
      <c r="H24" s="198" t="s">
        <v>29</v>
      </c>
      <c r="I24" s="198" t="s">
        <v>29</v>
      </c>
      <c r="J24" s="188">
        <v>83</v>
      </c>
      <c r="K24" s="181">
        <v>82</v>
      </c>
      <c r="L24" s="181">
        <v>82</v>
      </c>
      <c r="M24" s="181">
        <v>85</v>
      </c>
      <c r="N24" s="181">
        <v>85</v>
      </c>
      <c r="O24" s="181">
        <v>86</v>
      </c>
      <c r="P24" s="181">
        <v>86</v>
      </c>
      <c r="Q24" s="181">
        <v>85</v>
      </c>
      <c r="R24" s="181">
        <v>84</v>
      </c>
      <c r="S24" s="181">
        <v>83</v>
      </c>
      <c r="T24" s="181">
        <v>83</v>
      </c>
      <c r="U24" s="181">
        <v>82</v>
      </c>
      <c r="V24" s="181">
        <v>81</v>
      </c>
      <c r="W24" s="181">
        <v>80</v>
      </c>
      <c r="X24" s="243">
        <v>80</v>
      </c>
      <c r="Y24" s="243">
        <v>80</v>
      </c>
      <c r="Z24" s="243">
        <v>79</v>
      </c>
      <c r="AA24" s="349"/>
    </row>
    <row r="25" spans="1:89" ht="12.6" customHeight="1" x14ac:dyDescent="0.2">
      <c r="B25" s="2"/>
      <c r="C25" s="97" t="str">
        <f>VLOOKUP(42,Textbausteine_102[],Hilfsgrössen!$D$2,FALSE)</f>
        <v>Colis</v>
      </c>
      <c r="D25" s="1" t="str">
        <f>VLOOKUP(21,Textbausteine_102[],Hilfsgrössen!$D$2,FALSE)</f>
        <v>%</v>
      </c>
      <c r="E25" s="148"/>
      <c r="F25" s="94" t="s">
        <v>3167</v>
      </c>
      <c r="H25" s="94" t="s">
        <v>29</v>
      </c>
      <c r="I25" s="94">
        <v>74</v>
      </c>
      <c r="J25" s="94">
        <v>74</v>
      </c>
      <c r="K25" s="9">
        <v>74</v>
      </c>
      <c r="L25" s="9">
        <v>74</v>
      </c>
      <c r="M25" s="11">
        <v>74</v>
      </c>
      <c r="N25" s="11">
        <v>75</v>
      </c>
      <c r="O25" s="9">
        <v>75</v>
      </c>
      <c r="P25" s="9">
        <v>76</v>
      </c>
      <c r="Q25" s="9">
        <v>76</v>
      </c>
      <c r="R25" s="9">
        <v>76</v>
      </c>
      <c r="S25" s="9">
        <v>76.900000000000006</v>
      </c>
      <c r="T25" s="9">
        <v>77.900000000000006</v>
      </c>
      <c r="U25" s="9">
        <v>78.400000000000006</v>
      </c>
      <c r="V25" s="9">
        <v>79</v>
      </c>
      <c r="W25" s="9">
        <v>79.2</v>
      </c>
      <c r="X25" s="269">
        <v>79.900000000000006</v>
      </c>
      <c r="Y25" s="269">
        <v>79.3</v>
      </c>
      <c r="Z25" s="269">
        <v>79.5</v>
      </c>
      <c r="AA25" s="349"/>
    </row>
    <row r="26" spans="1:89" ht="12.6" customHeight="1" x14ac:dyDescent="0.2">
      <c r="C26" s="1" t="str">
        <f>VLOOKUP(43,Textbausteine_102[],Hilfsgrössen!$D$2,FALSE)</f>
        <v>Importation et exportation de coursier, express et colis</v>
      </c>
      <c r="D26" s="1" t="str">
        <f>VLOOKUP(21,Textbausteine_102[],Hilfsgrössen!$D$2,FALSE)</f>
        <v>%</v>
      </c>
      <c r="E26" s="148" t="s">
        <v>2855</v>
      </c>
      <c r="F26" s="94" t="s">
        <v>3167</v>
      </c>
      <c r="G26" s="95"/>
      <c r="H26" s="94" t="s">
        <v>29</v>
      </c>
      <c r="I26" s="94" t="s">
        <v>29</v>
      </c>
      <c r="J26" s="11">
        <v>47</v>
      </c>
      <c r="K26" s="11">
        <v>47</v>
      </c>
      <c r="L26" s="11">
        <v>46</v>
      </c>
      <c r="M26" s="11">
        <v>46</v>
      </c>
      <c r="N26" s="11">
        <v>45</v>
      </c>
      <c r="O26" s="9">
        <v>42</v>
      </c>
      <c r="P26" s="9">
        <v>45</v>
      </c>
      <c r="Q26" s="9">
        <v>18</v>
      </c>
      <c r="R26" s="9">
        <v>17</v>
      </c>
      <c r="S26" s="9">
        <v>18.5</v>
      </c>
      <c r="T26" s="9">
        <v>19.399999999999999</v>
      </c>
      <c r="U26" s="9">
        <v>18.5</v>
      </c>
      <c r="V26" s="9">
        <v>18</v>
      </c>
      <c r="W26" s="9">
        <v>19</v>
      </c>
      <c r="X26" s="269">
        <v>20</v>
      </c>
      <c r="Y26" s="269">
        <v>20</v>
      </c>
      <c r="Z26" s="269">
        <v>20</v>
      </c>
      <c r="AA26" s="349"/>
    </row>
    <row r="27" spans="1:89" ht="12.6" customHeight="1" x14ac:dyDescent="0.2">
      <c r="C27" s="13"/>
      <c r="E27" s="148"/>
      <c r="H27" s="11"/>
      <c r="I27" s="11"/>
      <c r="J27" s="11"/>
      <c r="K27" s="11"/>
      <c r="L27" s="11"/>
      <c r="M27" s="11"/>
      <c r="N27" s="11"/>
      <c r="T27" s="9"/>
      <c r="U27" s="9"/>
      <c r="V27" s="9"/>
      <c r="W27" s="9"/>
      <c r="X27" s="269"/>
      <c r="Y27" s="269"/>
      <c r="Z27" s="269"/>
      <c r="AA27" s="349"/>
    </row>
    <row r="28" spans="1:89" ht="12.6" customHeight="1" x14ac:dyDescent="0.2">
      <c r="AA28" s="349"/>
    </row>
    <row r="29" spans="1:89" s="326" customFormat="1" ht="12.6" customHeight="1" x14ac:dyDescent="0.2">
      <c r="A29" s="324"/>
      <c r="B29" s="325" t="str">
        <f>VLOOKUP(48,Textbausteine_Menu[],Hilfsgrössen!$D$2,FALSE)</f>
        <v>Services de communication</v>
      </c>
      <c r="D29" s="326" t="s">
        <v>31</v>
      </c>
      <c r="E29" s="327">
        <v>8</v>
      </c>
      <c r="F29" s="94" t="s">
        <v>3167</v>
      </c>
      <c r="G29" s="329"/>
      <c r="H29" s="330" t="s">
        <v>29</v>
      </c>
      <c r="I29" s="330" t="s">
        <v>29</v>
      </c>
      <c r="J29" s="330" t="s">
        <v>29</v>
      </c>
      <c r="K29" s="330" t="s">
        <v>29</v>
      </c>
      <c r="L29" s="330" t="s">
        <v>29</v>
      </c>
      <c r="M29" s="330" t="s">
        <v>29</v>
      </c>
      <c r="N29" s="330" t="s">
        <v>29</v>
      </c>
      <c r="O29" s="330" t="s">
        <v>29</v>
      </c>
      <c r="P29" s="330" t="s">
        <v>29</v>
      </c>
      <c r="Q29" s="330" t="s">
        <v>29</v>
      </c>
      <c r="R29" s="330" t="s">
        <v>29</v>
      </c>
      <c r="S29" s="330" t="s">
        <v>29</v>
      </c>
      <c r="T29" s="330" t="s">
        <v>29</v>
      </c>
      <c r="U29" s="330" t="s">
        <v>29</v>
      </c>
      <c r="V29" s="330" t="s">
        <v>29</v>
      </c>
      <c r="W29" s="330" t="s">
        <v>29</v>
      </c>
      <c r="X29" s="330" t="s">
        <v>29</v>
      </c>
      <c r="Y29" s="330" t="s">
        <v>29</v>
      </c>
      <c r="Z29" s="330" t="s">
        <v>29</v>
      </c>
      <c r="AA29" s="349"/>
      <c r="AB29" s="328"/>
      <c r="AC29" s="328"/>
      <c r="AD29" s="328"/>
      <c r="AE29" s="328"/>
      <c r="AF29" s="328"/>
      <c r="AG29" s="328"/>
      <c r="AH29" s="328"/>
      <c r="AI29" s="328"/>
      <c r="AJ29" s="328"/>
      <c r="AK29" s="328"/>
      <c r="AL29" s="328"/>
      <c r="AM29" s="328"/>
      <c r="AN29" s="328"/>
      <c r="AO29" s="328"/>
      <c r="AP29" s="328"/>
      <c r="AQ29" s="328"/>
      <c r="AR29" s="328"/>
      <c r="AS29" s="328"/>
      <c r="AT29" s="328"/>
      <c r="AU29" s="328"/>
      <c r="AV29" s="328"/>
      <c r="AW29" s="328"/>
      <c r="AX29" s="328"/>
      <c r="AY29" s="328"/>
      <c r="AZ29" s="328"/>
      <c r="BA29" s="328"/>
      <c r="BB29" s="328"/>
      <c r="BC29" s="328"/>
      <c r="BD29" s="328"/>
      <c r="BE29" s="328"/>
      <c r="BF29" s="328"/>
      <c r="BG29" s="328"/>
      <c r="BH29" s="328"/>
      <c r="BI29" s="328"/>
      <c r="BJ29" s="328"/>
      <c r="BK29" s="328"/>
      <c r="BL29" s="328"/>
      <c r="BM29" s="328"/>
      <c r="BN29" s="328"/>
      <c r="BO29" s="328"/>
      <c r="BP29" s="328"/>
      <c r="BQ29" s="328"/>
      <c r="BR29" s="328"/>
      <c r="BS29" s="328"/>
      <c r="BT29" s="328"/>
      <c r="BU29" s="328"/>
      <c r="BV29" s="328"/>
      <c r="BW29" s="328"/>
      <c r="BX29" s="328"/>
      <c r="BY29" s="328"/>
      <c r="BZ29" s="328"/>
      <c r="CA29" s="328"/>
      <c r="CB29" s="328"/>
      <c r="CC29" s="328"/>
      <c r="CD29" s="328"/>
      <c r="CE29" s="328"/>
      <c r="CF29" s="328"/>
      <c r="CG29" s="328"/>
      <c r="CH29" s="328"/>
      <c r="CI29" s="328"/>
      <c r="CJ29" s="328"/>
      <c r="CK29" s="328"/>
    </row>
    <row r="30" spans="1:89" ht="12.6" customHeight="1" x14ac:dyDescent="0.2">
      <c r="B30" s="2"/>
      <c r="E30" s="11"/>
      <c r="H30" s="94"/>
      <c r="I30" s="94"/>
      <c r="J30" s="94"/>
      <c r="K30" s="94"/>
      <c r="L30" s="94"/>
      <c r="M30" s="94"/>
      <c r="N30" s="94"/>
      <c r="O30" s="94"/>
      <c r="P30" s="94"/>
      <c r="Q30" s="94"/>
      <c r="R30" s="94"/>
      <c r="S30" s="94"/>
      <c r="T30" s="94"/>
      <c r="U30" s="94"/>
      <c r="V30" s="94"/>
      <c r="W30" s="94"/>
      <c r="X30" s="94"/>
      <c r="Y30" s="94"/>
      <c r="Z30" s="94"/>
      <c r="AA30" s="349"/>
    </row>
    <row r="31" spans="1:89" ht="12.6" customHeight="1" x14ac:dyDescent="0.2">
      <c r="B31" s="2" t="str">
        <f>VLOOKUP(49,Textbausteine_Menu[],Hilfsgrössen!$D$2,FALSE)</f>
        <v>PostFinance</v>
      </c>
      <c r="E31" s="148"/>
      <c r="T31" s="9"/>
      <c r="U31" s="9"/>
      <c r="V31" s="9"/>
      <c r="W31" s="9"/>
      <c r="X31" s="269"/>
      <c r="Y31" s="269"/>
      <c r="Z31" s="269"/>
      <c r="AA31" s="349"/>
    </row>
    <row r="32" spans="1:89" ht="12.6" customHeight="1" x14ac:dyDescent="0.2">
      <c r="B32" s="2"/>
      <c r="C32" s="1" t="str">
        <f>VLOOKUP(44,Textbausteine_102[],Hilfsgrössen!$D$2,FALSE)</f>
        <v>Opérations passives</v>
      </c>
      <c r="D32" s="1" t="str">
        <f>VLOOKUP(21,Textbausteine_102[],Hilfsgrössen!$D$2,FALSE)</f>
        <v>%</v>
      </c>
      <c r="E32" s="148" t="s">
        <v>142</v>
      </c>
      <c r="F32" s="94" t="s">
        <v>3167</v>
      </c>
      <c r="H32" s="94" t="s">
        <v>29</v>
      </c>
      <c r="I32" s="9">
        <v>6.3</v>
      </c>
      <c r="J32" s="1">
        <v>6.1</v>
      </c>
      <c r="K32" s="1">
        <v>6.3</v>
      </c>
      <c r="L32" s="98">
        <v>6.9</v>
      </c>
      <c r="M32" s="11">
        <v>9</v>
      </c>
      <c r="N32" s="11">
        <v>9.8000000000000007</v>
      </c>
      <c r="O32" s="9">
        <v>10.199999999999999</v>
      </c>
      <c r="P32" s="9">
        <v>10.6</v>
      </c>
      <c r="Q32" s="9">
        <v>10.9</v>
      </c>
      <c r="R32" s="9">
        <v>10.9</v>
      </c>
      <c r="S32" s="9">
        <v>10.7</v>
      </c>
      <c r="T32" s="94" t="s">
        <v>29</v>
      </c>
      <c r="U32" s="94" t="s">
        <v>29</v>
      </c>
      <c r="V32" s="94" t="s">
        <v>29</v>
      </c>
      <c r="W32" s="94" t="s">
        <v>29</v>
      </c>
      <c r="X32" s="244" t="s">
        <v>29</v>
      </c>
      <c r="Y32" s="244" t="s">
        <v>29</v>
      </c>
      <c r="Z32" s="244" t="s">
        <v>29</v>
      </c>
      <c r="AA32" s="349"/>
    </row>
    <row r="33" spans="1:89" ht="12.6" customHeight="1" x14ac:dyDescent="0.2">
      <c r="B33" s="2"/>
      <c r="E33" s="148"/>
      <c r="G33" s="33"/>
      <c r="Y33" s="240"/>
      <c r="Z33" s="240"/>
      <c r="AA33" s="349"/>
    </row>
    <row r="34" spans="1:89" ht="12.6" customHeight="1" x14ac:dyDescent="0.2">
      <c r="B34" s="2" t="str">
        <f>VLOOKUP(55,Textbausteine_Menu[],Hilfsgrössen!$D$2,FALSE)</f>
        <v>Services de mobilité</v>
      </c>
      <c r="C34" s="8"/>
      <c r="E34" s="148"/>
      <c r="G34" s="33"/>
      <c r="Y34" s="240"/>
      <c r="Z34" s="240"/>
      <c r="AA34" s="349"/>
    </row>
    <row r="35" spans="1:89" ht="12.6" customHeight="1" x14ac:dyDescent="0.2">
      <c r="B35" s="2"/>
      <c r="C35" s="1" t="str">
        <f>VLOOKUP(45,Textbausteine_102[],Hilfsgrössen!$D$2,FALSE)</f>
        <v>Part de marché de CarPostal en termes de kilomètres parcourus par le réseau TRV de bus (%)</v>
      </c>
      <c r="D35" s="1" t="str">
        <f>VLOOKUP(21,Textbausteine_102[],Hilfsgrössen!$D$2,FALSE)</f>
        <v>%</v>
      </c>
      <c r="E35" s="148" t="s">
        <v>2856</v>
      </c>
      <c r="F35" s="94" t="s">
        <v>3167</v>
      </c>
      <c r="G35" s="33"/>
      <c r="H35" s="94" t="s">
        <v>29</v>
      </c>
      <c r="I35" s="94" t="s">
        <v>29</v>
      </c>
      <c r="J35" s="94" t="s">
        <v>29</v>
      </c>
      <c r="K35" s="94" t="s">
        <v>29</v>
      </c>
      <c r="L35" s="94" t="s">
        <v>29</v>
      </c>
      <c r="M35" s="94" t="s">
        <v>29</v>
      </c>
      <c r="N35" s="94" t="s">
        <v>29</v>
      </c>
      <c r="O35" s="94" t="s">
        <v>29</v>
      </c>
      <c r="P35" s="94" t="s">
        <v>29</v>
      </c>
      <c r="Q35" s="94" t="s">
        <v>29</v>
      </c>
      <c r="R35" s="94" t="s">
        <v>29</v>
      </c>
      <c r="S35" s="94" t="s">
        <v>29</v>
      </c>
      <c r="T35" s="94" t="s">
        <v>29</v>
      </c>
      <c r="U35" s="94" t="s">
        <v>29</v>
      </c>
      <c r="V35" s="94" t="s">
        <v>29</v>
      </c>
      <c r="W35" s="94" t="s">
        <v>29</v>
      </c>
      <c r="X35" s="243">
        <v>53</v>
      </c>
      <c r="Y35" s="243">
        <v>53</v>
      </c>
      <c r="Z35" s="243">
        <v>56.3</v>
      </c>
      <c r="AA35" s="349"/>
    </row>
    <row r="36" spans="1:89" ht="12.6" customHeight="1" x14ac:dyDescent="0.2">
      <c r="B36" s="2"/>
      <c r="E36" s="148"/>
      <c r="G36" s="33"/>
      <c r="AA36" s="349"/>
    </row>
    <row r="37" spans="1:89" s="273" customFormat="1" ht="12.6" customHeight="1" x14ac:dyDescent="0.25">
      <c r="A37" s="292"/>
      <c r="B37" s="266" t="str">
        <f>VLOOKUP(241,Textbausteine_102[],Hilfsgrössen!$D$2,FALSE)</f>
        <v>1) Depuis 2012, Swiss Post International ne constitue plus un segment autonome. Les valeurs la concernant ont été répercutées sur les unités d'affaires PostMail et PostLogistics depuis le 1er janvier 2012. PostMail et PostLogistics font partie du segment Services logistiques depuis le 1er janvier 2021.</v>
      </c>
      <c r="C37" s="271"/>
      <c r="E37" s="265"/>
      <c r="F37" s="274"/>
      <c r="G37" s="282"/>
      <c r="H37" s="295"/>
      <c r="I37" s="295"/>
      <c r="J37" s="295"/>
      <c r="K37" s="295"/>
      <c r="L37" s="295"/>
      <c r="M37" s="295"/>
      <c r="N37" s="274"/>
      <c r="O37" s="274"/>
      <c r="P37" s="274"/>
      <c r="Q37" s="274"/>
      <c r="R37" s="295"/>
      <c r="S37" s="295"/>
      <c r="T37" s="274"/>
      <c r="U37" s="274"/>
      <c r="V37" s="274"/>
      <c r="W37" s="274"/>
      <c r="X37" s="274"/>
      <c r="Y37" s="274"/>
      <c r="Z37" s="274"/>
      <c r="AA37" s="349"/>
      <c r="AB37" s="274"/>
      <c r="AC37" s="274"/>
      <c r="AD37" s="274"/>
      <c r="AE37" s="274"/>
      <c r="AF37" s="274"/>
      <c r="AG37" s="274"/>
      <c r="AH37" s="274"/>
      <c r="AI37" s="274"/>
      <c r="AJ37" s="274"/>
      <c r="AK37" s="274"/>
      <c r="AL37" s="274"/>
      <c r="AM37" s="274"/>
      <c r="AN37" s="274"/>
      <c r="AO37" s="274"/>
      <c r="AP37" s="274"/>
      <c r="AQ37" s="274"/>
      <c r="AR37" s="274"/>
      <c r="AS37" s="274"/>
      <c r="AT37" s="274"/>
      <c r="AU37" s="274"/>
      <c r="AV37" s="274"/>
      <c r="AW37" s="274"/>
      <c r="AX37" s="274"/>
      <c r="AY37" s="274"/>
      <c r="AZ37" s="274"/>
      <c r="BA37" s="274"/>
      <c r="BB37" s="274"/>
      <c r="BC37" s="274"/>
      <c r="BD37" s="274"/>
      <c r="BE37" s="274"/>
      <c r="BF37" s="274"/>
      <c r="BG37" s="274"/>
      <c r="BH37" s="274"/>
      <c r="BI37" s="274"/>
      <c r="BJ37" s="274"/>
      <c r="BK37" s="274"/>
      <c r="BL37" s="274"/>
      <c r="BM37" s="274"/>
      <c r="BN37" s="274"/>
      <c r="BO37" s="274"/>
      <c r="BP37" s="274"/>
      <c r="BQ37" s="274"/>
      <c r="BR37" s="274"/>
      <c r="BS37" s="274"/>
      <c r="BT37" s="274"/>
      <c r="BU37" s="274"/>
      <c r="BV37" s="274"/>
      <c r="BW37" s="274"/>
      <c r="BX37" s="274"/>
      <c r="BY37" s="274"/>
      <c r="BZ37" s="274"/>
      <c r="CA37" s="274"/>
      <c r="CB37" s="274"/>
      <c r="CC37" s="274"/>
      <c r="CD37" s="274"/>
      <c r="CE37" s="274"/>
      <c r="CF37" s="274"/>
      <c r="CG37" s="274"/>
      <c r="CH37" s="274"/>
      <c r="CI37" s="274"/>
      <c r="CJ37" s="274"/>
      <c r="CK37" s="274"/>
    </row>
    <row r="38" spans="1:89" ht="12.6" customHeight="1" x14ac:dyDescent="0.25">
      <c r="B38" s="266" t="str">
        <f>VLOOKUP(242,Textbausteine_102[],Hilfsgrössen!$D$2,FALSE)</f>
        <v>2) Les opérations passives comprennent la prise en charge des fonds des clients.</v>
      </c>
      <c r="C38" s="13"/>
      <c r="H38" s="91"/>
      <c r="I38" s="91"/>
      <c r="J38" s="91"/>
      <c r="K38" s="91"/>
      <c r="L38" s="91"/>
      <c r="M38" s="91"/>
      <c r="N38" s="11"/>
      <c r="O38" s="11"/>
      <c r="R38" s="91"/>
      <c r="S38" s="91"/>
      <c r="T38" s="9"/>
      <c r="U38" s="9"/>
      <c r="V38" s="9"/>
      <c r="W38" s="9"/>
      <c r="X38" s="269"/>
      <c r="Y38" s="9"/>
      <c r="Z38" s="9"/>
      <c r="AA38" s="349"/>
    </row>
    <row r="39" spans="1:89" ht="12.6" customHeight="1" x14ac:dyDescent="0.25">
      <c r="B39" s="266" t="str">
        <f>VLOOKUP(243,Textbausteine_102[],Hilfsgrössen!$D$2,FALSE)</f>
        <v>3) Valeur effective 2013 provisoire (novembre 2013); exercices précédents ajustés après le changement de raison sociale en PostFinance SA fin juin 2013.</v>
      </c>
      <c r="C39" s="48"/>
      <c r="H39" s="99"/>
      <c r="I39" s="99"/>
      <c r="J39" s="99"/>
      <c r="K39" s="99"/>
      <c r="L39" s="99"/>
      <c r="M39" s="99"/>
      <c r="N39" s="91"/>
      <c r="O39" s="91"/>
      <c r="P39" s="91"/>
      <c r="Q39" s="91"/>
      <c r="R39" s="91"/>
      <c r="S39" s="91"/>
      <c r="T39" s="9"/>
      <c r="U39" s="9"/>
      <c r="V39" s="9"/>
      <c r="W39" s="9"/>
      <c r="X39" s="269"/>
      <c r="Y39" s="9"/>
      <c r="Z39" s="9"/>
      <c r="AA39" s="349"/>
    </row>
    <row r="40" spans="1:89" ht="12.6" customHeight="1" x14ac:dyDescent="0.25">
      <c r="B40" s="266" t="str">
        <f>VLOOKUP(244,Textbausteine_102[],Hilfsgrössen!$D$2,FALSE)</f>
        <v>4) Part de marché absolue: chiffre d’affaires de CarPostal SA par rapport au chiffre d’affaires du marché.</v>
      </c>
      <c r="C40" s="48"/>
      <c r="E40" s="148"/>
      <c r="H40" s="99"/>
      <c r="I40" s="99"/>
      <c r="J40" s="99"/>
      <c r="K40" s="99"/>
      <c r="L40" s="99"/>
      <c r="M40" s="99"/>
      <c r="N40" s="91"/>
      <c r="O40" s="91"/>
      <c r="P40" s="91"/>
      <c r="Q40" s="91"/>
      <c r="R40" s="91"/>
      <c r="S40" s="91"/>
      <c r="T40" s="9"/>
      <c r="U40" s="9"/>
      <c r="V40" s="9"/>
      <c r="W40" s="9"/>
      <c r="X40" s="269"/>
      <c r="Y40" s="9"/>
      <c r="Z40" s="9"/>
      <c r="AA40" s="349"/>
    </row>
    <row r="41" spans="1:89" s="273" customFormat="1" ht="12.6" customHeight="1" x14ac:dyDescent="0.25">
      <c r="A41" s="292"/>
      <c r="B41" s="266" t="str">
        <f>VLOOKUP(245,Textbausteine_102[],Hilfsgrössen!$D$2,FALSE)</f>
        <v>5) Entre 2010 à et avec 2013: y compris les clients privés gérés par RéseauPostal.</v>
      </c>
      <c r="C41" s="271"/>
      <c r="E41" s="293"/>
      <c r="F41" s="294"/>
      <c r="G41" s="282"/>
      <c r="H41" s="295"/>
      <c r="I41" s="295"/>
      <c r="J41" s="295"/>
      <c r="K41" s="295"/>
      <c r="L41" s="295"/>
      <c r="M41" s="295"/>
      <c r="N41" s="274"/>
      <c r="O41" s="274"/>
      <c r="P41" s="274"/>
      <c r="Q41" s="274"/>
      <c r="R41" s="295"/>
      <c r="S41" s="295"/>
      <c r="T41" s="274"/>
      <c r="U41" s="274"/>
      <c r="V41" s="274"/>
      <c r="W41" s="274"/>
      <c r="X41" s="274"/>
      <c r="Y41" s="274"/>
      <c r="Z41" s="274"/>
      <c r="AA41" s="349"/>
      <c r="AB41" s="274"/>
      <c r="AC41" s="274"/>
      <c r="AD41" s="274"/>
      <c r="AE41" s="274"/>
      <c r="AF41" s="274"/>
      <c r="AG41" s="274"/>
      <c r="AH41" s="274"/>
      <c r="AI41" s="274"/>
      <c r="AJ41" s="274"/>
      <c r="AK41" s="274"/>
      <c r="AL41" s="274"/>
      <c r="AM41" s="274"/>
      <c r="AN41" s="274"/>
      <c r="AO41" s="274"/>
      <c r="AP41" s="274"/>
      <c r="AQ41" s="274"/>
      <c r="AR41" s="274"/>
      <c r="AS41" s="274"/>
      <c r="AT41" s="274"/>
      <c r="AU41" s="274"/>
      <c r="AV41" s="274"/>
      <c r="AW41" s="274"/>
      <c r="AX41" s="274"/>
      <c r="AY41" s="274"/>
      <c r="AZ41" s="274"/>
      <c r="BA41" s="274"/>
      <c r="BB41" s="274"/>
      <c r="BC41" s="274"/>
      <c r="BD41" s="274"/>
      <c r="BE41" s="274"/>
      <c r="BF41" s="274"/>
      <c r="BG41" s="274"/>
      <c r="BH41" s="274"/>
      <c r="BI41" s="274"/>
      <c r="BJ41" s="274"/>
      <c r="BK41" s="274"/>
      <c r="BL41" s="274"/>
      <c r="BM41" s="274"/>
      <c r="BN41" s="274"/>
      <c r="BO41" s="274"/>
      <c r="BP41" s="274"/>
      <c r="BQ41" s="274"/>
      <c r="BR41" s="274"/>
      <c r="BS41" s="274"/>
      <c r="BT41" s="274"/>
      <c r="BU41" s="274"/>
      <c r="BV41" s="274"/>
      <c r="BW41" s="274"/>
      <c r="BX41" s="274"/>
      <c r="BY41" s="274"/>
      <c r="BZ41" s="274"/>
      <c r="CA41" s="274"/>
      <c r="CB41" s="274"/>
      <c r="CC41" s="274"/>
      <c r="CD41" s="274"/>
      <c r="CE41" s="274"/>
      <c r="CF41" s="274"/>
      <c r="CG41" s="274"/>
      <c r="CH41" s="274"/>
      <c r="CI41" s="274"/>
      <c r="CJ41" s="274"/>
      <c r="CK41" s="274"/>
    </row>
    <row r="42" spans="1:89" ht="12.6" customHeight="1" x14ac:dyDescent="0.25">
      <c r="B42" s="266" t="str">
        <f>VLOOKUP(246,Textbausteine_102[],Hilfsgrössen!$D$2,FALSE)</f>
        <v>6) Depuis 2014, les volumes de TNT ne sont plus intégrés dans le calcul des parts de marché, de manière à assurer la concordance avec les volumes présentés. L'exercice 2013 est présenté en outre comme valeur de comparaison. Les valeurs de 2005 à 2012 ne peuvent pas être comparées.</v>
      </c>
      <c r="C42" s="266"/>
      <c r="D42" s="266"/>
      <c r="E42" s="151"/>
      <c r="F42" s="30"/>
      <c r="G42" s="266"/>
      <c r="H42" s="266"/>
      <c r="I42" s="266"/>
      <c r="J42" s="266"/>
      <c r="K42" s="266"/>
      <c r="L42" s="266"/>
      <c r="M42" s="266"/>
      <c r="N42" s="266"/>
      <c r="O42" s="266"/>
      <c r="P42" s="266"/>
      <c r="Q42" s="266"/>
      <c r="R42" s="91"/>
      <c r="S42" s="91"/>
      <c r="T42" s="9"/>
      <c r="U42" s="9"/>
      <c r="V42" s="9"/>
      <c r="W42" s="9"/>
      <c r="X42" s="269"/>
      <c r="Y42" s="9"/>
      <c r="Z42" s="9"/>
      <c r="AA42" s="349"/>
    </row>
    <row r="43" spans="1:89" ht="12.6" customHeight="1" x14ac:dyDescent="0.25">
      <c r="B43" s="266" t="str">
        <f>VLOOKUP(247,Textbausteine_102[],Hilfsgrössen!$D$2,FALSE)</f>
        <v>7) Depuis le 1er janvier 2016, la part de marché des opérations passives de PostFinance n'est plus relevée.</v>
      </c>
      <c r="C43" s="266"/>
      <c r="D43" s="266"/>
      <c r="E43" s="151"/>
      <c r="F43" s="30"/>
      <c r="G43" s="266"/>
      <c r="H43" s="266"/>
      <c r="I43" s="266"/>
      <c r="J43" s="266"/>
      <c r="K43" s="266"/>
      <c r="L43" s="266"/>
      <c r="M43" s="266"/>
      <c r="N43" s="266"/>
      <c r="O43" s="266"/>
      <c r="P43" s="266"/>
      <c r="Q43" s="266"/>
      <c r="R43" s="91"/>
      <c r="S43" s="91"/>
      <c r="T43" s="9"/>
      <c r="U43" s="9"/>
      <c r="V43" s="9"/>
      <c r="W43" s="9"/>
      <c r="X43" s="269"/>
      <c r="Y43" s="9"/>
      <c r="Z43" s="9"/>
      <c r="AA43" s="349"/>
    </row>
    <row r="44" spans="1:89" ht="12.6" customHeight="1" x14ac:dyDescent="0.25">
      <c r="B44" s="266" t="str">
        <f>VLOOKUP(248,Textbausteine_102[],Hilfsgrössen!$D$2,FALSE)</f>
        <v>8) À ce jour, Services de communication ne travaille pas avec des parts de marché.</v>
      </c>
      <c r="C44" s="13"/>
      <c r="H44" s="91"/>
      <c r="I44" s="91"/>
      <c r="J44" s="91"/>
      <c r="K44" s="91"/>
      <c r="L44" s="91"/>
      <c r="M44" s="91"/>
      <c r="N44" s="11"/>
      <c r="O44" s="11"/>
      <c r="R44" s="91"/>
      <c r="S44" s="91"/>
      <c r="T44" s="9"/>
      <c r="U44" s="9"/>
      <c r="V44" s="9"/>
      <c r="W44" s="9"/>
      <c r="X44" s="269"/>
      <c r="Y44" s="9"/>
      <c r="Z44" s="9"/>
      <c r="AA44" s="349"/>
    </row>
    <row r="45" spans="1:89" ht="12.6" customHeight="1" x14ac:dyDescent="0.25">
      <c r="B45" s="266"/>
      <c r="C45" s="277"/>
      <c r="E45" s="148"/>
      <c r="G45" s="33"/>
      <c r="AA45" s="349"/>
    </row>
    <row r="46" spans="1:89" ht="12.6" customHeight="1" x14ac:dyDescent="0.2">
      <c r="C46" s="13"/>
      <c r="H46" s="91"/>
      <c r="I46" s="91"/>
      <c r="J46" s="91"/>
      <c r="K46" s="91"/>
      <c r="L46" s="91"/>
      <c r="M46" s="91"/>
      <c r="N46" s="11"/>
      <c r="O46" s="11"/>
      <c r="R46" s="91"/>
      <c r="S46" s="91"/>
      <c r="T46" s="9"/>
      <c r="U46" s="9"/>
      <c r="V46" s="9"/>
      <c r="W46" s="9"/>
      <c r="X46" s="269"/>
      <c r="Y46" s="9"/>
      <c r="Z46" s="9"/>
      <c r="AA46" s="349"/>
    </row>
    <row r="47" spans="1:89" s="78" customFormat="1" ht="12.6" customHeight="1" x14ac:dyDescent="0.2">
      <c r="A47" s="43" t="s">
        <v>27</v>
      </c>
      <c r="B47" s="401" t="str">
        <f>$C$8</f>
        <v>Financement</v>
      </c>
      <c r="C47" s="401"/>
      <c r="D47" s="78" t="str">
        <f>VLOOKUP(32,Textbausteine_Menu[],Hilfsgrössen!$D$2,FALSE)</f>
        <v>Unité</v>
      </c>
      <c r="E47" s="147" t="str">
        <f>VLOOKUP(33,Textbausteine_Menu[],Hilfsgrössen!$D$2,FALSE)</f>
        <v>Notes</v>
      </c>
      <c r="F47" s="28" t="str">
        <f>VLOOKUP(34,Textbausteine_Menu[],Hilfsgrössen!$D$2,FALSE)</f>
        <v>GRI</v>
      </c>
      <c r="G47" s="33"/>
      <c r="H47" s="72">
        <v>2004</v>
      </c>
      <c r="I47" s="72">
        <v>2005</v>
      </c>
      <c r="J47" s="72">
        <v>2006</v>
      </c>
      <c r="K47" s="72">
        <v>2007</v>
      </c>
      <c r="L47" s="72">
        <v>2008</v>
      </c>
      <c r="M47" s="72">
        <v>2009</v>
      </c>
      <c r="N47" s="72">
        <v>2010</v>
      </c>
      <c r="O47" s="72">
        <v>2011</v>
      </c>
      <c r="P47" s="72">
        <v>2012</v>
      </c>
      <c r="Q47" s="72">
        <v>2013</v>
      </c>
      <c r="R47" s="72">
        <v>2014</v>
      </c>
      <c r="S47" s="72">
        <v>2015</v>
      </c>
      <c r="T47" s="74">
        <v>2016</v>
      </c>
      <c r="U47" s="74">
        <v>2017</v>
      </c>
      <c r="V47" s="74">
        <v>2018</v>
      </c>
      <c r="W47" s="74">
        <v>2019</v>
      </c>
      <c r="X47" s="241">
        <v>2020</v>
      </c>
      <c r="Y47" s="74">
        <v>2021</v>
      </c>
      <c r="Z47" s="74">
        <v>2022</v>
      </c>
      <c r="AA47" s="361"/>
      <c r="AB47" s="72"/>
      <c r="AC47" s="72"/>
      <c r="AD47" s="72"/>
      <c r="AE47" s="72"/>
      <c r="AF47" s="72"/>
      <c r="AG47" s="72"/>
      <c r="AH47" s="72"/>
      <c r="AI47" s="72"/>
      <c r="AJ47" s="72"/>
      <c r="AK47" s="72"/>
      <c r="AL47" s="72"/>
      <c r="AM47" s="72"/>
      <c r="AN47" s="72"/>
      <c r="AO47" s="72"/>
      <c r="AP47" s="72"/>
      <c r="AQ47" s="72"/>
      <c r="AR47" s="72"/>
      <c r="AS47" s="72"/>
      <c r="AT47" s="72"/>
      <c r="AU47" s="72"/>
      <c r="AV47" s="72"/>
      <c r="AW47" s="72"/>
      <c r="AX47" s="72"/>
      <c r="AY47" s="72"/>
      <c r="AZ47" s="72"/>
      <c r="BA47" s="72"/>
      <c r="BB47" s="72"/>
      <c r="BC47" s="72"/>
      <c r="BD47" s="72"/>
      <c r="BE47" s="72"/>
      <c r="BF47" s="72"/>
      <c r="BG47" s="72"/>
      <c r="BH47" s="72"/>
      <c r="BI47" s="72"/>
      <c r="BJ47" s="72"/>
      <c r="BK47" s="72"/>
      <c r="BL47" s="72"/>
      <c r="BM47" s="72"/>
      <c r="BN47" s="72"/>
      <c r="BO47" s="72"/>
      <c r="BP47" s="72"/>
      <c r="BQ47" s="72"/>
      <c r="BR47" s="72"/>
      <c r="BS47" s="72"/>
      <c r="BT47" s="72"/>
      <c r="BU47" s="72"/>
      <c r="BV47" s="72"/>
      <c r="BW47" s="72"/>
      <c r="BX47" s="72"/>
      <c r="BY47" s="72"/>
      <c r="BZ47" s="72"/>
      <c r="CA47" s="72"/>
      <c r="CB47" s="72"/>
      <c r="CC47" s="72"/>
      <c r="CD47" s="72"/>
      <c r="CE47" s="72"/>
      <c r="CF47" s="72"/>
      <c r="CG47" s="72"/>
      <c r="CH47" s="72"/>
      <c r="CI47" s="72"/>
      <c r="CJ47" s="72"/>
      <c r="CK47" s="72"/>
    </row>
    <row r="48" spans="1:89" s="42" customFormat="1" ht="12.6" customHeight="1" x14ac:dyDescent="0.2">
      <c r="A48" s="57"/>
      <c r="B48" s="401"/>
      <c r="C48" s="401"/>
      <c r="E48" s="145"/>
      <c r="F48" s="28"/>
      <c r="G48" s="34"/>
      <c r="H48" s="73"/>
      <c r="I48" s="73"/>
      <c r="J48" s="73"/>
      <c r="K48" s="73"/>
      <c r="L48" s="73"/>
      <c r="M48" s="73"/>
      <c r="N48" s="73"/>
      <c r="O48" s="73"/>
      <c r="P48" s="73"/>
      <c r="Q48" s="73"/>
      <c r="R48" s="73"/>
      <c r="S48" s="73"/>
      <c r="T48" s="75"/>
      <c r="U48" s="75"/>
      <c r="V48" s="75"/>
      <c r="W48" s="75"/>
      <c r="X48" s="242"/>
      <c r="Y48" s="75"/>
      <c r="Z48" s="75"/>
      <c r="AA48" s="362"/>
      <c r="AB48" s="73"/>
      <c r="AC48" s="73"/>
      <c r="AD48" s="73"/>
      <c r="AE48" s="73"/>
      <c r="AF48" s="73"/>
      <c r="AG48" s="73"/>
      <c r="AH48" s="73"/>
      <c r="AI48" s="73"/>
      <c r="AJ48" s="73"/>
      <c r="AK48" s="73"/>
      <c r="AL48" s="73"/>
      <c r="AM48" s="73"/>
      <c r="AN48" s="73"/>
      <c r="AO48" s="73"/>
      <c r="AP48" s="73"/>
      <c r="AQ48" s="73"/>
      <c r="AR48" s="73"/>
      <c r="AS48" s="73"/>
      <c r="AT48" s="73"/>
      <c r="AU48" s="73"/>
      <c r="AV48" s="73"/>
      <c r="AW48" s="73"/>
      <c r="AX48" s="73"/>
      <c r="AY48" s="73"/>
      <c r="AZ48" s="73"/>
      <c r="BA48" s="73"/>
      <c r="BB48" s="73"/>
      <c r="BC48" s="73"/>
      <c r="BD48" s="73"/>
      <c r="BE48" s="73"/>
      <c r="BF48" s="73"/>
      <c r="BG48" s="73"/>
      <c r="BH48" s="73"/>
      <c r="BI48" s="73"/>
      <c r="BJ48" s="73"/>
      <c r="BK48" s="73"/>
      <c r="BL48" s="73"/>
      <c r="BM48" s="73"/>
      <c r="BN48" s="73"/>
      <c r="BO48" s="73"/>
      <c r="BP48" s="73"/>
      <c r="BQ48" s="73"/>
      <c r="BR48" s="73"/>
      <c r="BS48" s="73"/>
      <c r="BT48" s="73"/>
      <c r="BU48" s="73"/>
      <c r="BV48" s="73"/>
      <c r="BW48" s="73"/>
      <c r="BX48" s="73"/>
      <c r="BY48" s="73"/>
      <c r="BZ48" s="73"/>
      <c r="CA48" s="73"/>
      <c r="CB48" s="73"/>
      <c r="CC48" s="73"/>
      <c r="CD48" s="73"/>
      <c r="CE48" s="73"/>
      <c r="CF48" s="73"/>
      <c r="CG48" s="73"/>
      <c r="CH48" s="73"/>
      <c r="CI48" s="73"/>
      <c r="CJ48" s="73"/>
      <c r="CK48" s="73"/>
    </row>
    <row r="49" spans="1:89" ht="12.6" customHeight="1" x14ac:dyDescent="0.2">
      <c r="B49" s="2"/>
      <c r="E49" s="148"/>
      <c r="G49" s="33"/>
      <c r="AA49" s="349"/>
    </row>
    <row r="50" spans="1:89" ht="12.6" customHeight="1" x14ac:dyDescent="0.2">
      <c r="B50" s="2" t="str">
        <f>VLOOKUP(36,Textbausteine_Menu[],Hilfsgrössen!$D$2,FALSE)</f>
        <v>Groupe</v>
      </c>
      <c r="E50" s="148"/>
      <c r="T50" s="9"/>
      <c r="U50" s="9"/>
      <c r="V50" s="9"/>
      <c r="W50" s="9"/>
      <c r="X50" s="269"/>
      <c r="Y50" s="9"/>
      <c r="Z50" s="9"/>
      <c r="AA50" s="349"/>
    </row>
    <row r="51" spans="1:89" ht="12.6" customHeight="1" x14ac:dyDescent="0.2">
      <c r="B51" s="2"/>
      <c r="C51" s="1" t="str">
        <f>VLOOKUP(51,Textbausteine_102[],Hilfsgrössen!$D$2,FALSE)</f>
        <v>Total du bilan</v>
      </c>
      <c r="D51" s="1" t="str">
        <f>VLOOKUP(22,Textbausteine_102[],Hilfsgrössen!$D$2,FALSE)</f>
        <v>Millions de CHF</v>
      </c>
      <c r="E51" s="148"/>
      <c r="F51" s="94" t="s">
        <v>3167</v>
      </c>
      <c r="H51" s="80" t="s">
        <v>29</v>
      </c>
      <c r="I51" s="9">
        <v>50130</v>
      </c>
      <c r="J51" s="9">
        <v>55600</v>
      </c>
      <c r="K51" s="9">
        <v>60085</v>
      </c>
      <c r="L51" s="9">
        <v>71603</v>
      </c>
      <c r="M51" s="9">
        <v>84676</v>
      </c>
      <c r="N51" s="9">
        <v>93310</v>
      </c>
      <c r="O51" s="9">
        <v>108254</v>
      </c>
      <c r="P51" s="9">
        <v>120069</v>
      </c>
      <c r="Q51" s="9">
        <v>120383</v>
      </c>
      <c r="R51" s="9">
        <v>124671</v>
      </c>
      <c r="S51" s="9">
        <v>120327</v>
      </c>
      <c r="T51" s="9">
        <v>126545</v>
      </c>
      <c r="U51" s="9">
        <v>127289</v>
      </c>
      <c r="V51" s="9">
        <v>124196</v>
      </c>
      <c r="W51" s="9">
        <v>132544</v>
      </c>
      <c r="X51" s="269">
        <v>124274</v>
      </c>
      <c r="Y51" s="9">
        <v>128397</v>
      </c>
      <c r="Z51" s="9">
        <v>120470</v>
      </c>
      <c r="AA51" s="349"/>
    </row>
    <row r="52" spans="1:89" ht="12.6" customHeight="1" x14ac:dyDescent="0.2">
      <c r="C52" s="13" t="str">
        <f>VLOOKUP(52,Textbausteine_102[],Hilfsgrössen!$D$2,FALSE)</f>
        <v>Fonds des clients PostFinance</v>
      </c>
      <c r="D52" s="1" t="str">
        <f>VLOOKUP(22,Textbausteine_102[],Hilfsgrössen!$D$2,FALSE)</f>
        <v>Millions de CHF</v>
      </c>
      <c r="E52" s="148"/>
      <c r="F52" s="94" t="s">
        <v>3167</v>
      </c>
      <c r="H52" s="80" t="s">
        <v>29</v>
      </c>
      <c r="I52" s="11">
        <v>43630</v>
      </c>
      <c r="J52" s="11">
        <v>48364</v>
      </c>
      <c r="K52" s="11">
        <v>51462</v>
      </c>
      <c r="L52" s="11">
        <v>64204</v>
      </c>
      <c r="M52" s="11">
        <v>77272</v>
      </c>
      <c r="N52" s="11">
        <v>85725</v>
      </c>
      <c r="O52" s="9">
        <v>100707</v>
      </c>
      <c r="P52" s="9">
        <v>110531</v>
      </c>
      <c r="Q52" s="9">
        <v>109086</v>
      </c>
      <c r="R52" s="9">
        <v>112150</v>
      </c>
      <c r="S52" s="9">
        <v>107380</v>
      </c>
      <c r="T52" s="9">
        <v>110477</v>
      </c>
      <c r="U52" s="9">
        <v>113195</v>
      </c>
      <c r="V52" s="9">
        <v>111141</v>
      </c>
      <c r="W52" s="9">
        <v>108669</v>
      </c>
      <c r="X52" s="9">
        <v>109337</v>
      </c>
      <c r="Y52" s="9">
        <v>94110</v>
      </c>
      <c r="Z52" s="9">
        <v>89994</v>
      </c>
      <c r="AA52" s="349"/>
    </row>
    <row r="53" spans="1:89" ht="12.6" customHeight="1" x14ac:dyDescent="0.2">
      <c r="C53" s="13" t="str">
        <f>VLOOKUP(53,Textbausteine_102[],Hilfsgrössen!$D$2,FALSE)</f>
        <v>Part au total du bilan</v>
      </c>
      <c r="D53" s="1" t="str">
        <f>VLOOKUP(21,Textbausteine_102[],Hilfsgrössen!$D$2,FALSE)</f>
        <v>%</v>
      </c>
      <c r="E53" s="148"/>
      <c r="F53" s="94" t="s">
        <v>3167</v>
      </c>
      <c r="H53" s="80" t="s">
        <v>29</v>
      </c>
      <c r="I53" s="11">
        <v>87</v>
      </c>
      <c r="J53" s="11">
        <v>87</v>
      </c>
      <c r="K53" s="11">
        <v>86</v>
      </c>
      <c r="L53" s="11">
        <v>90</v>
      </c>
      <c r="M53" s="11">
        <v>91</v>
      </c>
      <c r="N53" s="11">
        <v>92</v>
      </c>
      <c r="O53" s="9">
        <v>93</v>
      </c>
      <c r="P53" s="15">
        <v>92</v>
      </c>
      <c r="Q53" s="9">
        <v>91</v>
      </c>
      <c r="R53" s="9">
        <v>90</v>
      </c>
      <c r="S53" s="9">
        <v>89</v>
      </c>
      <c r="T53" s="9">
        <v>87</v>
      </c>
      <c r="U53" s="9">
        <v>89</v>
      </c>
      <c r="V53" s="9">
        <v>89</v>
      </c>
      <c r="W53" s="9">
        <v>82</v>
      </c>
      <c r="X53" s="269">
        <v>88</v>
      </c>
      <c r="Y53" s="9">
        <v>73</v>
      </c>
      <c r="Z53" s="9">
        <v>75</v>
      </c>
      <c r="AA53" s="349"/>
    </row>
    <row r="54" spans="1:89" ht="12.6" customHeight="1" x14ac:dyDescent="0.2">
      <c r="C54" s="1" t="str">
        <f>VLOOKUP(54,Textbausteine_102[],Hilfsgrössen!$D$2,FALSE)</f>
        <v>Fonds propres</v>
      </c>
      <c r="D54" s="1" t="str">
        <f>VLOOKUP(22,Textbausteine_102[],Hilfsgrössen!$D$2,FALSE)</f>
        <v>Millions de CHF</v>
      </c>
      <c r="E54" s="331" t="s">
        <v>50</v>
      </c>
      <c r="F54" s="94" t="s">
        <v>3167</v>
      </c>
      <c r="H54" s="80" t="s">
        <v>29</v>
      </c>
      <c r="I54" s="91">
        <v>922</v>
      </c>
      <c r="J54" s="91">
        <v>1605</v>
      </c>
      <c r="K54" s="91">
        <v>2470</v>
      </c>
      <c r="L54" s="91">
        <v>2857</v>
      </c>
      <c r="M54" s="91">
        <v>3534</v>
      </c>
      <c r="N54" s="11">
        <v>4224</v>
      </c>
      <c r="O54" s="11">
        <v>4879</v>
      </c>
      <c r="P54" s="9">
        <v>3145</v>
      </c>
      <c r="Q54" s="9">
        <v>5637</v>
      </c>
      <c r="R54" s="91">
        <v>5010</v>
      </c>
      <c r="S54" s="91">
        <v>4385</v>
      </c>
      <c r="T54" s="9">
        <v>4744</v>
      </c>
      <c r="U54" s="9">
        <v>6583</v>
      </c>
      <c r="V54" s="9">
        <v>6759</v>
      </c>
      <c r="W54" s="9">
        <v>6834</v>
      </c>
      <c r="X54" s="269">
        <v>6906</v>
      </c>
      <c r="Y54" s="11">
        <v>8918</v>
      </c>
      <c r="Z54" s="11">
        <v>9884</v>
      </c>
      <c r="AA54" s="349"/>
    </row>
    <row r="55" spans="1:89" ht="12.6" customHeight="1" x14ac:dyDescent="0.2">
      <c r="C55" s="13"/>
      <c r="H55" s="91"/>
      <c r="I55" s="91"/>
      <c r="J55" s="91"/>
      <c r="K55" s="91"/>
      <c r="L55" s="91"/>
      <c r="M55" s="91"/>
      <c r="N55" s="11"/>
      <c r="O55" s="11"/>
      <c r="R55" s="91"/>
      <c r="S55" s="91"/>
      <c r="T55" s="9"/>
      <c r="U55" s="9"/>
      <c r="V55" s="9"/>
      <c r="W55" s="9"/>
      <c r="X55" s="269"/>
      <c r="Y55" s="9"/>
      <c r="Z55" s="9"/>
      <c r="AA55" s="349"/>
    </row>
    <row r="56" spans="1:89" s="326" customFormat="1" ht="12.6" customHeight="1" x14ac:dyDescent="0.25">
      <c r="A56" s="324"/>
      <c r="B56" s="334" t="str">
        <f>VLOOKUP(250,Textbausteine_102[],Hilfsgrössen!$D$2,FALSE)</f>
        <v xml:space="preserve">1) La valeur de l’exercice 2021 a été ajustée. </v>
      </c>
      <c r="C56" s="363"/>
      <c r="E56" s="338"/>
      <c r="F56" s="328"/>
      <c r="G56" s="329"/>
      <c r="H56" s="91"/>
      <c r="I56" s="91"/>
      <c r="J56" s="91"/>
      <c r="K56" s="91"/>
      <c r="L56" s="91"/>
      <c r="M56" s="91"/>
      <c r="N56" s="327"/>
      <c r="O56" s="327"/>
      <c r="P56" s="328"/>
      <c r="Q56" s="328"/>
      <c r="R56" s="91"/>
      <c r="S56" s="91"/>
      <c r="T56" s="328"/>
      <c r="U56" s="328"/>
      <c r="V56" s="328"/>
      <c r="W56" s="328"/>
      <c r="X56" s="328"/>
      <c r="Y56" s="328"/>
      <c r="Z56" s="328"/>
      <c r="AA56" s="349"/>
      <c r="AB56" s="328"/>
      <c r="AC56" s="328"/>
      <c r="AD56" s="328"/>
      <c r="AE56" s="328"/>
      <c r="AF56" s="328"/>
      <c r="AG56" s="328"/>
      <c r="AH56" s="328"/>
      <c r="AI56" s="328"/>
      <c r="AJ56" s="328"/>
      <c r="AK56" s="328"/>
      <c r="AL56" s="328"/>
      <c r="AM56" s="328"/>
      <c r="AN56" s="328"/>
      <c r="AO56" s="328"/>
      <c r="AP56" s="328"/>
      <c r="AQ56" s="328"/>
      <c r="AR56" s="328"/>
      <c r="AS56" s="328"/>
      <c r="AT56" s="328"/>
      <c r="AU56" s="328"/>
      <c r="AV56" s="328"/>
      <c r="AW56" s="328"/>
      <c r="AX56" s="328"/>
      <c r="AY56" s="328"/>
      <c r="AZ56" s="328"/>
      <c r="BA56" s="328"/>
      <c r="BB56" s="328"/>
      <c r="BC56" s="328"/>
      <c r="BD56" s="328"/>
      <c r="BE56" s="328"/>
      <c r="BF56" s="328"/>
      <c r="BG56" s="328"/>
      <c r="BH56" s="328"/>
      <c r="BI56" s="328"/>
      <c r="BJ56" s="328"/>
      <c r="BK56" s="328"/>
      <c r="BL56" s="328"/>
      <c r="BM56" s="328"/>
      <c r="BN56" s="328"/>
      <c r="BO56" s="328"/>
      <c r="BP56" s="328"/>
      <c r="BQ56" s="328"/>
      <c r="BR56" s="328"/>
      <c r="BS56" s="328"/>
      <c r="BT56" s="328"/>
      <c r="BU56" s="328"/>
      <c r="BV56" s="328"/>
      <c r="BW56" s="328"/>
      <c r="BX56" s="328"/>
      <c r="BY56" s="328"/>
      <c r="BZ56" s="328"/>
      <c r="CA56" s="328"/>
      <c r="CB56" s="328"/>
      <c r="CC56" s="328"/>
      <c r="CD56" s="328"/>
      <c r="CE56" s="328"/>
      <c r="CF56" s="328"/>
      <c r="CG56" s="328"/>
      <c r="CH56" s="328"/>
      <c r="CI56" s="328"/>
      <c r="CJ56" s="328"/>
      <c r="CK56" s="328"/>
    </row>
    <row r="57" spans="1:89" ht="12.6" customHeight="1" x14ac:dyDescent="0.2">
      <c r="C57" s="13"/>
      <c r="H57" s="91"/>
      <c r="I57" s="91"/>
      <c r="J57" s="91"/>
      <c r="K57" s="91"/>
      <c r="L57" s="91"/>
      <c r="M57" s="91"/>
      <c r="N57" s="11"/>
      <c r="O57" s="11"/>
      <c r="R57" s="91"/>
      <c r="S57" s="91"/>
      <c r="T57" s="9"/>
      <c r="U57" s="9"/>
      <c r="V57" s="9"/>
      <c r="W57" s="9"/>
      <c r="X57" s="269"/>
      <c r="Y57" s="9"/>
      <c r="Z57" s="9"/>
      <c r="AA57" s="349"/>
    </row>
    <row r="58" spans="1:89" ht="12.6" customHeight="1" x14ac:dyDescent="0.2">
      <c r="C58" s="13"/>
      <c r="H58" s="91"/>
      <c r="I58" s="91"/>
      <c r="J58" s="91"/>
      <c r="K58" s="91"/>
      <c r="L58" s="91"/>
      <c r="M58" s="91"/>
      <c r="N58" s="11"/>
      <c r="O58" s="11"/>
      <c r="R58" s="91"/>
      <c r="S58" s="91"/>
      <c r="T58" s="9"/>
      <c r="U58" s="9"/>
      <c r="V58" s="9"/>
      <c r="W58" s="9"/>
      <c r="X58" s="269"/>
      <c r="Y58" s="9"/>
      <c r="Z58" s="9"/>
      <c r="AA58" s="349"/>
    </row>
    <row r="59" spans="1:89" s="78" customFormat="1" ht="12.6" customHeight="1" x14ac:dyDescent="0.2">
      <c r="A59" s="43" t="s">
        <v>27</v>
      </c>
      <c r="B59" s="401" t="str">
        <f>$C$9</f>
        <v>Cash-flow et investissements</v>
      </c>
      <c r="C59" s="401"/>
      <c r="D59" s="78" t="str">
        <f>VLOOKUP(32,Textbausteine_Menu[],Hilfsgrössen!$D$2,FALSE)</f>
        <v>Unité</v>
      </c>
      <c r="E59" s="147" t="str">
        <f>VLOOKUP(33,Textbausteine_Menu[],Hilfsgrössen!$D$2,FALSE)</f>
        <v>Notes</v>
      </c>
      <c r="F59" s="28" t="str">
        <f>VLOOKUP(34,Textbausteine_Menu[],Hilfsgrössen!$D$2,FALSE)</f>
        <v>GRI</v>
      </c>
      <c r="G59" s="33"/>
      <c r="H59" s="72">
        <v>2004</v>
      </c>
      <c r="I59" s="72">
        <v>2005</v>
      </c>
      <c r="J59" s="72">
        <v>2006</v>
      </c>
      <c r="K59" s="72">
        <v>2007</v>
      </c>
      <c r="L59" s="72">
        <v>2008</v>
      </c>
      <c r="M59" s="72">
        <v>2009</v>
      </c>
      <c r="N59" s="72">
        <v>2010</v>
      </c>
      <c r="O59" s="72">
        <v>2011</v>
      </c>
      <c r="P59" s="72">
        <v>2012</v>
      </c>
      <c r="Q59" s="72">
        <v>2013</v>
      </c>
      <c r="R59" s="72">
        <v>2014</v>
      </c>
      <c r="S59" s="72">
        <v>2015</v>
      </c>
      <c r="T59" s="74">
        <v>2016</v>
      </c>
      <c r="U59" s="74">
        <v>2017</v>
      </c>
      <c r="V59" s="74">
        <v>2018</v>
      </c>
      <c r="W59" s="74">
        <v>2019</v>
      </c>
      <c r="X59" s="74">
        <v>2020</v>
      </c>
      <c r="Y59" s="74">
        <v>2021</v>
      </c>
      <c r="Z59" s="74">
        <v>2022</v>
      </c>
      <c r="AA59" s="361"/>
      <c r="AB59" s="72"/>
      <c r="AC59" s="72"/>
      <c r="AD59" s="72"/>
      <c r="AE59" s="72"/>
      <c r="AF59" s="72"/>
      <c r="AG59" s="72"/>
      <c r="AH59" s="72"/>
      <c r="AI59" s="72"/>
      <c r="AJ59" s="72"/>
      <c r="AK59" s="72"/>
      <c r="AL59" s="72"/>
      <c r="AM59" s="72"/>
      <c r="AN59" s="72"/>
      <c r="AO59" s="72"/>
      <c r="AP59" s="72"/>
      <c r="AQ59" s="72"/>
      <c r="AR59" s="72"/>
      <c r="AS59" s="72"/>
      <c r="AT59" s="72"/>
      <c r="AU59" s="72"/>
      <c r="AV59" s="72"/>
      <c r="AW59" s="72"/>
      <c r="AX59" s="72"/>
      <c r="AY59" s="72"/>
      <c r="AZ59" s="72"/>
      <c r="BA59" s="72"/>
      <c r="BB59" s="72"/>
      <c r="BC59" s="72"/>
      <c r="BD59" s="72"/>
      <c r="BE59" s="72"/>
      <c r="BF59" s="72"/>
      <c r="BG59" s="72"/>
      <c r="BH59" s="72"/>
      <c r="BI59" s="72"/>
      <c r="BJ59" s="72"/>
      <c r="BK59" s="72"/>
      <c r="BL59" s="72"/>
      <c r="BM59" s="72"/>
      <c r="BN59" s="72"/>
      <c r="BO59" s="72"/>
      <c r="BP59" s="72"/>
      <c r="BQ59" s="72"/>
      <c r="BR59" s="72"/>
      <c r="BS59" s="72"/>
      <c r="BT59" s="72"/>
      <c r="BU59" s="72"/>
      <c r="BV59" s="72"/>
      <c r="BW59" s="72"/>
      <c r="BX59" s="72"/>
      <c r="BY59" s="72"/>
      <c r="BZ59" s="72"/>
      <c r="CA59" s="72"/>
      <c r="CB59" s="72"/>
      <c r="CC59" s="72"/>
      <c r="CD59" s="72"/>
      <c r="CE59" s="72"/>
      <c r="CF59" s="72"/>
      <c r="CG59" s="72"/>
      <c r="CH59" s="72"/>
      <c r="CI59" s="72"/>
      <c r="CJ59" s="72"/>
      <c r="CK59" s="72"/>
    </row>
    <row r="60" spans="1:89" s="42" customFormat="1" ht="12.6" customHeight="1" x14ac:dyDescent="0.2">
      <c r="A60" s="57"/>
      <c r="B60" s="401"/>
      <c r="C60" s="401"/>
      <c r="E60" s="145"/>
      <c r="F60" s="28"/>
      <c r="G60" s="34"/>
      <c r="H60" s="73"/>
      <c r="I60" s="73"/>
      <c r="J60" s="73"/>
      <c r="K60" s="73"/>
      <c r="L60" s="73"/>
      <c r="M60" s="73"/>
      <c r="N60" s="73"/>
      <c r="O60" s="73"/>
      <c r="P60" s="73"/>
      <c r="Q60" s="73"/>
      <c r="R60" s="73"/>
      <c r="S60" s="73"/>
      <c r="T60" s="75"/>
      <c r="U60" s="75"/>
      <c r="V60" s="75"/>
      <c r="W60" s="75"/>
      <c r="X60" s="242"/>
      <c r="Y60" s="75"/>
      <c r="Z60" s="75"/>
      <c r="AA60" s="362"/>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row>
    <row r="61" spans="1:89" ht="12.6" customHeight="1" x14ac:dyDescent="0.2">
      <c r="B61" s="2"/>
      <c r="E61" s="148"/>
      <c r="G61" s="33"/>
      <c r="AA61" s="349"/>
    </row>
    <row r="62" spans="1:89" ht="12.6" customHeight="1" x14ac:dyDescent="0.2">
      <c r="B62" s="2" t="str">
        <f>VLOOKUP(36,Textbausteine_Menu[],Hilfsgrössen!$D$2,FALSE)</f>
        <v>Groupe</v>
      </c>
      <c r="C62" s="2"/>
      <c r="E62" s="148"/>
      <c r="T62" s="9"/>
      <c r="U62" s="9"/>
      <c r="V62" s="9"/>
      <c r="W62" s="9"/>
      <c r="X62" s="269"/>
      <c r="Y62" s="9"/>
      <c r="Z62" s="9"/>
      <c r="AA62" s="349"/>
    </row>
    <row r="63" spans="1:89" ht="12.6" customHeight="1" x14ac:dyDescent="0.2">
      <c r="C63" s="48" t="str">
        <f>VLOOKUP(61,Textbausteine_102[],Hilfsgrössen!$D$2,FALSE)</f>
        <v>Flux de trésorerie des activités opérationnelles</v>
      </c>
      <c r="D63" s="1" t="str">
        <f>VLOOKUP(22,Textbausteine_102[],Hilfsgrössen!$D$2,FALSE)</f>
        <v>Millions de CHF</v>
      </c>
      <c r="E63" s="11">
        <v>1</v>
      </c>
      <c r="F63" s="94" t="s">
        <v>3167</v>
      </c>
      <c r="H63" s="80" t="s">
        <v>29</v>
      </c>
      <c r="I63" s="94">
        <v>3603</v>
      </c>
      <c r="J63" s="94">
        <v>3247</v>
      </c>
      <c r="K63" s="9">
        <v>-3312</v>
      </c>
      <c r="L63" s="9">
        <v>8281</v>
      </c>
      <c r="M63" s="9">
        <v>-357</v>
      </c>
      <c r="N63" s="11">
        <v>-2271</v>
      </c>
      <c r="O63" s="9">
        <v>19679</v>
      </c>
      <c r="P63" s="9">
        <v>13424</v>
      </c>
      <c r="Q63" s="9">
        <v>-367</v>
      </c>
      <c r="R63" s="9">
        <v>-1925</v>
      </c>
      <c r="S63" s="9">
        <v>-2990</v>
      </c>
      <c r="T63" s="9">
        <v>-385</v>
      </c>
      <c r="U63" s="9">
        <v>1941</v>
      </c>
      <c r="V63" s="9">
        <v>-1309</v>
      </c>
      <c r="W63" s="9">
        <v>10261</v>
      </c>
      <c r="X63" s="269">
        <v>-7995</v>
      </c>
      <c r="Y63" s="9">
        <v>8252</v>
      </c>
      <c r="Z63" s="9">
        <v>-6118</v>
      </c>
      <c r="AA63" s="349"/>
    </row>
    <row r="64" spans="1:89" ht="12.6" customHeight="1" x14ac:dyDescent="0.2">
      <c r="C64" s="52" t="str">
        <f>VLOOKUP(62,Textbausteine_102[],Hilfsgrössen!$D$2,FALSE)</f>
        <v>Investissements</v>
      </c>
      <c r="D64" s="1" t="str">
        <f>VLOOKUP(22,Textbausteine_102[],Hilfsgrössen!$D$2,FALSE)</f>
        <v>Millions de CHF</v>
      </c>
      <c r="E64" s="148"/>
      <c r="F64" s="94" t="s">
        <v>3167</v>
      </c>
      <c r="H64" s="80" t="s">
        <v>29</v>
      </c>
      <c r="I64" s="9">
        <v>347</v>
      </c>
      <c r="J64" s="9">
        <v>540</v>
      </c>
      <c r="K64" s="9">
        <v>644</v>
      </c>
      <c r="L64" s="9">
        <v>516</v>
      </c>
      <c r="M64" s="9">
        <v>431</v>
      </c>
      <c r="N64" s="11">
        <v>364</v>
      </c>
      <c r="O64" s="9">
        <v>429</v>
      </c>
      <c r="P64" s="9">
        <v>443</v>
      </c>
      <c r="Q64" s="9">
        <v>453</v>
      </c>
      <c r="R64" s="9">
        <v>443</v>
      </c>
      <c r="S64" s="9">
        <v>437</v>
      </c>
      <c r="T64" s="9">
        <v>450</v>
      </c>
      <c r="U64" s="9">
        <v>394</v>
      </c>
      <c r="V64" s="9">
        <v>412</v>
      </c>
      <c r="W64" s="9">
        <v>443</v>
      </c>
      <c r="X64" s="269">
        <v>401</v>
      </c>
      <c r="Y64" s="9">
        <v>670</v>
      </c>
      <c r="Z64" s="9">
        <v>478</v>
      </c>
      <c r="AA64" s="349"/>
    </row>
    <row r="65" spans="1:89" ht="12.6" customHeight="1" x14ac:dyDescent="0.2">
      <c r="C65" s="50" t="str">
        <f>VLOOKUP(63,Textbausteine_102[],Hilfsgrössen!$D$2,FALSE)</f>
        <v>Autres immobilisations corporelles, immobilisations incorporelles</v>
      </c>
      <c r="D65" s="1" t="str">
        <f>VLOOKUP(22,Textbausteine_102[],Hilfsgrössen!$D$2,FALSE)</f>
        <v>Millions de CHF</v>
      </c>
      <c r="E65" s="149"/>
      <c r="F65" s="94" t="s">
        <v>3167</v>
      </c>
      <c r="H65" s="80" t="s">
        <v>29</v>
      </c>
      <c r="I65" s="9">
        <v>176</v>
      </c>
      <c r="J65" s="9">
        <v>195</v>
      </c>
      <c r="K65" s="9">
        <v>322</v>
      </c>
      <c r="L65" s="9">
        <v>326</v>
      </c>
      <c r="M65" s="9">
        <v>270</v>
      </c>
      <c r="N65" s="11">
        <v>176</v>
      </c>
      <c r="O65" s="9">
        <v>239</v>
      </c>
      <c r="P65" s="9">
        <v>228</v>
      </c>
      <c r="Q65" s="9">
        <v>249</v>
      </c>
      <c r="R65" s="9">
        <v>250</v>
      </c>
      <c r="S65" s="9">
        <v>317</v>
      </c>
      <c r="T65" s="9">
        <v>302</v>
      </c>
      <c r="U65" s="9">
        <v>245</v>
      </c>
      <c r="V65" s="9">
        <v>252</v>
      </c>
      <c r="W65" s="9">
        <v>293</v>
      </c>
      <c r="X65" s="269">
        <v>199</v>
      </c>
      <c r="Y65" s="9">
        <v>270</v>
      </c>
      <c r="Z65" s="9">
        <v>211</v>
      </c>
      <c r="AA65" s="349"/>
    </row>
    <row r="66" spans="1:89" ht="12.6" customHeight="1" x14ac:dyDescent="0.2">
      <c r="C66" s="50" t="str">
        <f>VLOOKUP(64,Textbausteine_102[],Hilfsgrössen!$D$2,FALSE)</f>
        <v>Immeubles d'exploitation</v>
      </c>
      <c r="D66" s="1" t="str">
        <f>VLOOKUP(22,Textbausteine_102[],Hilfsgrössen!$D$2,FALSE)</f>
        <v>Millions de CHF</v>
      </c>
      <c r="E66" s="149"/>
      <c r="F66" s="94" t="s">
        <v>3167</v>
      </c>
      <c r="H66" s="80" t="s">
        <v>29</v>
      </c>
      <c r="I66" s="9">
        <v>153</v>
      </c>
      <c r="J66" s="9">
        <v>310</v>
      </c>
      <c r="K66" s="9">
        <v>281</v>
      </c>
      <c r="L66" s="9">
        <v>147</v>
      </c>
      <c r="M66" s="9">
        <v>109</v>
      </c>
      <c r="N66" s="11">
        <v>163</v>
      </c>
      <c r="O66" s="9">
        <v>168</v>
      </c>
      <c r="P66" s="9">
        <v>162</v>
      </c>
      <c r="Q66" s="9">
        <v>115</v>
      </c>
      <c r="R66" s="9">
        <v>124</v>
      </c>
      <c r="S66" s="9">
        <v>57</v>
      </c>
      <c r="T66" s="9">
        <v>103</v>
      </c>
      <c r="U66" s="9">
        <v>97</v>
      </c>
      <c r="V66" s="9">
        <v>63</v>
      </c>
      <c r="W66" s="9">
        <v>108</v>
      </c>
      <c r="X66" s="269">
        <v>152</v>
      </c>
      <c r="Y66" s="9">
        <v>85</v>
      </c>
      <c r="Z66" s="9">
        <v>133</v>
      </c>
      <c r="AA66" s="349"/>
    </row>
    <row r="67" spans="1:89" ht="12.6" customHeight="1" x14ac:dyDescent="0.2">
      <c r="C67" s="50" t="str">
        <f>VLOOKUP(65,Textbausteine_102[],Hilfsgrössen!$D$2,FALSE)</f>
        <v>Immeubles de placement</v>
      </c>
      <c r="D67" s="1" t="str">
        <f>VLOOKUP(22,Textbausteine_102[],Hilfsgrössen!$D$2,FALSE)</f>
        <v>Millions de CHF</v>
      </c>
      <c r="E67" s="149"/>
      <c r="F67" s="94" t="s">
        <v>3167</v>
      </c>
      <c r="H67" s="80" t="s">
        <v>29</v>
      </c>
      <c r="I67" s="9">
        <v>0</v>
      </c>
      <c r="J67" s="9">
        <v>0</v>
      </c>
      <c r="K67" s="9">
        <v>0</v>
      </c>
      <c r="L67" s="9">
        <v>0</v>
      </c>
      <c r="M67" s="9">
        <v>0</v>
      </c>
      <c r="N67" s="11">
        <v>0</v>
      </c>
      <c r="O67" s="9">
        <v>11</v>
      </c>
      <c r="P67" s="9">
        <v>19</v>
      </c>
      <c r="Q67" s="9">
        <v>48</v>
      </c>
      <c r="R67" s="9">
        <v>64</v>
      </c>
      <c r="S67" s="9">
        <v>47</v>
      </c>
      <c r="T67" s="9">
        <v>31</v>
      </c>
      <c r="U67" s="9">
        <v>29</v>
      </c>
      <c r="V67" s="9">
        <v>24</v>
      </c>
      <c r="W67" s="9">
        <v>38</v>
      </c>
      <c r="X67" s="269">
        <v>26</v>
      </c>
      <c r="Y67" s="9">
        <v>65</v>
      </c>
      <c r="Z67" s="9">
        <v>37</v>
      </c>
      <c r="AA67" s="349"/>
    </row>
    <row r="68" spans="1:89" ht="12.6" customHeight="1" x14ac:dyDescent="0.2">
      <c r="C68" s="50" t="str">
        <f>VLOOKUP(66,Textbausteine_102[],Hilfsgrössen!$D$2,FALSE)</f>
        <v>Participations</v>
      </c>
      <c r="D68" s="1" t="str">
        <f>VLOOKUP(22,Textbausteine_102[],Hilfsgrössen!$D$2,FALSE)</f>
        <v>Millions de CHF</v>
      </c>
      <c r="E68" s="149"/>
      <c r="F68" s="94" t="s">
        <v>3167</v>
      </c>
      <c r="H68" s="80" t="s">
        <v>29</v>
      </c>
      <c r="I68" s="9">
        <v>18</v>
      </c>
      <c r="J68" s="9">
        <v>35</v>
      </c>
      <c r="K68" s="9">
        <v>41</v>
      </c>
      <c r="L68" s="9">
        <v>43</v>
      </c>
      <c r="M68" s="9">
        <v>52</v>
      </c>
      <c r="N68" s="11">
        <v>25</v>
      </c>
      <c r="O68" s="9">
        <v>11</v>
      </c>
      <c r="P68" s="9">
        <v>34</v>
      </c>
      <c r="Q68" s="9">
        <v>41</v>
      </c>
      <c r="R68" s="9">
        <v>5</v>
      </c>
      <c r="S68" s="9">
        <v>16</v>
      </c>
      <c r="T68" s="9">
        <v>14</v>
      </c>
      <c r="U68" s="9">
        <v>23</v>
      </c>
      <c r="V68" s="9">
        <v>73</v>
      </c>
      <c r="W68" s="9">
        <v>4</v>
      </c>
      <c r="X68" s="269">
        <v>24</v>
      </c>
      <c r="Y68" s="9">
        <v>250</v>
      </c>
      <c r="Z68" s="9">
        <v>97</v>
      </c>
      <c r="AA68" s="349"/>
    </row>
    <row r="69" spans="1:89" ht="12.6" customHeight="1" x14ac:dyDescent="0.2">
      <c r="C69" s="52" t="str">
        <f>VLOOKUP(67,Textbausteine_102[],Hilfsgrössen!$D$2,FALSE)</f>
        <v>Ratio des investissements autofinancés</v>
      </c>
      <c r="D69" s="1" t="str">
        <f>VLOOKUP(21,Textbausteine_102[],Hilfsgrössen!$D$2,FALSE)</f>
        <v>%</v>
      </c>
      <c r="E69" s="149"/>
      <c r="F69" s="94" t="s">
        <v>3167</v>
      </c>
      <c r="H69" s="80" t="s">
        <v>29</v>
      </c>
      <c r="I69" s="9">
        <v>100</v>
      </c>
      <c r="J69" s="9">
        <v>100</v>
      </c>
      <c r="K69" s="9">
        <v>100</v>
      </c>
      <c r="L69" s="9">
        <v>100</v>
      </c>
      <c r="M69" s="9">
        <v>100</v>
      </c>
      <c r="N69" s="11">
        <v>100</v>
      </c>
      <c r="O69" s="9">
        <v>100</v>
      </c>
      <c r="P69" s="9">
        <v>100</v>
      </c>
      <c r="Q69" s="9">
        <v>100</v>
      </c>
      <c r="R69" s="9">
        <v>100</v>
      </c>
      <c r="S69" s="9">
        <v>100</v>
      </c>
      <c r="T69" s="9">
        <v>100</v>
      </c>
      <c r="U69" s="9">
        <v>100</v>
      </c>
      <c r="V69" s="9">
        <v>100</v>
      </c>
      <c r="W69" s="9">
        <v>100</v>
      </c>
      <c r="X69" s="269">
        <v>100</v>
      </c>
      <c r="Y69" s="9">
        <v>100</v>
      </c>
      <c r="Z69" s="9">
        <v>100</v>
      </c>
      <c r="AA69" s="349"/>
    </row>
    <row r="70" spans="1:89" ht="12.6" customHeight="1" x14ac:dyDescent="0.2">
      <c r="C70" s="13"/>
      <c r="E70" s="149"/>
      <c r="F70" s="31"/>
      <c r="H70" s="91"/>
      <c r="I70" s="91"/>
      <c r="J70" s="91"/>
      <c r="K70" s="91"/>
      <c r="L70" s="91"/>
      <c r="M70" s="91"/>
      <c r="N70" s="11"/>
      <c r="O70" s="11"/>
      <c r="R70" s="91"/>
      <c r="S70" s="91"/>
      <c r="T70" s="9"/>
      <c r="U70" s="9"/>
      <c r="V70" s="9"/>
      <c r="W70" s="9"/>
      <c r="X70" s="269"/>
      <c r="Y70" s="9"/>
      <c r="Z70" s="9"/>
      <c r="AA70" s="349"/>
    </row>
    <row r="71" spans="1:89" ht="12.6" customHeight="1" x14ac:dyDescent="0.25">
      <c r="B71" s="266" t="str">
        <f>VLOOKUP(253,Textbausteine_102[],Hilfsgrössen!$D$2,FALSE)</f>
        <v>1) Le cash-flow 2012–2021 tient compte des variations de postes des services financiers (PostFinance).</v>
      </c>
      <c r="C71" s="266"/>
      <c r="D71" s="266"/>
      <c r="E71" s="151"/>
      <c r="F71" s="30"/>
      <c r="G71" s="266"/>
      <c r="H71" s="266"/>
      <c r="I71" s="266"/>
      <c r="J71" s="266"/>
      <c r="K71" s="266"/>
      <c r="L71" s="266"/>
      <c r="M71" s="266"/>
      <c r="N71" s="266"/>
      <c r="O71" s="266"/>
      <c r="P71" s="266"/>
      <c r="Q71" s="266"/>
      <c r="R71" s="91"/>
      <c r="S71" s="91"/>
      <c r="T71" s="9"/>
      <c r="U71" s="9"/>
      <c r="V71" s="9"/>
      <c r="W71" s="9"/>
      <c r="X71" s="9"/>
      <c r="Y71" s="9"/>
      <c r="Z71" s="9"/>
      <c r="AA71" s="349"/>
    </row>
    <row r="72" spans="1:89" ht="12.6" customHeight="1" x14ac:dyDescent="0.25">
      <c r="B72" s="266"/>
      <c r="C72" s="266"/>
      <c r="D72" s="266"/>
      <c r="E72" s="151"/>
      <c r="F72" s="30"/>
      <c r="G72" s="266"/>
      <c r="H72" s="266"/>
      <c r="I72" s="266"/>
      <c r="J72" s="266"/>
      <c r="K72" s="266"/>
      <c r="L72" s="266"/>
      <c r="M72" s="266"/>
      <c r="N72" s="266"/>
      <c r="O72" s="266"/>
      <c r="P72" s="266"/>
      <c r="Q72" s="266"/>
      <c r="R72" s="91"/>
      <c r="S72" s="91"/>
      <c r="T72" s="9"/>
      <c r="U72" s="9"/>
      <c r="V72" s="9"/>
      <c r="W72" s="9"/>
      <c r="X72" s="269"/>
      <c r="Y72" s="9"/>
      <c r="Z72" s="9"/>
      <c r="AA72" s="349"/>
    </row>
    <row r="73" spans="1:89" ht="12.6" customHeight="1" x14ac:dyDescent="0.2">
      <c r="C73" s="13"/>
      <c r="H73" s="91"/>
      <c r="I73" s="91"/>
      <c r="J73" s="91"/>
      <c r="K73" s="91"/>
      <c r="L73" s="91"/>
      <c r="M73" s="91"/>
      <c r="N73" s="11"/>
      <c r="O73" s="11"/>
      <c r="R73" s="91"/>
      <c r="S73" s="91"/>
      <c r="T73" s="9"/>
      <c r="U73" s="9"/>
      <c r="V73" s="9"/>
      <c r="W73" s="9"/>
      <c r="X73" s="269"/>
      <c r="Y73" s="9"/>
      <c r="Z73" s="9"/>
      <c r="AA73" s="349"/>
    </row>
    <row r="74" spans="1:89" s="78" customFormat="1" ht="12.6" customHeight="1" x14ac:dyDescent="0.2">
      <c r="A74" s="43" t="s">
        <v>27</v>
      </c>
      <c r="B74" s="401" t="str">
        <f>$C$10</f>
        <v>Evolution des volumes</v>
      </c>
      <c r="C74" s="401"/>
      <c r="D74" s="78" t="str">
        <f>VLOOKUP(32,Textbausteine_Menu[],Hilfsgrössen!$D$2,FALSE)</f>
        <v>Unité</v>
      </c>
      <c r="E74" s="147" t="str">
        <f>VLOOKUP(33,Textbausteine_Menu[],Hilfsgrössen!$D$2,FALSE)</f>
        <v>Notes</v>
      </c>
      <c r="F74" s="28" t="str">
        <f>VLOOKUP(34,Textbausteine_Menu[],Hilfsgrössen!$D$2,FALSE)</f>
        <v>GRI</v>
      </c>
      <c r="G74" s="33"/>
      <c r="H74" s="72">
        <v>2004</v>
      </c>
      <c r="I74" s="72">
        <v>2005</v>
      </c>
      <c r="J74" s="72">
        <v>2006</v>
      </c>
      <c r="K74" s="72">
        <v>2007</v>
      </c>
      <c r="L74" s="72">
        <v>2008</v>
      </c>
      <c r="M74" s="72">
        <v>2009</v>
      </c>
      <c r="N74" s="72">
        <v>2010</v>
      </c>
      <c r="O74" s="72">
        <v>2011</v>
      </c>
      <c r="P74" s="72">
        <v>2012</v>
      </c>
      <c r="Q74" s="72">
        <v>2013</v>
      </c>
      <c r="R74" s="72">
        <v>2014</v>
      </c>
      <c r="S74" s="72">
        <v>2015</v>
      </c>
      <c r="T74" s="74">
        <v>2016</v>
      </c>
      <c r="U74" s="74">
        <v>2017</v>
      </c>
      <c r="V74" s="74">
        <v>2018</v>
      </c>
      <c r="W74" s="74">
        <v>2019</v>
      </c>
      <c r="X74" s="241">
        <v>2020</v>
      </c>
      <c r="Y74" s="74">
        <v>2021</v>
      </c>
      <c r="Z74" s="74">
        <v>2022</v>
      </c>
      <c r="AA74" s="361"/>
      <c r="AB74" s="72"/>
      <c r="AC74" s="72"/>
      <c r="AD74" s="72"/>
      <c r="AE74" s="72"/>
      <c r="AF74" s="72"/>
      <c r="AG74" s="72"/>
      <c r="AH74" s="72"/>
      <c r="AI74" s="72"/>
      <c r="AJ74" s="72"/>
      <c r="AK74" s="72"/>
      <c r="AL74" s="72"/>
      <c r="AM74" s="72"/>
      <c r="AN74" s="72"/>
      <c r="AO74" s="72"/>
      <c r="AP74" s="72"/>
      <c r="AQ74" s="72"/>
      <c r="AR74" s="72"/>
      <c r="AS74" s="72"/>
      <c r="AT74" s="72"/>
      <c r="AU74" s="72"/>
      <c r="AV74" s="72"/>
      <c r="AW74" s="72"/>
      <c r="AX74" s="72"/>
      <c r="AY74" s="72"/>
      <c r="AZ74" s="72"/>
      <c r="BA74" s="72"/>
      <c r="BB74" s="72"/>
      <c r="BC74" s="72"/>
      <c r="BD74" s="72"/>
      <c r="BE74" s="72"/>
      <c r="BF74" s="72"/>
      <c r="BG74" s="72"/>
      <c r="BH74" s="72"/>
      <c r="BI74" s="72"/>
      <c r="BJ74" s="72"/>
      <c r="BK74" s="72"/>
      <c r="BL74" s="72"/>
      <c r="BM74" s="72"/>
      <c r="BN74" s="72"/>
      <c r="BO74" s="72"/>
      <c r="BP74" s="72"/>
      <c r="BQ74" s="72"/>
      <c r="BR74" s="72"/>
      <c r="BS74" s="72"/>
      <c r="BT74" s="72"/>
      <c r="BU74" s="72"/>
      <c r="BV74" s="72"/>
      <c r="BW74" s="72"/>
      <c r="BX74" s="72"/>
      <c r="BY74" s="72"/>
      <c r="BZ74" s="72"/>
      <c r="CA74" s="72"/>
      <c r="CB74" s="72"/>
      <c r="CC74" s="72"/>
      <c r="CD74" s="72"/>
      <c r="CE74" s="72"/>
      <c r="CF74" s="72"/>
      <c r="CG74" s="72"/>
      <c r="CH74" s="72"/>
      <c r="CI74" s="72"/>
      <c r="CJ74" s="72"/>
      <c r="CK74" s="72"/>
    </row>
    <row r="75" spans="1:89" s="42" customFormat="1" ht="12.6" customHeight="1" x14ac:dyDescent="0.2">
      <c r="A75" s="57"/>
      <c r="B75" s="401"/>
      <c r="C75" s="401"/>
      <c r="E75" s="145"/>
      <c r="F75" s="28"/>
      <c r="G75" s="34"/>
      <c r="H75" s="73"/>
      <c r="I75" s="73"/>
      <c r="J75" s="73"/>
      <c r="K75" s="73"/>
      <c r="L75" s="73"/>
      <c r="M75" s="73"/>
      <c r="N75" s="73"/>
      <c r="O75" s="73"/>
      <c r="P75" s="73"/>
      <c r="Q75" s="73"/>
      <c r="R75" s="73"/>
      <c r="S75" s="73"/>
      <c r="T75" s="75"/>
      <c r="U75" s="75"/>
      <c r="V75" s="75"/>
      <c r="W75" s="75"/>
      <c r="X75" s="242"/>
      <c r="Y75" s="75"/>
      <c r="Z75" s="75"/>
      <c r="AA75" s="362"/>
      <c r="AB75" s="73"/>
      <c r="AC75" s="73"/>
      <c r="AD75" s="73"/>
      <c r="AE75" s="73"/>
      <c r="AF75" s="73"/>
      <c r="AG75" s="73"/>
      <c r="AH75" s="73"/>
      <c r="AI75" s="73"/>
      <c r="AJ75" s="73"/>
      <c r="AK75" s="73"/>
      <c r="AL75" s="73"/>
      <c r="AM75" s="73"/>
      <c r="AN75" s="73"/>
      <c r="AO75" s="73"/>
      <c r="AP75" s="73"/>
      <c r="AQ75" s="73"/>
      <c r="AR75" s="73"/>
      <c r="AS75" s="73"/>
      <c r="AT75" s="73"/>
      <c r="AU75" s="73"/>
      <c r="AV75" s="73"/>
      <c r="AW75" s="73"/>
      <c r="AX75" s="73"/>
      <c r="AY75" s="73"/>
      <c r="AZ75" s="73"/>
      <c r="BA75" s="73"/>
      <c r="BB75" s="73"/>
      <c r="BC75" s="73"/>
      <c r="BD75" s="73"/>
      <c r="BE75" s="73"/>
      <c r="BF75" s="73"/>
      <c r="BG75" s="73"/>
      <c r="BH75" s="73"/>
      <c r="BI75" s="73"/>
      <c r="BJ75" s="73"/>
      <c r="BK75" s="73"/>
      <c r="BL75" s="73"/>
      <c r="BM75" s="73"/>
      <c r="BN75" s="73"/>
      <c r="BO75" s="73"/>
      <c r="BP75" s="73"/>
      <c r="BQ75" s="73"/>
      <c r="BR75" s="73"/>
      <c r="BS75" s="73"/>
      <c r="BT75" s="73"/>
      <c r="BU75" s="73"/>
      <c r="BV75" s="73"/>
      <c r="BW75" s="73"/>
      <c r="BX75" s="73"/>
      <c r="BY75" s="73"/>
      <c r="BZ75" s="73"/>
      <c r="CA75" s="73"/>
      <c r="CB75" s="73"/>
      <c r="CC75" s="73"/>
      <c r="CD75" s="73"/>
      <c r="CE75" s="73"/>
      <c r="CF75" s="73"/>
      <c r="CG75" s="73"/>
      <c r="CH75" s="73"/>
      <c r="CI75" s="73"/>
      <c r="CJ75" s="73"/>
      <c r="CK75" s="73"/>
    </row>
    <row r="76" spans="1:89" ht="12.6" customHeight="1" x14ac:dyDescent="0.2">
      <c r="B76" s="2"/>
      <c r="E76" s="148"/>
      <c r="G76" s="33"/>
      <c r="AA76" s="349"/>
    </row>
    <row r="77" spans="1:89" ht="12.6" customHeight="1" x14ac:dyDescent="0.2">
      <c r="B77" s="2" t="str">
        <f>VLOOKUP(45,Textbausteine_Menu[],Hilfsgrössen!$D$2,FALSE)</f>
        <v>Services logistiques</v>
      </c>
      <c r="E77" s="328">
        <v>22</v>
      </c>
      <c r="H77" s="11"/>
      <c r="I77" s="11"/>
      <c r="J77" s="11"/>
      <c r="K77" s="11"/>
      <c r="L77" s="11"/>
      <c r="M77" s="11"/>
      <c r="N77" s="11"/>
      <c r="O77" s="11"/>
      <c r="R77" s="91"/>
      <c r="S77" s="91"/>
      <c r="T77" s="9"/>
      <c r="U77" s="9"/>
      <c r="V77" s="9"/>
      <c r="W77" s="9"/>
      <c r="X77" s="269"/>
      <c r="Y77" s="9"/>
      <c r="Z77" s="9"/>
      <c r="AA77" s="349"/>
    </row>
    <row r="78" spans="1:89" ht="12.6" customHeight="1" x14ac:dyDescent="0.2">
      <c r="B78" s="2"/>
      <c r="C78" s="48" t="str">
        <f>VLOOKUP(70,Textbausteine_102[],Hilfsgrössen!$D$2,FALSE)</f>
        <v>Lettres</v>
      </c>
      <c r="D78" s="1" t="str">
        <f>VLOOKUP(23,Textbausteine_102[],Hilfsgrössen!$D$2,FALSE)</f>
        <v>Millions d'unités</v>
      </c>
      <c r="E78" s="328">
        <v>2</v>
      </c>
      <c r="H78" s="100" t="s">
        <v>29</v>
      </c>
      <c r="I78" s="100" t="s">
        <v>29</v>
      </c>
      <c r="J78" s="100" t="s">
        <v>29</v>
      </c>
      <c r="K78" s="100" t="s">
        <v>29</v>
      </c>
      <c r="L78" s="100" t="s">
        <v>29</v>
      </c>
      <c r="M78" s="100" t="s">
        <v>29</v>
      </c>
      <c r="N78" s="100" t="s">
        <v>29</v>
      </c>
      <c r="O78" s="100" t="s">
        <v>29</v>
      </c>
      <c r="P78" s="100" t="s">
        <v>29</v>
      </c>
      <c r="Q78" s="100" t="s">
        <v>29</v>
      </c>
      <c r="R78" s="100" t="s">
        <v>29</v>
      </c>
      <c r="S78" s="100" t="s">
        <v>29</v>
      </c>
      <c r="T78" s="100" t="s">
        <v>29</v>
      </c>
      <c r="U78" s="9">
        <v>2227</v>
      </c>
      <c r="V78" s="9">
        <v>2118</v>
      </c>
      <c r="W78" s="9">
        <v>2008</v>
      </c>
      <c r="X78" s="269">
        <v>1873</v>
      </c>
      <c r="Y78" s="9">
        <v>1812</v>
      </c>
      <c r="Z78" s="9">
        <v>1745</v>
      </c>
      <c r="AA78" s="349"/>
    </row>
    <row r="79" spans="1:89" s="8" customFormat="1" ht="12.6" customHeight="1" x14ac:dyDescent="0.2">
      <c r="A79" s="56"/>
      <c r="B79" s="1"/>
      <c r="C79" s="50" t="str">
        <f>VLOOKUP(71,Textbausteine_102[],Hilfsgrössen!$D$2,FALSE)</f>
        <v>Lettres adressées</v>
      </c>
      <c r="D79" s="1" t="str">
        <f>VLOOKUP(23,Textbausteine_102[],Hilfsgrössen!$D$2,FALSE)</f>
        <v>Millions d'unités</v>
      </c>
      <c r="E79" s="328" t="s">
        <v>2916</v>
      </c>
      <c r="F79" s="94" t="s">
        <v>3167</v>
      </c>
      <c r="G79" s="34"/>
      <c r="H79" s="80" t="s">
        <v>29</v>
      </c>
      <c r="I79" s="11">
        <v>2813</v>
      </c>
      <c r="J79" s="11">
        <v>2762</v>
      </c>
      <c r="K79" s="11">
        <v>2742</v>
      </c>
      <c r="L79" s="11">
        <v>2682</v>
      </c>
      <c r="M79" s="11">
        <v>2401</v>
      </c>
      <c r="N79" s="11">
        <v>2364</v>
      </c>
      <c r="O79" s="11">
        <v>2334</v>
      </c>
      <c r="P79" s="9">
        <v>2291</v>
      </c>
      <c r="Q79" s="9">
        <v>2259</v>
      </c>
      <c r="R79" s="91">
        <v>2203</v>
      </c>
      <c r="S79" s="91">
        <v>2172</v>
      </c>
      <c r="T79" s="9">
        <v>2089</v>
      </c>
      <c r="U79" s="9">
        <v>2001.9</v>
      </c>
      <c r="V79">
        <v>1903</v>
      </c>
      <c r="W79">
        <v>1811</v>
      </c>
      <c r="X79">
        <v>1710</v>
      </c>
      <c r="Y79" s="304">
        <v>1659</v>
      </c>
      <c r="Z79" s="304">
        <v>1611</v>
      </c>
      <c r="AA79" s="349"/>
      <c r="AB79" s="9"/>
      <c r="AC79" s="9"/>
      <c r="AD79" s="9"/>
      <c r="AE79" s="9"/>
      <c r="AF79" s="9"/>
      <c r="AG79" s="9"/>
      <c r="AH79" s="9"/>
      <c r="AI79" s="9"/>
      <c r="AJ79" s="9"/>
      <c r="AK79" s="9"/>
      <c r="AL79" s="9"/>
      <c r="AM79" s="9"/>
      <c r="AN79" s="9"/>
      <c r="AO79" s="9"/>
      <c r="AP79" s="9"/>
      <c r="AQ79" s="9"/>
      <c r="AR79" s="9"/>
      <c r="AS79" s="9"/>
      <c r="AT79" s="9"/>
      <c r="AU79" s="9"/>
      <c r="AV79" s="9"/>
      <c r="AW79" s="9"/>
      <c r="AX79" s="9"/>
      <c r="AY79" s="9"/>
      <c r="AZ79" s="9"/>
      <c r="BA79" s="9"/>
      <c r="BB79" s="9"/>
      <c r="BC79" s="9"/>
      <c r="BD79" s="9"/>
      <c r="BE79" s="9"/>
      <c r="BF79" s="9"/>
      <c r="BG79" s="9"/>
      <c r="BH79" s="9"/>
      <c r="BI79" s="9"/>
      <c r="BJ79" s="9"/>
      <c r="BK79" s="9"/>
      <c r="BL79" s="9"/>
      <c r="BM79" s="9"/>
      <c r="BN79" s="9"/>
      <c r="BO79" s="9"/>
      <c r="BP79" s="9"/>
      <c r="BQ79" s="9"/>
      <c r="BR79" s="9"/>
      <c r="BS79" s="9"/>
      <c r="BT79" s="9"/>
      <c r="BU79" s="9"/>
      <c r="BV79" s="9"/>
      <c r="BW79" s="9"/>
      <c r="BX79" s="9"/>
      <c r="BY79" s="9"/>
      <c r="BZ79" s="9"/>
      <c r="CA79" s="9"/>
      <c r="CB79" s="9"/>
      <c r="CC79" s="9"/>
      <c r="CD79" s="9"/>
      <c r="CE79" s="9"/>
      <c r="CF79" s="9"/>
      <c r="CG79" s="9"/>
      <c r="CH79" s="9"/>
      <c r="CI79" s="9"/>
      <c r="CJ79" s="9"/>
      <c r="CK79" s="9"/>
    </row>
    <row r="80" spans="1:89" s="8" customFormat="1" ht="12.6" customHeight="1" x14ac:dyDescent="0.2">
      <c r="A80" s="56"/>
      <c r="B80" s="1"/>
      <c r="C80" s="301" t="str">
        <f>VLOOKUP(72,Textbausteine_102[],Hilfsgrössen!$D$2,FALSE)</f>
        <v>Envois prioritaires</v>
      </c>
      <c r="D80" s="1" t="str">
        <f>VLOOKUP(23,Textbausteine_102[],Hilfsgrössen!$D$2,FALSE)</f>
        <v>Millions d'unités</v>
      </c>
      <c r="E80" s="328">
        <v>23</v>
      </c>
      <c r="F80" s="94" t="s">
        <v>3167</v>
      </c>
      <c r="G80" s="34"/>
      <c r="H80" s="80" t="s">
        <v>29</v>
      </c>
      <c r="I80" s="81">
        <v>751</v>
      </c>
      <c r="J80" s="81">
        <v>742</v>
      </c>
      <c r="K80" s="81">
        <v>758</v>
      </c>
      <c r="L80" s="81">
        <v>768</v>
      </c>
      <c r="M80" s="81">
        <v>627</v>
      </c>
      <c r="N80" s="81">
        <v>629</v>
      </c>
      <c r="O80" s="81">
        <v>633</v>
      </c>
      <c r="P80" s="91">
        <v>639</v>
      </c>
      <c r="Q80" s="91">
        <v>636</v>
      </c>
      <c r="R80" s="91">
        <v>622</v>
      </c>
      <c r="S80" s="91">
        <v>611</v>
      </c>
      <c r="T80" s="9">
        <v>593</v>
      </c>
      <c r="U80" s="9">
        <v>566</v>
      </c>
      <c r="V80">
        <v>530</v>
      </c>
      <c r="W80">
        <v>509</v>
      </c>
      <c r="X80">
        <v>502</v>
      </c>
      <c r="Y80" s="304">
        <v>472</v>
      </c>
      <c r="Z80" s="304">
        <v>438</v>
      </c>
      <c r="AA80" s="349"/>
      <c r="AB80" s="9"/>
      <c r="AC80" s="9"/>
      <c r="AD80" s="9"/>
      <c r="AE80" s="9"/>
      <c r="AF80" s="9"/>
      <c r="AG80" s="9"/>
      <c r="AH80" s="9"/>
      <c r="AI80" s="9"/>
      <c r="AJ80" s="9"/>
      <c r="AK80" s="9"/>
      <c r="AL80" s="9"/>
      <c r="AM80" s="9"/>
      <c r="AN80" s="9"/>
      <c r="AO80" s="9"/>
      <c r="AP80" s="9"/>
      <c r="AQ80" s="9"/>
      <c r="AR80" s="9"/>
      <c r="AS80" s="9"/>
      <c r="AT80" s="9"/>
      <c r="AU80" s="9"/>
      <c r="AV80" s="9"/>
      <c r="AW80" s="9"/>
      <c r="AX80" s="9"/>
      <c r="AY80" s="9"/>
      <c r="AZ80" s="9"/>
      <c r="BA80" s="9"/>
      <c r="BB80" s="9"/>
      <c r="BC80" s="9"/>
      <c r="BD80" s="9"/>
      <c r="BE80" s="9"/>
      <c r="BF80" s="9"/>
      <c r="BG80" s="9"/>
      <c r="BH80" s="9"/>
      <c r="BI80" s="9"/>
      <c r="BJ80" s="9"/>
      <c r="BK80" s="9"/>
      <c r="BL80" s="9"/>
      <c r="BM80" s="9"/>
      <c r="BN80" s="9"/>
      <c r="BO80" s="9"/>
      <c r="BP80" s="9"/>
      <c r="BQ80" s="9"/>
      <c r="BR80" s="9"/>
      <c r="BS80" s="9"/>
      <c r="BT80" s="9"/>
      <c r="BU80" s="9"/>
      <c r="BV80" s="9"/>
      <c r="BW80" s="9"/>
      <c r="BX80" s="9"/>
      <c r="BY80" s="9"/>
      <c r="BZ80" s="9"/>
      <c r="CA80" s="9"/>
      <c r="CB80" s="9"/>
      <c r="CC80" s="9"/>
      <c r="CD80" s="9"/>
      <c r="CE80" s="9"/>
      <c r="CF80" s="9"/>
      <c r="CG80" s="9"/>
      <c r="CH80" s="9"/>
      <c r="CI80" s="9"/>
      <c r="CJ80" s="9"/>
      <c r="CK80" s="9"/>
    </row>
    <row r="81" spans="1:89" s="8" customFormat="1" ht="12.6" customHeight="1" x14ac:dyDescent="0.2">
      <c r="A81" s="56"/>
      <c r="B81" s="1"/>
      <c r="C81" s="301" t="str">
        <f>VLOOKUP(73,Textbausteine_102[],Hilfsgrössen!$D$2,FALSE)</f>
        <v>Envois non prioritaires</v>
      </c>
      <c r="D81" s="1" t="str">
        <f>VLOOKUP(23,Textbausteine_102[],Hilfsgrössen!$D$2,FALSE)</f>
        <v>Millions d'unités</v>
      </c>
      <c r="E81" s="328">
        <v>23</v>
      </c>
      <c r="F81" s="94" t="s">
        <v>3167</v>
      </c>
      <c r="G81" s="34"/>
      <c r="H81" s="80" t="s">
        <v>29</v>
      </c>
      <c r="I81" s="81">
        <v>2022</v>
      </c>
      <c r="J81" s="81">
        <v>1984</v>
      </c>
      <c r="K81" s="81">
        <v>1949</v>
      </c>
      <c r="L81" s="81">
        <v>1881</v>
      </c>
      <c r="M81" s="81">
        <v>1740</v>
      </c>
      <c r="N81" s="81">
        <v>1706</v>
      </c>
      <c r="O81" s="81">
        <v>1681</v>
      </c>
      <c r="P81" s="91">
        <v>1630</v>
      </c>
      <c r="Q81" s="91">
        <v>1601</v>
      </c>
      <c r="R81" s="91">
        <v>1559</v>
      </c>
      <c r="S81" s="91">
        <v>1538</v>
      </c>
      <c r="T81" s="9">
        <v>1474</v>
      </c>
      <c r="U81" s="9">
        <v>1408</v>
      </c>
      <c r="V81">
        <v>1346</v>
      </c>
      <c r="W81">
        <v>1276</v>
      </c>
      <c r="X81">
        <v>1175</v>
      </c>
      <c r="Y81" s="304">
        <v>1153</v>
      </c>
      <c r="Z81" s="304">
        <v>1137</v>
      </c>
      <c r="AA81" s="349"/>
      <c r="AB81" s="9"/>
      <c r="AC81" s="9"/>
      <c r="AD81" s="9"/>
      <c r="AE81" s="9"/>
      <c r="AF81" s="9"/>
      <c r="AG81" s="9"/>
      <c r="AH81" s="9"/>
      <c r="AI81" s="9"/>
      <c r="AJ81" s="9"/>
      <c r="AK81" s="9"/>
      <c r="AL81" s="9"/>
      <c r="AM81" s="9"/>
      <c r="AN81" s="9"/>
      <c r="AO81" s="9"/>
      <c r="AP81" s="9"/>
      <c r="AQ81" s="9"/>
      <c r="AR81" s="9"/>
      <c r="AS81" s="9"/>
      <c r="AT81" s="9"/>
      <c r="AU81" s="9"/>
      <c r="AV81" s="9"/>
      <c r="AW81" s="9"/>
      <c r="AX81" s="9"/>
      <c r="AY81" s="9"/>
      <c r="AZ81" s="9"/>
      <c r="BA81" s="9"/>
      <c r="BB81" s="9"/>
      <c r="BC81" s="9"/>
      <c r="BD81" s="9"/>
      <c r="BE81" s="9"/>
      <c r="BF81" s="9"/>
      <c r="BG81" s="9"/>
      <c r="BH81" s="9"/>
      <c r="BI81" s="9"/>
      <c r="BJ81" s="9"/>
      <c r="BK81" s="9"/>
      <c r="BL81" s="9"/>
      <c r="BM81" s="9"/>
      <c r="BN81" s="9"/>
      <c r="BO81" s="9"/>
      <c r="BP81" s="9"/>
      <c r="BQ81" s="9"/>
      <c r="BR81" s="9"/>
      <c r="BS81" s="9"/>
      <c r="BT81" s="9"/>
      <c r="BU81" s="9"/>
      <c r="BV81" s="9"/>
      <c r="BW81" s="9"/>
      <c r="BX81" s="9"/>
      <c r="BY81" s="9"/>
      <c r="BZ81" s="9"/>
      <c r="CA81" s="9"/>
      <c r="CB81" s="9"/>
      <c r="CC81" s="9"/>
      <c r="CD81" s="9"/>
      <c r="CE81" s="9"/>
      <c r="CF81" s="9"/>
      <c r="CG81" s="9"/>
      <c r="CH81" s="9"/>
      <c r="CI81" s="9"/>
      <c r="CJ81" s="9"/>
      <c r="CK81" s="9"/>
    </row>
    <row r="82" spans="1:89" s="8" customFormat="1" ht="12.6" customHeight="1" x14ac:dyDescent="0.2">
      <c r="A82" s="56"/>
      <c r="B82" s="1"/>
      <c r="C82" s="50" t="str">
        <f>VLOOKUP(74,Textbausteine_102[],Hilfsgrössen!$D$2,FALSE)</f>
        <v>Envois non adressés</v>
      </c>
      <c r="D82" s="1" t="str">
        <f>VLOOKUP(23,Textbausteine_102[],Hilfsgrössen!$D$2,FALSE)</f>
        <v>Millions d'unités</v>
      </c>
      <c r="E82" s="328">
        <v>18</v>
      </c>
      <c r="F82" s="94" t="s">
        <v>3167</v>
      </c>
      <c r="G82" s="34"/>
      <c r="H82" s="80" t="s">
        <v>29</v>
      </c>
      <c r="I82" s="81">
        <v>1211</v>
      </c>
      <c r="J82" s="81">
        <v>1159</v>
      </c>
      <c r="K82" s="81">
        <v>1216</v>
      </c>
      <c r="L82" s="81">
        <v>1203</v>
      </c>
      <c r="M82" s="81">
        <v>1232</v>
      </c>
      <c r="N82" s="91">
        <v>1300</v>
      </c>
      <c r="O82" s="91">
        <v>1257</v>
      </c>
      <c r="P82" s="91">
        <v>1902</v>
      </c>
      <c r="Q82" s="91">
        <v>1939</v>
      </c>
      <c r="R82" s="91">
        <v>1990</v>
      </c>
      <c r="S82" s="91">
        <v>1982</v>
      </c>
      <c r="T82" s="9">
        <v>1915</v>
      </c>
      <c r="U82" s="9">
        <v>1765</v>
      </c>
      <c r="V82">
        <v>1676</v>
      </c>
      <c r="W82">
        <v>1681</v>
      </c>
      <c r="X82">
        <v>1380</v>
      </c>
      <c r="Y82" s="304">
        <v>1424</v>
      </c>
      <c r="Z82" s="304">
        <v>1332</v>
      </c>
      <c r="AA82" s="349"/>
      <c r="AB82" s="9"/>
      <c r="AC82" s="9"/>
      <c r="AD82" s="9"/>
      <c r="AE82" s="9"/>
      <c r="AF82" s="9"/>
      <c r="AG82" s="9"/>
      <c r="AH82" s="9"/>
      <c r="AI82" s="9"/>
      <c r="AJ82" s="9"/>
      <c r="AK82" s="9"/>
      <c r="AL82" s="9"/>
      <c r="AM82" s="9"/>
      <c r="AN82" s="9"/>
      <c r="AO82" s="9"/>
      <c r="AP82" s="9"/>
      <c r="AQ82" s="9"/>
      <c r="AR82" s="9"/>
      <c r="AS82" s="9"/>
      <c r="AT82" s="9"/>
      <c r="AU82" s="9"/>
      <c r="AV82" s="9"/>
      <c r="AW82" s="9"/>
      <c r="AX82" s="9"/>
      <c r="AY82" s="9"/>
      <c r="AZ82" s="9"/>
      <c r="BA82" s="9"/>
      <c r="BB82" s="9"/>
      <c r="BC82" s="9"/>
      <c r="BD82" s="9"/>
      <c r="BE82" s="9"/>
      <c r="BF82" s="9"/>
      <c r="BG82" s="9"/>
      <c r="BH82" s="9"/>
      <c r="BI82" s="9"/>
      <c r="BJ82" s="9"/>
      <c r="BK82" s="9"/>
      <c r="BL82" s="9"/>
      <c r="BM82" s="9"/>
      <c r="BN82" s="9"/>
      <c r="BO82" s="9"/>
      <c r="BP82" s="9"/>
      <c r="BQ82" s="9"/>
      <c r="BR82" s="9"/>
      <c r="BS82" s="9"/>
      <c r="BT82" s="9"/>
      <c r="BU82" s="9"/>
      <c r="BV82" s="9"/>
      <c r="BW82" s="9"/>
      <c r="BX82" s="9"/>
      <c r="BY82" s="9"/>
      <c r="BZ82" s="9"/>
      <c r="CA82" s="9"/>
      <c r="CB82" s="9"/>
      <c r="CC82" s="9"/>
      <c r="CD82" s="9"/>
      <c r="CE82" s="9"/>
      <c r="CF82" s="9"/>
      <c r="CG82" s="9"/>
      <c r="CH82" s="9"/>
      <c r="CI82" s="9"/>
      <c r="CJ82" s="9"/>
      <c r="CK82" s="9"/>
    </row>
    <row r="83" spans="1:89" s="8" customFormat="1" ht="12.6" customHeight="1" x14ac:dyDescent="0.2">
      <c r="A83" s="56"/>
      <c r="B83" s="1"/>
      <c r="C83" s="50" t="str">
        <f>VLOOKUP(75,Textbausteine_102[],Hilfsgrössen!$D$2,FALSE)</f>
        <v>Journaux</v>
      </c>
      <c r="D83" s="1" t="str">
        <f>VLOOKUP(23,Textbausteine_102[],Hilfsgrössen!$D$2,FALSE)</f>
        <v>Millions d'unités</v>
      </c>
      <c r="E83" s="328">
        <v>18</v>
      </c>
      <c r="F83" s="94" t="s">
        <v>3167</v>
      </c>
      <c r="G83" s="34"/>
      <c r="H83" s="80" t="s">
        <v>29</v>
      </c>
      <c r="I83" s="81">
        <v>1201</v>
      </c>
      <c r="J83" s="81">
        <v>1196</v>
      </c>
      <c r="K83" s="81">
        <v>1214</v>
      </c>
      <c r="L83" s="81">
        <v>1196</v>
      </c>
      <c r="M83" s="81">
        <v>1249</v>
      </c>
      <c r="N83" s="9">
        <v>1372</v>
      </c>
      <c r="O83" s="9">
        <v>1342</v>
      </c>
      <c r="P83" s="9">
        <v>1318</v>
      </c>
      <c r="Q83" s="9">
        <v>1256</v>
      </c>
      <c r="R83" s="9">
        <v>1223</v>
      </c>
      <c r="S83" s="9">
        <v>1177</v>
      </c>
      <c r="T83" s="9">
        <v>1149</v>
      </c>
      <c r="U83" s="9">
        <v>1116</v>
      </c>
      <c r="V83">
        <v>1075</v>
      </c>
      <c r="W83">
        <v>1010</v>
      </c>
      <c r="X83">
        <v>1034</v>
      </c>
      <c r="Y83" s="304">
        <v>1022</v>
      </c>
      <c r="Z83" s="304">
        <v>988</v>
      </c>
      <c r="AA83" s="349"/>
      <c r="AB83" s="9"/>
      <c r="AC83" s="9"/>
      <c r="AD83" s="9"/>
      <c r="AE83" s="9"/>
      <c r="AF83" s="9"/>
      <c r="AG83" s="9"/>
      <c r="AH83" s="9"/>
      <c r="AI83" s="9"/>
      <c r="AJ83" s="9"/>
      <c r="AK83" s="9"/>
      <c r="AL83" s="9"/>
      <c r="AM83" s="9"/>
      <c r="AN83" s="9"/>
      <c r="AO83" s="9"/>
      <c r="AP83" s="9"/>
      <c r="AQ83" s="9"/>
      <c r="AR83" s="9"/>
      <c r="AS83" s="9"/>
      <c r="AT83" s="9"/>
      <c r="AU83" s="9"/>
      <c r="AV83" s="9"/>
      <c r="AW83" s="9"/>
      <c r="AX83" s="9"/>
      <c r="AY83" s="9"/>
      <c r="AZ83" s="9"/>
      <c r="BA83" s="9"/>
      <c r="BB83" s="9"/>
      <c r="BC83" s="9"/>
      <c r="BD83" s="9"/>
      <c r="BE83" s="9"/>
      <c r="BF83" s="9"/>
      <c r="BG83" s="9"/>
      <c r="BH83" s="9"/>
      <c r="BI83" s="9"/>
      <c r="BJ83" s="9"/>
      <c r="BK83" s="9"/>
      <c r="BL83" s="9"/>
      <c r="BM83" s="9"/>
      <c r="BN83" s="9"/>
      <c r="BO83" s="9"/>
      <c r="BP83" s="9"/>
      <c r="BQ83" s="9"/>
      <c r="BR83" s="9"/>
      <c r="BS83" s="9"/>
      <c r="BT83" s="9"/>
      <c r="BU83" s="9"/>
      <c r="BV83" s="9"/>
      <c r="BW83" s="9"/>
      <c r="BX83" s="9"/>
      <c r="BY83" s="9"/>
      <c r="BZ83" s="9"/>
      <c r="CA83" s="9"/>
      <c r="CB83" s="9"/>
      <c r="CC83" s="9"/>
      <c r="CD83" s="9"/>
      <c r="CE83" s="9"/>
      <c r="CF83" s="9"/>
      <c r="CG83" s="9"/>
      <c r="CH83" s="9"/>
      <c r="CI83" s="9"/>
      <c r="CJ83" s="9"/>
      <c r="CK83" s="9"/>
    </row>
    <row r="84" spans="1:89" s="8" customFormat="1" ht="12.6" customHeight="1" x14ac:dyDescent="0.2">
      <c r="A84" s="40"/>
      <c r="B84" s="2"/>
      <c r="C84" s="50" t="str">
        <f>VLOOKUP(76,Textbausteine_102[],Hilfsgrössen!$D$2,FALSE)</f>
        <v>Lettres, exportation</v>
      </c>
      <c r="D84" s="1" t="str">
        <f>VLOOKUP(23,Textbausteine_102[],Hilfsgrössen!$D$2,FALSE)</f>
        <v>Millions d'unités</v>
      </c>
      <c r="E84" s="328" t="s">
        <v>2916</v>
      </c>
      <c r="F84" s="94" t="s">
        <v>3167</v>
      </c>
      <c r="G84" s="34"/>
      <c r="H84" s="80" t="s">
        <v>29</v>
      </c>
      <c r="I84" s="9">
        <v>191.7</v>
      </c>
      <c r="J84" s="9">
        <v>199.7</v>
      </c>
      <c r="K84" s="9">
        <v>194</v>
      </c>
      <c r="L84" s="9">
        <v>184</v>
      </c>
      <c r="M84" s="9">
        <v>170</v>
      </c>
      <c r="N84" s="9">
        <v>103.7</v>
      </c>
      <c r="O84" s="9">
        <v>98.2</v>
      </c>
      <c r="P84" s="9">
        <v>82.4</v>
      </c>
      <c r="Q84" s="9">
        <v>80.7</v>
      </c>
      <c r="R84" s="9">
        <v>84.1</v>
      </c>
      <c r="S84" s="9">
        <v>83.8</v>
      </c>
      <c r="T84" s="9">
        <v>82.7</v>
      </c>
      <c r="U84" s="9">
        <v>73.8</v>
      </c>
      <c r="V84">
        <v>69.5</v>
      </c>
      <c r="W84">
        <v>64.3</v>
      </c>
      <c r="X84">
        <v>57.7</v>
      </c>
      <c r="Y84" s="304">
        <v>52.2</v>
      </c>
      <c r="Z84" s="304">
        <v>46.4</v>
      </c>
      <c r="AA84" s="349"/>
      <c r="AB84" s="9"/>
      <c r="AC84" s="304"/>
      <c r="AD84" s="9"/>
      <c r="AE84" s="9"/>
      <c r="AF84" s="9"/>
      <c r="AG84" s="9"/>
      <c r="AH84" s="9"/>
      <c r="AI84" s="9"/>
      <c r="AJ84" s="9"/>
      <c r="AK84" s="9"/>
      <c r="AL84" s="9"/>
      <c r="AM84" s="9"/>
      <c r="AN84" s="9"/>
      <c r="AO84" s="9"/>
      <c r="AP84" s="9"/>
      <c r="AQ84" s="9"/>
      <c r="AR84" s="9"/>
      <c r="AS84" s="9"/>
      <c r="AT84" s="9"/>
      <c r="AU84" s="9"/>
      <c r="AV84" s="9"/>
      <c r="AW84" s="9"/>
      <c r="AX84" s="9"/>
      <c r="AY84" s="9"/>
      <c r="AZ84" s="9"/>
      <c r="BA84" s="9"/>
      <c r="BB84" s="9"/>
      <c r="BC84" s="9"/>
      <c r="BD84" s="9"/>
      <c r="BE84" s="9"/>
      <c r="BF84" s="9"/>
      <c r="BG84" s="9"/>
      <c r="BH84" s="9"/>
      <c r="BI84" s="9"/>
      <c r="BJ84" s="9"/>
      <c r="BK84" s="9"/>
      <c r="BL84" s="9"/>
      <c r="BM84" s="9"/>
      <c r="BN84" s="9"/>
      <c r="BO84" s="9"/>
      <c r="BP84" s="9"/>
      <c r="BQ84" s="9"/>
      <c r="BR84" s="9"/>
      <c r="BS84" s="9"/>
      <c r="BT84" s="9"/>
      <c r="BU84" s="9"/>
      <c r="BV84" s="9"/>
      <c r="BW84" s="9"/>
      <c r="BX84" s="9"/>
      <c r="BY84" s="9"/>
      <c r="BZ84" s="9"/>
      <c r="CA84" s="9"/>
      <c r="CB84" s="9"/>
      <c r="CC84" s="9"/>
      <c r="CD84" s="9"/>
      <c r="CE84" s="9"/>
      <c r="CF84" s="9"/>
      <c r="CG84" s="9"/>
      <c r="CH84" s="9"/>
      <c r="CI84" s="9"/>
      <c r="CJ84" s="9"/>
      <c r="CK84" s="9"/>
    </row>
    <row r="85" spans="1:89" s="8" customFormat="1" ht="12.6" customHeight="1" x14ac:dyDescent="0.2">
      <c r="A85" s="56"/>
      <c r="B85" s="1"/>
      <c r="C85" s="50" t="str">
        <f>VLOOKUP(77,Textbausteine_102[],Hilfsgrössen!$D$2,FALSE)</f>
        <v>Lettres, importation</v>
      </c>
      <c r="D85" s="1" t="str">
        <f>VLOOKUP(23,Textbausteine_102[],Hilfsgrössen!$D$2,FALSE)</f>
        <v>Millions d'unités</v>
      </c>
      <c r="E85" s="328" t="s">
        <v>2916</v>
      </c>
      <c r="F85" s="94" t="s">
        <v>3167</v>
      </c>
      <c r="G85" s="34"/>
      <c r="H85" s="80" t="s">
        <v>29</v>
      </c>
      <c r="I85" s="81">
        <v>220.4</v>
      </c>
      <c r="J85" s="81">
        <v>230.6</v>
      </c>
      <c r="K85" s="81">
        <v>234.6</v>
      </c>
      <c r="L85" s="81">
        <v>235.8</v>
      </c>
      <c r="M85" s="81">
        <v>220.3</v>
      </c>
      <c r="N85" s="91">
        <v>198.2</v>
      </c>
      <c r="O85" s="91">
        <v>197.5</v>
      </c>
      <c r="P85" s="91">
        <v>179.6</v>
      </c>
      <c r="Q85" s="91">
        <v>164.2</v>
      </c>
      <c r="R85" s="91">
        <v>159.4</v>
      </c>
      <c r="S85" s="91">
        <v>151.4</v>
      </c>
      <c r="T85" s="9">
        <v>150.69999999999999</v>
      </c>
      <c r="U85" s="9">
        <v>146.80000000000001</v>
      </c>
      <c r="V85">
        <v>145.6</v>
      </c>
      <c r="W85">
        <v>132.1</v>
      </c>
      <c r="X85">
        <v>105.5</v>
      </c>
      <c r="Y85" s="304">
        <v>100</v>
      </c>
      <c r="Z85" s="304">
        <v>87.2</v>
      </c>
      <c r="AA85" s="349"/>
      <c r="AB85" s="9"/>
      <c r="AC85" s="9"/>
      <c r="AD85" s="9"/>
      <c r="AE85" s="9"/>
      <c r="AF85" s="9"/>
      <c r="AG85" s="9"/>
      <c r="AH85" s="9"/>
      <c r="AI85" s="9"/>
      <c r="AJ85" s="9"/>
      <c r="AK85" s="9"/>
      <c r="AL85" s="9"/>
      <c r="AM85" s="9"/>
      <c r="AN85" s="9"/>
      <c r="AO85" s="9"/>
      <c r="AP85" s="9"/>
      <c r="AQ85" s="9"/>
      <c r="AR85" s="9"/>
      <c r="AS85" s="9"/>
      <c r="AT85" s="9"/>
      <c r="AU85" s="9"/>
      <c r="AV85" s="9"/>
      <c r="AW85" s="9"/>
      <c r="AX85" s="9"/>
      <c r="AY85" s="9"/>
      <c r="AZ85" s="9"/>
      <c r="BA85" s="9"/>
      <c r="BB85" s="9"/>
      <c r="BC85" s="9"/>
      <c r="BD85" s="9"/>
      <c r="BE85" s="9"/>
      <c r="BF85" s="9"/>
      <c r="BG85" s="9"/>
      <c r="BH85" s="9"/>
      <c r="BI85" s="9"/>
      <c r="BJ85" s="9"/>
      <c r="BK85" s="9"/>
      <c r="BL85" s="9"/>
      <c r="BM85" s="9"/>
      <c r="BN85" s="9"/>
      <c r="BO85" s="9"/>
      <c r="BP85" s="9"/>
      <c r="BQ85" s="9"/>
      <c r="BR85" s="9"/>
      <c r="BS85" s="9"/>
      <c r="BT85" s="9"/>
      <c r="BU85" s="9"/>
      <c r="BV85" s="9"/>
      <c r="BW85" s="9"/>
      <c r="BX85" s="9"/>
      <c r="BY85" s="9"/>
      <c r="BZ85" s="9"/>
      <c r="CA85" s="9"/>
      <c r="CB85" s="9"/>
      <c r="CC85" s="9"/>
      <c r="CD85" s="9"/>
      <c r="CE85" s="9"/>
      <c r="CF85" s="9"/>
      <c r="CG85" s="9"/>
      <c r="CH85" s="9"/>
      <c r="CI85" s="9"/>
      <c r="CJ85" s="9"/>
      <c r="CK85" s="9"/>
    </row>
    <row r="86" spans="1:89" s="8" customFormat="1" ht="12.6" customHeight="1" x14ac:dyDescent="0.2">
      <c r="A86" s="56"/>
      <c r="B86" s="1"/>
      <c r="C86" s="50" t="str">
        <f>VLOOKUP(78,Textbausteine_102[],Hilfsgrössen!$D$2,FALSE)</f>
        <v>Journaux, exportation</v>
      </c>
      <c r="D86" s="1" t="str">
        <f>VLOOKUP(23,Textbausteine_102[],Hilfsgrössen!$D$2,FALSE)</f>
        <v>Millions d'unités</v>
      </c>
      <c r="E86" s="338"/>
      <c r="F86" s="94" t="s">
        <v>3167</v>
      </c>
      <c r="G86" s="267"/>
      <c r="H86" s="80" t="s">
        <v>29</v>
      </c>
      <c r="I86" s="100" t="s">
        <v>29</v>
      </c>
      <c r="J86" s="100" t="s">
        <v>29</v>
      </c>
      <c r="K86" s="100" t="s">
        <v>29</v>
      </c>
      <c r="L86" s="100" t="s">
        <v>29</v>
      </c>
      <c r="M86" s="100" t="s">
        <v>29</v>
      </c>
      <c r="N86" s="91">
        <v>11.8</v>
      </c>
      <c r="O86" s="91">
        <v>10.6</v>
      </c>
      <c r="P86" s="91">
        <v>9.5</v>
      </c>
      <c r="Q86" s="91">
        <v>8.5</v>
      </c>
      <c r="R86" s="91">
        <v>6.5</v>
      </c>
      <c r="S86" s="91">
        <v>6.2</v>
      </c>
      <c r="T86" s="9">
        <v>5.8</v>
      </c>
      <c r="U86" s="9">
        <v>5.4</v>
      </c>
      <c r="V86">
        <v>5.0999999999999996</v>
      </c>
      <c r="W86">
        <v>4.9000000000000004</v>
      </c>
      <c r="X86">
        <v>4.2</v>
      </c>
      <c r="Y86">
        <v>3.7</v>
      </c>
      <c r="Z86">
        <v>3.1</v>
      </c>
      <c r="AA86" s="349"/>
      <c r="AB86" s="9"/>
      <c r="AC86" s="9"/>
      <c r="AD86" s="9"/>
      <c r="AE86" s="9"/>
      <c r="AF86" s="9"/>
      <c r="AG86" s="9"/>
      <c r="AH86" s="9"/>
      <c r="AI86" s="9"/>
      <c r="AJ86" s="9"/>
      <c r="AK86" s="9"/>
      <c r="AL86" s="9"/>
      <c r="AM86" s="9"/>
      <c r="AN86" s="9"/>
      <c r="AO86" s="9"/>
      <c r="AP86" s="9"/>
      <c r="AQ86" s="9"/>
      <c r="AR86" s="9"/>
      <c r="AS86" s="9"/>
      <c r="AT86" s="9"/>
      <c r="AU86" s="9"/>
      <c r="AV86" s="9"/>
      <c r="AW86" s="9"/>
      <c r="AX86" s="9"/>
      <c r="AY86" s="9"/>
      <c r="AZ86" s="9"/>
      <c r="BA86" s="9"/>
      <c r="BB86" s="9"/>
      <c r="BC86" s="9"/>
      <c r="BD86" s="9"/>
      <c r="BE86" s="9"/>
      <c r="BF86" s="9"/>
      <c r="BG86" s="9"/>
      <c r="BH86" s="9"/>
      <c r="BI86" s="9"/>
      <c r="BJ86" s="9"/>
      <c r="BK86" s="9"/>
      <c r="BL86" s="9"/>
      <c r="BM86" s="9"/>
      <c r="BN86" s="9"/>
      <c r="BO86" s="9"/>
      <c r="BP86" s="9"/>
      <c r="BQ86" s="9"/>
      <c r="BR86" s="9"/>
      <c r="BS86" s="9"/>
      <c r="BT86" s="9"/>
      <c r="BU86" s="9"/>
      <c r="BV86" s="9"/>
      <c r="BW86" s="9"/>
      <c r="BX86" s="9"/>
      <c r="BY86" s="9"/>
      <c r="BZ86" s="9"/>
      <c r="CA86" s="9"/>
      <c r="CB86" s="9"/>
      <c r="CC86" s="9"/>
      <c r="CD86" s="9"/>
      <c r="CE86" s="9"/>
      <c r="CF86" s="9"/>
      <c r="CG86" s="9"/>
      <c r="CH86" s="9"/>
      <c r="CI86" s="9"/>
      <c r="CJ86" s="9"/>
      <c r="CK86" s="9"/>
    </row>
    <row r="87" spans="1:89" s="8" customFormat="1" ht="12.6" customHeight="1" x14ac:dyDescent="0.2">
      <c r="A87" s="56"/>
      <c r="B87" s="1"/>
      <c r="C87" s="50" t="str">
        <f>VLOOKUP(79,Textbausteine_102[],Hilfsgrössen!$D$2,FALSE)</f>
        <v>Journaux, importation</v>
      </c>
      <c r="D87" s="1" t="str">
        <f>VLOOKUP(23,Textbausteine_102[],Hilfsgrössen!$D$2,FALSE)</f>
        <v>Millions d'unités</v>
      </c>
      <c r="E87" s="338"/>
      <c r="F87" s="94" t="s">
        <v>3167</v>
      </c>
      <c r="G87" s="34"/>
      <c r="H87" s="80" t="s">
        <v>29</v>
      </c>
      <c r="I87" s="100" t="s">
        <v>29</v>
      </c>
      <c r="J87" s="100" t="s">
        <v>29</v>
      </c>
      <c r="K87" s="100" t="s">
        <v>29</v>
      </c>
      <c r="L87" s="100" t="s">
        <v>29</v>
      </c>
      <c r="M87" s="100" t="s">
        <v>29</v>
      </c>
      <c r="N87" s="91">
        <v>24.1</v>
      </c>
      <c r="O87" s="91">
        <v>25.7</v>
      </c>
      <c r="P87" s="91">
        <v>23.5</v>
      </c>
      <c r="Q87" s="91">
        <v>22.9</v>
      </c>
      <c r="R87" s="91">
        <v>21.6</v>
      </c>
      <c r="S87" s="91">
        <v>21.5</v>
      </c>
      <c r="T87" s="9">
        <v>21.7</v>
      </c>
      <c r="U87" s="9">
        <v>20.8</v>
      </c>
      <c r="V87">
        <v>20.5</v>
      </c>
      <c r="W87">
        <v>19.8</v>
      </c>
      <c r="X87">
        <v>16.5</v>
      </c>
      <c r="Y87" s="304">
        <v>15.1</v>
      </c>
      <c r="Z87" s="304">
        <v>13.9</v>
      </c>
      <c r="AA87" s="349"/>
      <c r="AB87" s="9"/>
      <c r="AC87" s="9"/>
      <c r="AD87" s="9"/>
      <c r="AE87" s="9"/>
      <c r="AF87" s="9"/>
      <c r="AG87" s="9"/>
      <c r="AH87" s="9"/>
      <c r="AI87" s="9"/>
      <c r="AJ87" s="9"/>
      <c r="AK87" s="9"/>
      <c r="AL87" s="9"/>
      <c r="AM87" s="9"/>
      <c r="AN87" s="9"/>
      <c r="AO87" s="9"/>
      <c r="AP87" s="9"/>
      <c r="AQ87" s="9"/>
      <c r="AR87" s="9"/>
      <c r="AS87" s="9"/>
      <c r="AT87" s="9"/>
      <c r="AU87" s="9"/>
      <c r="AV87" s="9"/>
      <c r="AW87" s="9"/>
      <c r="AX87" s="9"/>
      <c r="AY87" s="9"/>
      <c r="AZ87" s="9"/>
      <c r="BA87" s="9"/>
      <c r="BB87" s="9"/>
      <c r="BC87" s="9"/>
      <c r="BD87" s="9"/>
      <c r="BE87" s="9"/>
      <c r="BF87" s="9"/>
      <c r="BG87" s="9"/>
      <c r="BH87" s="9"/>
      <c r="BI87" s="9"/>
      <c r="BJ87" s="9"/>
      <c r="BK87" s="9"/>
      <c r="BL87" s="9"/>
      <c r="BM87" s="9"/>
      <c r="BN87" s="9"/>
      <c r="BO87" s="9"/>
      <c r="BP87" s="9"/>
      <c r="BQ87" s="9"/>
      <c r="BR87" s="9"/>
      <c r="BS87" s="9"/>
      <c r="BT87" s="9"/>
      <c r="BU87" s="9"/>
      <c r="BV87" s="9"/>
      <c r="BW87" s="9"/>
      <c r="BX87" s="9"/>
      <c r="BY87" s="9"/>
      <c r="BZ87" s="9"/>
      <c r="CA87" s="9"/>
      <c r="CB87" s="9"/>
      <c r="CC87" s="9"/>
      <c r="CD87" s="9"/>
      <c r="CE87" s="9"/>
      <c r="CF87" s="9"/>
      <c r="CG87" s="9"/>
      <c r="CH87" s="9"/>
      <c r="CI87" s="9"/>
      <c r="CJ87" s="9"/>
      <c r="CK87" s="9"/>
    </row>
    <row r="88" spans="1:89" s="8" customFormat="1" ht="12.6" customHeight="1" x14ac:dyDescent="0.2">
      <c r="A88" s="56"/>
      <c r="B88" s="1"/>
      <c r="C88" s="48" t="str">
        <f>VLOOKUP(80,Textbausteine_102[],Hilfsgrössen!$D$2,FALSE)</f>
        <v>Colis</v>
      </c>
      <c r="D88" s="1" t="str">
        <f>VLOOKUP(23,Textbausteine_102[],Hilfsgrössen!$D$2,FALSE)</f>
        <v>Millions d'unités</v>
      </c>
      <c r="E88" s="343" t="s">
        <v>2917</v>
      </c>
      <c r="F88" s="94" t="s">
        <v>3167</v>
      </c>
      <c r="G88" s="267"/>
      <c r="H88" s="136" t="s">
        <v>29</v>
      </c>
      <c r="I88" s="182">
        <v>107.3</v>
      </c>
      <c r="J88" s="182">
        <v>106.6</v>
      </c>
      <c r="K88" s="182">
        <v>106.8</v>
      </c>
      <c r="L88" s="182">
        <v>110.1</v>
      </c>
      <c r="M88" s="182">
        <v>108.6</v>
      </c>
      <c r="N88" s="183">
        <v>113.4</v>
      </c>
      <c r="O88" s="183">
        <v>111.5</v>
      </c>
      <c r="P88" s="183">
        <v>114</v>
      </c>
      <c r="Q88" s="183">
        <v>110</v>
      </c>
      <c r="R88" s="183">
        <v>112</v>
      </c>
      <c r="S88" s="183">
        <v>115.2</v>
      </c>
      <c r="T88" s="268">
        <v>129</v>
      </c>
      <c r="U88" s="268">
        <v>131.9</v>
      </c>
      <c r="V88" s="268">
        <v>140</v>
      </c>
      <c r="W88">
        <v>149.6</v>
      </c>
      <c r="X88">
        <v>184.4</v>
      </c>
      <c r="Y88">
        <v>202.1</v>
      </c>
      <c r="Z88">
        <v>194</v>
      </c>
      <c r="AA88" s="349"/>
      <c r="AB88" s="9"/>
      <c r="AC88" s="9"/>
      <c r="AD88" s="9"/>
      <c r="AE88" s="9"/>
      <c r="AF88" s="9"/>
      <c r="AG88" s="9"/>
      <c r="AH88" s="9"/>
      <c r="AI88" s="9"/>
      <c r="AJ88" s="9"/>
      <c r="AK88" s="9"/>
      <c r="AL88" s="9"/>
      <c r="AM88" s="9"/>
      <c r="AN88" s="9"/>
      <c r="AO88" s="9"/>
      <c r="AP88" s="9"/>
      <c r="AQ88" s="9"/>
      <c r="AR88" s="9"/>
      <c r="AS88" s="9"/>
      <c r="AT88" s="9"/>
      <c r="AU88" s="9"/>
      <c r="AV88" s="9"/>
      <c r="AW88" s="9"/>
      <c r="AX88" s="9"/>
      <c r="AY88" s="9"/>
      <c r="AZ88" s="9"/>
      <c r="BA88" s="9"/>
      <c r="BB88" s="9"/>
      <c r="BC88" s="9"/>
      <c r="BD88" s="9"/>
      <c r="BE88" s="9"/>
      <c r="BF88" s="9"/>
      <c r="BG88" s="9"/>
      <c r="BH88" s="9"/>
      <c r="BI88" s="9"/>
      <c r="BJ88" s="9"/>
      <c r="BK88" s="9"/>
      <c r="BL88" s="9"/>
      <c r="BM88" s="9"/>
      <c r="BN88" s="9"/>
      <c r="BO88" s="9"/>
      <c r="BP88" s="9"/>
      <c r="BQ88" s="9"/>
      <c r="BR88" s="9"/>
      <c r="BS88" s="9"/>
      <c r="BT88" s="9"/>
      <c r="BU88" s="9"/>
      <c r="BV88" s="9"/>
      <c r="BW88" s="9"/>
      <c r="BX88" s="9"/>
      <c r="BY88" s="9"/>
      <c r="BZ88" s="9"/>
      <c r="CA88" s="9"/>
      <c r="CB88" s="9"/>
      <c r="CC88" s="9"/>
      <c r="CD88" s="9"/>
      <c r="CE88" s="9"/>
      <c r="CF88" s="9"/>
      <c r="CG88" s="9"/>
      <c r="CH88" s="9"/>
      <c r="CI88" s="9"/>
      <c r="CJ88" s="9"/>
      <c r="CK88" s="9"/>
    </row>
    <row r="89" spans="1:89" s="8" customFormat="1" ht="12.6" customHeight="1" x14ac:dyDescent="0.2">
      <c r="A89" s="56"/>
      <c r="B89" s="1"/>
      <c r="C89" s="50" t="str">
        <f>VLOOKUP(81,Textbausteine_102[],Hilfsgrössen!$D$2,FALSE)</f>
        <v>domestiques Economy</v>
      </c>
      <c r="D89" s="1" t="str">
        <f>VLOOKUP(23,Textbausteine_102[],Hilfsgrössen!$D$2,FALSE)</f>
        <v>Millions d'unités</v>
      </c>
      <c r="E89" s="343">
        <v>1</v>
      </c>
      <c r="F89" s="94" t="s">
        <v>3167</v>
      </c>
      <c r="G89" s="267"/>
      <c r="H89" s="136" t="s">
        <v>29</v>
      </c>
      <c r="I89" s="182">
        <v>27.4</v>
      </c>
      <c r="J89" s="182">
        <v>30.3</v>
      </c>
      <c r="K89" s="182">
        <v>34.6</v>
      </c>
      <c r="L89" s="182">
        <v>38</v>
      </c>
      <c r="M89" s="182">
        <v>39.799999999999997</v>
      </c>
      <c r="N89" s="183">
        <v>43.7</v>
      </c>
      <c r="O89" s="183">
        <v>45.9</v>
      </c>
      <c r="P89" s="183">
        <v>50.1</v>
      </c>
      <c r="Q89" s="183">
        <v>45.8</v>
      </c>
      <c r="R89" s="183">
        <v>49.1</v>
      </c>
      <c r="S89" s="183">
        <v>53.2</v>
      </c>
      <c r="T89" s="268">
        <v>59.4</v>
      </c>
      <c r="U89" s="268">
        <v>65.099999999999994</v>
      </c>
      <c r="V89">
        <v>70.8</v>
      </c>
      <c r="W89">
        <v>76.8</v>
      </c>
      <c r="X89">
        <v>96.1</v>
      </c>
      <c r="Y89">
        <v>108.9</v>
      </c>
      <c r="Z89">
        <v>106.9</v>
      </c>
      <c r="AA89" s="349"/>
      <c r="AB89" s="9"/>
      <c r="AC89" s="9"/>
      <c r="AD89" s="9"/>
      <c r="AE89" s="9"/>
      <c r="AF89" s="9"/>
      <c r="AG89" s="9"/>
      <c r="AH89" s="9"/>
      <c r="AI89" s="9"/>
      <c r="AJ89" s="9"/>
      <c r="AK89" s="9"/>
      <c r="AL89" s="9"/>
      <c r="AM89" s="9"/>
      <c r="AN89" s="9"/>
      <c r="AO89" s="9"/>
      <c r="AP89" s="9"/>
      <c r="AQ89" s="9"/>
      <c r="AR89" s="9"/>
      <c r="AS89" s="9"/>
      <c r="AT89" s="9"/>
      <c r="AU89" s="9"/>
      <c r="AV89" s="9"/>
      <c r="AW89" s="9"/>
      <c r="AX89" s="9"/>
      <c r="AY89" s="9"/>
      <c r="AZ89" s="9"/>
      <c r="BA89" s="9"/>
      <c r="BB89" s="9"/>
      <c r="BC89" s="9"/>
      <c r="BD89" s="9"/>
      <c r="BE89" s="9"/>
      <c r="BF89" s="9"/>
      <c r="BG89" s="9"/>
      <c r="BH89" s="9"/>
      <c r="BI89" s="9"/>
      <c r="BJ89" s="9"/>
      <c r="BK89" s="9"/>
      <c r="BL89" s="9"/>
      <c r="BM89" s="9"/>
      <c r="BN89" s="9"/>
      <c r="BO89" s="9"/>
      <c r="BP89" s="9"/>
      <c r="BQ89" s="9"/>
      <c r="BR89" s="9"/>
      <c r="BS89" s="9"/>
      <c r="BT89" s="9"/>
      <c r="BU89" s="9"/>
      <c r="BV89" s="9"/>
      <c r="BW89" s="9"/>
      <c r="BX89" s="9"/>
      <c r="BY89" s="9"/>
      <c r="BZ89" s="9"/>
      <c r="CA89" s="9"/>
      <c r="CB89" s="9"/>
      <c r="CC89" s="9"/>
      <c r="CD89" s="9"/>
      <c r="CE89" s="9"/>
      <c r="CF89" s="9"/>
      <c r="CG89" s="9"/>
      <c r="CH89" s="9"/>
      <c r="CI89" s="9"/>
      <c r="CJ89" s="9"/>
      <c r="CK89" s="9"/>
    </row>
    <row r="90" spans="1:89" s="8" customFormat="1" ht="12.6" customHeight="1" x14ac:dyDescent="0.2">
      <c r="A90" s="56"/>
      <c r="B90" s="1"/>
      <c r="C90" s="50" t="str">
        <f>VLOOKUP(82,Textbausteine_102[],Hilfsgrössen!$D$2,FALSE)</f>
        <v>domestiques Priority</v>
      </c>
      <c r="D90" s="1" t="str">
        <f>VLOOKUP(23,Textbausteine_102[],Hilfsgrössen!$D$2,FALSE)</f>
        <v>Millions d'unités</v>
      </c>
      <c r="E90" s="343">
        <v>1</v>
      </c>
      <c r="F90" s="94" t="s">
        <v>3167</v>
      </c>
      <c r="G90" s="34"/>
      <c r="H90" s="136" t="s">
        <v>29</v>
      </c>
      <c r="I90" s="182">
        <v>75.3</v>
      </c>
      <c r="J90" s="182">
        <v>71.400000000000006</v>
      </c>
      <c r="K90" s="182">
        <v>68.5</v>
      </c>
      <c r="L90" s="182">
        <v>66.400000000000006</v>
      </c>
      <c r="M90" s="182">
        <v>64.599999999999994</v>
      </c>
      <c r="N90" s="183">
        <v>64.599999999999994</v>
      </c>
      <c r="O90" s="183">
        <v>61</v>
      </c>
      <c r="P90" s="183">
        <v>61.1</v>
      </c>
      <c r="Q90" s="183">
        <v>57.8</v>
      </c>
      <c r="R90" s="183">
        <v>56.3</v>
      </c>
      <c r="S90" s="183">
        <v>55.3</v>
      </c>
      <c r="T90" s="268">
        <v>55.2</v>
      </c>
      <c r="U90" s="268">
        <v>56.9</v>
      </c>
      <c r="V90">
        <v>59.9</v>
      </c>
      <c r="W90" s="280">
        <v>63</v>
      </c>
      <c r="X90">
        <v>75.8</v>
      </c>
      <c r="Y90" s="280">
        <v>80</v>
      </c>
      <c r="Z90" s="280">
        <v>74.7</v>
      </c>
      <c r="AA90" s="349"/>
      <c r="AB90" s="9"/>
      <c r="AC90" s="9"/>
      <c r="AD90" s="9"/>
      <c r="AE90" s="9"/>
      <c r="AF90" s="9"/>
      <c r="AG90" s="9"/>
      <c r="AH90" s="9"/>
      <c r="AI90" s="9"/>
      <c r="AJ90" s="9"/>
      <c r="AK90" s="9"/>
      <c r="AL90" s="9"/>
      <c r="AM90" s="9"/>
      <c r="AN90" s="9"/>
      <c r="AO90" s="9"/>
      <c r="AP90" s="9"/>
      <c r="AQ90" s="9"/>
      <c r="AR90" s="9"/>
      <c r="AS90" s="9"/>
      <c r="AT90" s="9"/>
      <c r="AU90" s="9"/>
      <c r="AV90" s="9"/>
      <c r="AW90" s="9"/>
      <c r="AX90" s="9"/>
      <c r="AY90" s="9"/>
      <c r="AZ90" s="9"/>
      <c r="BA90" s="9"/>
      <c r="BB90" s="9"/>
      <c r="BC90" s="9"/>
      <c r="BD90" s="9"/>
      <c r="BE90" s="9"/>
      <c r="BF90" s="9"/>
      <c r="BG90" s="9"/>
      <c r="BH90" s="9"/>
      <c r="BI90" s="9"/>
      <c r="BJ90" s="9"/>
      <c r="BK90" s="9"/>
      <c r="BL90" s="9"/>
      <c r="BM90" s="9"/>
      <c r="BN90" s="9"/>
      <c r="BO90" s="9"/>
      <c r="BP90" s="9"/>
      <c r="BQ90" s="9"/>
      <c r="BR90" s="9"/>
      <c r="BS90" s="9"/>
      <c r="BT90" s="9"/>
      <c r="BU90" s="9"/>
      <c r="BV90" s="9"/>
      <c r="BW90" s="9"/>
      <c r="BX90" s="9"/>
      <c r="BY90" s="9"/>
      <c r="BZ90" s="9"/>
      <c r="CA90" s="9"/>
      <c r="CB90" s="9"/>
      <c r="CC90" s="9"/>
      <c r="CD90" s="9"/>
      <c r="CE90" s="9"/>
      <c r="CF90" s="9"/>
      <c r="CG90" s="9"/>
      <c r="CH90" s="9"/>
      <c r="CI90" s="9"/>
      <c r="CJ90" s="9"/>
      <c r="CK90" s="9"/>
    </row>
    <row r="91" spans="1:89" s="8" customFormat="1" ht="12.6" customHeight="1" x14ac:dyDescent="0.2">
      <c r="A91" s="56"/>
      <c r="B91" s="1"/>
      <c r="C91" s="50" t="str">
        <f>VLOOKUP(83,Textbausteine_102[],Hilfsgrössen!$D$2,FALSE)</f>
        <v>Exportation</v>
      </c>
      <c r="D91" s="1" t="str">
        <f>VLOOKUP(23,Textbausteine_102[],Hilfsgrössen!$D$2,FALSE)</f>
        <v>Millions d'unités</v>
      </c>
      <c r="E91" s="343">
        <v>1</v>
      </c>
      <c r="F91" s="94" t="s">
        <v>3167</v>
      </c>
      <c r="G91" s="34"/>
      <c r="H91" s="136" t="s">
        <v>29</v>
      </c>
      <c r="I91" s="182">
        <v>1.4</v>
      </c>
      <c r="J91" s="182">
        <v>1.4</v>
      </c>
      <c r="K91" s="182">
        <v>0.8</v>
      </c>
      <c r="L91" s="182">
        <v>1.4</v>
      </c>
      <c r="M91" s="182">
        <v>1.1000000000000001</v>
      </c>
      <c r="N91" s="183">
        <v>1.3</v>
      </c>
      <c r="O91" s="183">
        <v>1.2</v>
      </c>
      <c r="P91" s="183">
        <v>1.4</v>
      </c>
      <c r="Q91" s="183">
        <v>1.6</v>
      </c>
      <c r="R91" s="183">
        <v>1.3</v>
      </c>
      <c r="S91" s="183">
        <v>1.1000000000000001</v>
      </c>
      <c r="T91" s="268">
        <v>1.3</v>
      </c>
      <c r="U91" s="268">
        <v>1.2</v>
      </c>
      <c r="V91">
        <v>1.3</v>
      </c>
      <c r="W91">
        <v>1.5</v>
      </c>
      <c r="X91">
        <v>2.4</v>
      </c>
      <c r="Y91" s="280">
        <v>2</v>
      </c>
      <c r="Z91" s="280">
        <v>1.3</v>
      </c>
      <c r="AA91" s="349"/>
      <c r="AB91" s="9"/>
      <c r="AC91" s="9"/>
      <c r="AD91" s="9"/>
      <c r="AE91" s="9"/>
      <c r="AF91" s="9"/>
      <c r="AG91" s="9"/>
      <c r="AH91" s="9"/>
      <c r="AI91" s="9"/>
      <c r="AJ91" s="9"/>
      <c r="AK91" s="9"/>
      <c r="AL91" s="9"/>
      <c r="AM91" s="9"/>
      <c r="AN91" s="9"/>
      <c r="AO91" s="9"/>
      <c r="AP91" s="9"/>
      <c r="AQ91" s="9"/>
      <c r="AR91" s="9"/>
      <c r="AS91" s="9"/>
      <c r="AT91" s="9"/>
      <c r="AU91" s="9"/>
      <c r="AV91" s="9"/>
      <c r="AW91" s="9"/>
      <c r="AX91" s="9"/>
      <c r="AY91" s="9"/>
      <c r="AZ91" s="9"/>
      <c r="BA91" s="9"/>
      <c r="BB91" s="9"/>
      <c r="BC91" s="9"/>
      <c r="BD91" s="9"/>
      <c r="BE91" s="9"/>
      <c r="BF91" s="9"/>
      <c r="BG91" s="9"/>
      <c r="BH91" s="9"/>
      <c r="BI91" s="9"/>
      <c r="BJ91" s="9"/>
      <c r="BK91" s="9"/>
      <c r="BL91" s="9"/>
      <c r="BM91" s="9"/>
      <c r="BN91" s="9"/>
      <c r="BO91" s="9"/>
      <c r="BP91" s="9"/>
      <c r="BQ91" s="9"/>
      <c r="BR91" s="9"/>
      <c r="BS91" s="9"/>
      <c r="BT91" s="9"/>
      <c r="BU91" s="9"/>
      <c r="BV91" s="9"/>
      <c r="BW91" s="9"/>
      <c r="BX91" s="9"/>
      <c r="BY91" s="9"/>
      <c r="BZ91" s="9"/>
      <c r="CA91" s="9"/>
      <c r="CB91" s="9"/>
      <c r="CC91" s="9"/>
      <c r="CD91" s="9"/>
      <c r="CE91" s="9"/>
      <c r="CF91" s="9"/>
      <c r="CG91" s="9"/>
      <c r="CH91" s="9"/>
      <c r="CI91" s="9"/>
      <c r="CJ91" s="9"/>
      <c r="CK91" s="9"/>
    </row>
    <row r="92" spans="1:89" s="8" customFormat="1" ht="12.6" customHeight="1" x14ac:dyDescent="0.2">
      <c r="A92" s="56"/>
      <c r="B92" s="1"/>
      <c r="C92" s="50" t="str">
        <f>VLOOKUP(84,Textbausteine_102[],Hilfsgrössen!$D$2,FALSE)</f>
        <v>Importation</v>
      </c>
      <c r="D92" s="1" t="str">
        <f>VLOOKUP(23,Textbausteine_102[],Hilfsgrössen!$D$2,FALSE)</f>
        <v>Millions d'unités</v>
      </c>
      <c r="E92" s="343">
        <v>1</v>
      </c>
      <c r="F92" s="94" t="s">
        <v>3167</v>
      </c>
      <c r="G92" s="267"/>
      <c r="H92" s="136" t="s">
        <v>29</v>
      </c>
      <c r="I92" s="182">
        <v>3.2</v>
      </c>
      <c r="J92" s="182">
        <v>3.5</v>
      </c>
      <c r="K92" s="182">
        <v>2.9</v>
      </c>
      <c r="L92" s="182">
        <v>4.3</v>
      </c>
      <c r="M92" s="182">
        <v>3.1</v>
      </c>
      <c r="N92" s="183">
        <v>3.8</v>
      </c>
      <c r="O92" s="183">
        <v>3.4</v>
      </c>
      <c r="P92" s="183">
        <v>1.4</v>
      </c>
      <c r="Q92" s="183">
        <v>4.8</v>
      </c>
      <c r="R92" s="183">
        <v>5.0999999999999996</v>
      </c>
      <c r="S92" s="183">
        <v>5.6</v>
      </c>
      <c r="T92" s="268">
        <v>5.9</v>
      </c>
      <c r="U92" s="268">
        <v>6.2</v>
      </c>
      <c r="V92">
        <v>6.1</v>
      </c>
      <c r="W92">
        <v>6.8</v>
      </c>
      <c r="X92">
        <v>8.5</v>
      </c>
      <c r="Y92">
        <v>9.6</v>
      </c>
      <c r="Z92">
        <v>9.9</v>
      </c>
      <c r="AA92" s="349"/>
      <c r="AB92" s="9"/>
      <c r="AC92" s="9"/>
      <c r="AD92" s="9"/>
      <c r="AE92" s="9"/>
      <c r="AF92" s="9"/>
      <c r="AG92" s="9"/>
      <c r="AH92" s="9"/>
      <c r="AI92" s="9"/>
      <c r="AJ92" s="9"/>
      <c r="AK92" s="9"/>
      <c r="AL92" s="9"/>
      <c r="AM92" s="9"/>
      <c r="AN92" s="9"/>
      <c r="AO92" s="9"/>
      <c r="AP92" s="9"/>
      <c r="AQ92" s="9"/>
      <c r="AR92" s="9"/>
      <c r="AS92" s="9"/>
      <c r="AT92" s="9"/>
      <c r="AU92" s="9"/>
      <c r="AV92" s="9"/>
      <c r="AW92" s="9"/>
      <c r="AX92" s="9"/>
      <c r="AY92" s="9"/>
      <c r="AZ92" s="9"/>
      <c r="BA92" s="9"/>
      <c r="BB92" s="9"/>
      <c r="BC92" s="9"/>
      <c r="BD92" s="9"/>
      <c r="BE92" s="9"/>
      <c r="BF92" s="9"/>
      <c r="BG92" s="9"/>
      <c r="BH92" s="9"/>
      <c r="BI92" s="9"/>
      <c r="BJ92" s="9"/>
      <c r="BK92" s="9"/>
      <c r="BL92" s="9"/>
      <c r="BM92" s="9"/>
      <c r="BN92" s="9"/>
      <c r="BO92" s="9"/>
      <c r="BP92" s="9"/>
      <c r="BQ92" s="9"/>
      <c r="BR92" s="9"/>
      <c r="BS92" s="9"/>
      <c r="BT92" s="9"/>
      <c r="BU92" s="9"/>
      <c r="BV92" s="9"/>
      <c r="BW92" s="9"/>
      <c r="BX92" s="9"/>
      <c r="BY92" s="9"/>
      <c r="BZ92" s="9"/>
      <c r="CA92" s="9"/>
      <c r="CB92" s="9"/>
      <c r="CC92" s="9"/>
      <c r="CD92" s="9"/>
      <c r="CE92" s="9"/>
      <c r="CF92" s="9"/>
      <c r="CG92" s="9"/>
      <c r="CH92" s="9"/>
      <c r="CI92" s="9"/>
      <c r="CJ92" s="9"/>
      <c r="CK92" s="9"/>
    </row>
    <row r="93" spans="1:89" s="8" customFormat="1" ht="12.6" customHeight="1" x14ac:dyDescent="0.2">
      <c r="A93" s="56"/>
      <c r="B93" s="1"/>
      <c r="C93" s="50" t="str">
        <f>VLOOKUP(128,Textbausteine_102[],Hilfsgrössen!$D$2,FALSE)</f>
        <v>Autres produits colis</v>
      </c>
      <c r="D93" s="1" t="str">
        <f>VLOOKUP(23,Textbausteine_102[],Hilfsgrössen!$D$2,FALSE)</f>
        <v>Millions d'unités</v>
      </c>
      <c r="E93" s="343">
        <v>19</v>
      </c>
      <c r="F93" s="94" t="s">
        <v>3167</v>
      </c>
      <c r="G93" s="267"/>
      <c r="H93" s="100" t="s">
        <v>29</v>
      </c>
      <c r="I93" s="100" t="s">
        <v>29</v>
      </c>
      <c r="J93" s="100" t="s">
        <v>29</v>
      </c>
      <c r="K93" s="100" t="s">
        <v>29</v>
      </c>
      <c r="L93" s="100" t="s">
        <v>29</v>
      </c>
      <c r="M93" s="100" t="s">
        <v>29</v>
      </c>
      <c r="N93" s="100" t="s">
        <v>29</v>
      </c>
      <c r="O93" s="100" t="s">
        <v>29</v>
      </c>
      <c r="P93" s="100" t="s">
        <v>29</v>
      </c>
      <c r="Q93" s="100" t="s">
        <v>29</v>
      </c>
      <c r="R93" s="100" t="s">
        <v>29</v>
      </c>
      <c r="S93" s="100" t="s">
        <v>29</v>
      </c>
      <c r="T93" s="268">
        <v>5.2</v>
      </c>
      <c r="U93" s="268">
        <v>2.5</v>
      </c>
      <c r="V93">
        <v>1.9</v>
      </c>
      <c r="W93">
        <v>1.5</v>
      </c>
      <c r="X93">
        <v>1.6</v>
      </c>
      <c r="Y93">
        <v>1.6</v>
      </c>
      <c r="Z93">
        <v>1.3</v>
      </c>
      <c r="AA93" s="349"/>
      <c r="AB93" s="9"/>
      <c r="AC93" s="9"/>
      <c r="AD93" s="9"/>
      <c r="AE93" s="9"/>
      <c r="AF93" s="9"/>
      <c r="AG93" s="9"/>
      <c r="AH93" s="9"/>
      <c r="AI93" s="9"/>
      <c r="AJ93" s="9"/>
      <c r="AK93" s="9"/>
      <c r="AL93" s="9"/>
      <c r="AM93" s="9"/>
      <c r="AN93" s="9"/>
      <c r="AO93" s="9"/>
      <c r="AP93" s="9"/>
      <c r="AQ93" s="9"/>
      <c r="AR93" s="9"/>
      <c r="AS93" s="9"/>
      <c r="AT93" s="9"/>
      <c r="AU93" s="9"/>
      <c r="AV93" s="9"/>
      <c r="AW93" s="9"/>
      <c r="AX93" s="9"/>
      <c r="AY93" s="9"/>
      <c r="AZ93" s="9"/>
      <c r="BA93" s="9"/>
      <c r="BB93" s="9"/>
      <c r="BC93" s="9"/>
      <c r="BD93" s="9"/>
      <c r="BE93" s="9"/>
      <c r="BF93" s="9"/>
      <c r="BG93" s="9"/>
      <c r="BH93" s="9"/>
      <c r="BI93" s="9"/>
      <c r="BJ93" s="9"/>
      <c r="BK93" s="9"/>
      <c r="BL93" s="9"/>
      <c r="BM93" s="9"/>
      <c r="BN93" s="9"/>
      <c r="BO93" s="9"/>
      <c r="BP93" s="9"/>
      <c r="BQ93" s="9"/>
      <c r="BR93" s="9"/>
      <c r="BS93" s="9"/>
      <c r="BT93" s="9"/>
      <c r="BU93" s="9"/>
      <c r="BV93" s="9"/>
      <c r="BW93" s="9"/>
      <c r="BX93" s="9"/>
      <c r="BY93" s="9"/>
      <c r="BZ93" s="9"/>
      <c r="CA93" s="9"/>
      <c r="CB93" s="9"/>
      <c r="CC93" s="9"/>
      <c r="CD93" s="9"/>
      <c r="CE93" s="9"/>
      <c r="CF93" s="9"/>
      <c r="CG93" s="9"/>
      <c r="CH93" s="9"/>
      <c r="CI93" s="9"/>
      <c r="CJ93" s="9"/>
      <c r="CK93" s="9"/>
    </row>
    <row r="94" spans="1:89" s="8" customFormat="1" ht="12.6" customHeight="1" x14ac:dyDescent="0.2">
      <c r="A94" s="56"/>
      <c r="B94" s="1"/>
      <c r="C94" s="50" t="str">
        <f>VLOOKUP(130,Textbausteine_102[],Hilfsgrössen!$D$2,FALSE)</f>
        <v>Envois coursier et express</v>
      </c>
      <c r="D94" s="1" t="str">
        <f>VLOOKUP(23,Textbausteine_102[],Hilfsgrössen!$D$2,FALSE)</f>
        <v>Millions d'unités</v>
      </c>
      <c r="E94" s="343" t="s">
        <v>2918</v>
      </c>
      <c r="F94" s="94" t="s">
        <v>3167</v>
      </c>
      <c r="G94" s="267"/>
      <c r="H94" s="100" t="s">
        <v>29</v>
      </c>
      <c r="I94" s="100" t="s">
        <v>29</v>
      </c>
      <c r="J94" s="100" t="s">
        <v>29</v>
      </c>
      <c r="K94" s="100" t="s">
        <v>29</v>
      </c>
      <c r="L94" s="100" t="s">
        <v>29</v>
      </c>
      <c r="M94" s="100" t="s">
        <v>29</v>
      </c>
      <c r="N94" s="100" t="s">
        <v>29</v>
      </c>
      <c r="O94" s="100" t="s">
        <v>29</v>
      </c>
      <c r="P94" s="100" t="s">
        <v>29</v>
      </c>
      <c r="Q94" s="100" t="s">
        <v>29</v>
      </c>
      <c r="R94" s="100" t="s">
        <v>29</v>
      </c>
      <c r="S94" s="100" t="s">
        <v>29</v>
      </c>
      <c r="T94" s="100" t="s">
        <v>29</v>
      </c>
      <c r="U94" s="268">
        <v>5.8</v>
      </c>
      <c r="V94" s="268">
        <v>6.2</v>
      </c>
      <c r="W94" s="268">
        <v>6.2</v>
      </c>
      <c r="X94" s="268">
        <v>7.4</v>
      </c>
      <c r="Y94" s="280">
        <v>10.1</v>
      </c>
      <c r="Z94" s="280">
        <v>9.6</v>
      </c>
      <c r="AA94" s="349"/>
      <c r="AB94" s="9"/>
      <c r="AC94" s="9"/>
      <c r="AD94" s="9"/>
      <c r="AE94" s="9"/>
      <c r="AF94" s="9"/>
      <c r="AG94" s="9"/>
      <c r="AH94" s="9"/>
      <c r="AI94" s="9"/>
      <c r="AJ94" s="9"/>
      <c r="AK94" s="9"/>
      <c r="AL94" s="9"/>
      <c r="AM94" s="9"/>
      <c r="AN94" s="9"/>
      <c r="AO94" s="9"/>
      <c r="AP94" s="9"/>
      <c r="AQ94" s="9"/>
      <c r="AR94" s="9"/>
      <c r="AS94" s="9"/>
      <c r="AT94" s="9"/>
      <c r="AU94" s="9"/>
      <c r="AV94" s="9"/>
      <c r="AW94" s="9"/>
      <c r="AX94" s="9"/>
      <c r="AY94" s="9"/>
      <c r="AZ94" s="9"/>
      <c r="BA94" s="9"/>
      <c r="BB94" s="9"/>
      <c r="BC94" s="9"/>
      <c r="BD94" s="9"/>
      <c r="BE94" s="9"/>
      <c r="BF94" s="9"/>
      <c r="BG94" s="9"/>
      <c r="BH94" s="9"/>
      <c r="BI94" s="9"/>
      <c r="BJ94" s="9"/>
      <c r="BK94" s="9"/>
      <c r="BL94" s="9"/>
      <c r="BM94" s="9"/>
      <c r="BN94" s="9"/>
      <c r="BO94" s="9"/>
      <c r="BP94" s="9"/>
      <c r="BQ94" s="9"/>
      <c r="BR94" s="9"/>
      <c r="BS94" s="9"/>
      <c r="BT94" s="9"/>
      <c r="BU94" s="9"/>
      <c r="BV94" s="9"/>
      <c r="BW94" s="9"/>
      <c r="BX94" s="9"/>
      <c r="BY94" s="9"/>
      <c r="BZ94" s="9"/>
      <c r="CA94" s="9"/>
      <c r="CB94" s="9"/>
      <c r="CC94" s="9"/>
      <c r="CD94" s="9"/>
      <c r="CE94" s="9"/>
      <c r="CF94" s="9"/>
      <c r="CG94" s="9"/>
      <c r="CH94" s="9"/>
      <c r="CI94" s="9"/>
      <c r="CJ94" s="9"/>
      <c r="CK94" s="9"/>
    </row>
    <row r="95" spans="1:89" s="8" customFormat="1" ht="12.6" customHeight="1" x14ac:dyDescent="0.2">
      <c r="A95" s="56"/>
      <c r="B95" s="1"/>
      <c r="C95" s="50" t="str">
        <f>VLOOKUP(129,Textbausteine_102[],Hilfsgrössen!$D$2,FALSE)</f>
        <v>Clientèle privée Swiss Express</v>
      </c>
      <c r="D95" s="1" t="str">
        <f>VLOOKUP(23,Textbausteine_102[],Hilfsgrössen!$D$2,FALSE)</f>
        <v>Millions d'unités</v>
      </c>
      <c r="E95" s="343">
        <v>19</v>
      </c>
      <c r="F95" s="94" t="s">
        <v>3167</v>
      </c>
      <c r="G95" s="267"/>
      <c r="H95" s="100" t="s">
        <v>29</v>
      </c>
      <c r="I95" s="100" t="s">
        <v>29</v>
      </c>
      <c r="J95" s="100" t="s">
        <v>29</v>
      </c>
      <c r="K95" s="100" t="s">
        <v>29</v>
      </c>
      <c r="L95" s="100" t="s">
        <v>29</v>
      </c>
      <c r="M95" s="100" t="s">
        <v>29</v>
      </c>
      <c r="N95" s="100" t="s">
        <v>29</v>
      </c>
      <c r="O95" s="100" t="s">
        <v>29</v>
      </c>
      <c r="P95" s="100" t="s">
        <v>29</v>
      </c>
      <c r="Q95" s="100" t="s">
        <v>29</v>
      </c>
      <c r="R95" s="100" t="s">
        <v>29</v>
      </c>
      <c r="S95" s="100" t="s">
        <v>29</v>
      </c>
      <c r="T95" s="268">
        <v>0.3</v>
      </c>
      <c r="U95" s="100" t="s">
        <v>29</v>
      </c>
      <c r="V95" s="100" t="s">
        <v>29</v>
      </c>
      <c r="W95" s="100" t="s">
        <v>29</v>
      </c>
      <c r="X95" s="100" t="s">
        <v>29</v>
      </c>
      <c r="Y95" s="302" t="s">
        <v>29</v>
      </c>
      <c r="Z95" s="302" t="s">
        <v>29</v>
      </c>
      <c r="AA95" s="349"/>
      <c r="AB95" s="9"/>
      <c r="AC95" s="9"/>
      <c r="AD95" s="9"/>
      <c r="AE95" s="9"/>
      <c r="AF95" s="9"/>
      <c r="AG95" s="9"/>
      <c r="AH95" s="9"/>
      <c r="AI95" s="9"/>
      <c r="AJ95" s="9"/>
      <c r="AK95" s="9"/>
      <c r="AL95" s="9"/>
      <c r="AM95" s="9"/>
      <c r="AN95" s="9"/>
      <c r="AO95" s="9"/>
      <c r="AP95" s="9"/>
      <c r="AQ95" s="9"/>
      <c r="AR95" s="9"/>
      <c r="AS95" s="9"/>
      <c r="AT95" s="9"/>
      <c r="AU95" s="9"/>
      <c r="AV95" s="9"/>
      <c r="AW95" s="9"/>
      <c r="AX95" s="9"/>
      <c r="AY95" s="9"/>
      <c r="AZ95" s="9"/>
      <c r="BA95" s="9"/>
      <c r="BB95" s="9"/>
      <c r="BC95" s="9"/>
      <c r="BD95" s="9"/>
      <c r="BE95" s="9"/>
      <c r="BF95" s="9"/>
      <c r="BG95" s="9"/>
      <c r="BH95" s="9"/>
      <c r="BI95" s="9"/>
      <c r="BJ95" s="9"/>
      <c r="BK95" s="9"/>
      <c r="BL95" s="9"/>
      <c r="BM95" s="9"/>
      <c r="BN95" s="9"/>
      <c r="BO95" s="9"/>
      <c r="BP95" s="9"/>
      <c r="BQ95" s="9"/>
      <c r="BR95" s="9"/>
      <c r="BS95" s="9"/>
      <c r="BT95" s="9"/>
      <c r="BU95" s="9"/>
      <c r="BV95" s="9"/>
      <c r="BW95" s="9"/>
      <c r="BX95" s="9"/>
      <c r="BY95" s="9"/>
      <c r="BZ95" s="9"/>
      <c r="CA95" s="9"/>
      <c r="CB95" s="9"/>
      <c r="CC95" s="9"/>
      <c r="CD95" s="9"/>
      <c r="CE95" s="9"/>
      <c r="CF95" s="9"/>
      <c r="CG95" s="9"/>
      <c r="CH95" s="9"/>
      <c r="CI95" s="9"/>
      <c r="CJ95" s="9"/>
      <c r="CK95" s="9"/>
    </row>
    <row r="96" spans="1:89" s="8" customFormat="1" ht="12.6" customHeight="1" x14ac:dyDescent="0.2">
      <c r="A96" s="56"/>
      <c r="B96" s="1"/>
      <c r="C96" s="50" t="str">
        <f>VLOOKUP(85,Textbausteine_102[],Hilfsgrössen!$D$2,FALSE)</f>
        <v>Swiss-Express clients commerciaux</v>
      </c>
      <c r="D96" s="1" t="str">
        <f>VLOOKUP(23,Textbausteine_102[],Hilfsgrössen!$D$2,FALSE)</f>
        <v>Millions d'unités</v>
      </c>
      <c r="E96" s="343" t="s">
        <v>2919</v>
      </c>
      <c r="F96" s="94" t="s">
        <v>3167</v>
      </c>
      <c r="G96" s="267"/>
      <c r="H96" s="136" t="s">
        <v>29</v>
      </c>
      <c r="I96" s="182">
        <v>3.2</v>
      </c>
      <c r="J96" s="182">
        <v>3.2</v>
      </c>
      <c r="K96" s="182">
        <v>3</v>
      </c>
      <c r="L96" s="182">
        <v>3</v>
      </c>
      <c r="M96" s="182">
        <v>2.9</v>
      </c>
      <c r="N96" s="183">
        <v>2.4</v>
      </c>
      <c r="O96" s="183">
        <v>2.1</v>
      </c>
      <c r="P96" s="183">
        <v>2.1</v>
      </c>
      <c r="Q96" s="183">
        <v>2</v>
      </c>
      <c r="R96" s="183">
        <v>1.8</v>
      </c>
      <c r="S96" s="183">
        <v>1.8</v>
      </c>
      <c r="T96" s="268">
        <v>1.7</v>
      </c>
      <c r="U96" s="100" t="s">
        <v>29</v>
      </c>
      <c r="V96" s="100" t="s">
        <v>29</v>
      </c>
      <c r="W96" s="100" t="s">
        <v>29</v>
      </c>
      <c r="X96" s="100" t="s">
        <v>29</v>
      </c>
      <c r="Y96" s="302" t="s">
        <v>29</v>
      </c>
      <c r="Z96" s="302" t="s">
        <v>29</v>
      </c>
      <c r="AA96" s="349"/>
      <c r="AB96" s="9"/>
      <c r="AC96" s="9"/>
      <c r="AD96" s="9"/>
      <c r="AE96" s="9"/>
      <c r="AF96" s="9"/>
      <c r="AG96" s="9"/>
      <c r="AH96" s="9"/>
      <c r="AI96" s="9"/>
      <c r="AJ96" s="9"/>
      <c r="AK96" s="9"/>
      <c r="AL96" s="9"/>
      <c r="AM96" s="9"/>
      <c r="AN96" s="9"/>
      <c r="AO96" s="9"/>
      <c r="AP96" s="9"/>
      <c r="AQ96" s="9"/>
      <c r="AR96" s="9"/>
      <c r="AS96" s="9"/>
      <c r="AT96" s="9"/>
      <c r="AU96" s="9"/>
      <c r="AV96" s="9"/>
      <c r="AW96" s="9"/>
      <c r="AX96" s="9"/>
      <c r="AY96" s="9"/>
      <c r="AZ96" s="9"/>
      <c r="BA96" s="9"/>
      <c r="BB96" s="9"/>
      <c r="BC96" s="9"/>
      <c r="BD96" s="9"/>
      <c r="BE96" s="9"/>
      <c r="BF96" s="9"/>
      <c r="BG96" s="9"/>
      <c r="BH96" s="9"/>
      <c r="BI96" s="9"/>
      <c r="BJ96" s="9"/>
      <c r="BK96" s="9"/>
      <c r="BL96" s="9"/>
      <c r="BM96" s="9"/>
      <c r="BN96" s="9"/>
      <c r="BO96" s="9"/>
      <c r="BP96" s="9"/>
      <c r="BQ96" s="9"/>
      <c r="BR96" s="9"/>
      <c r="BS96" s="9"/>
      <c r="BT96" s="9"/>
      <c r="BU96" s="9"/>
      <c r="BV96" s="9"/>
      <c r="BW96" s="9"/>
      <c r="BX96" s="9"/>
      <c r="BY96" s="9"/>
      <c r="BZ96" s="9"/>
      <c r="CA96" s="9"/>
      <c r="CB96" s="9"/>
      <c r="CC96" s="9"/>
      <c r="CD96" s="9"/>
      <c r="CE96" s="9"/>
      <c r="CF96" s="9"/>
      <c r="CG96" s="9"/>
      <c r="CH96" s="9"/>
      <c r="CI96" s="9"/>
      <c r="CJ96" s="9"/>
      <c r="CK96" s="9"/>
    </row>
    <row r="97" spans="1:89" s="8" customFormat="1" ht="12.6" customHeight="1" x14ac:dyDescent="0.2">
      <c r="A97" s="56"/>
      <c r="B97" s="1"/>
      <c r="C97" s="48" t="str">
        <f>VLOOKUP(86,Textbausteine_102[],Hilfsgrössen!$D$2,FALSE)</f>
        <v>Courrier rapide, exportation (via TNT Swiss Post SA)</v>
      </c>
      <c r="D97" s="1" t="str">
        <f>VLOOKUP(23,Textbausteine_102[],Hilfsgrössen!$D$2,FALSE)</f>
        <v>Millions d'unités</v>
      </c>
      <c r="E97" s="343" t="s">
        <v>2920</v>
      </c>
      <c r="F97" s="94" t="s">
        <v>3167</v>
      </c>
      <c r="G97" s="34"/>
      <c r="H97" s="136" t="s">
        <v>29</v>
      </c>
      <c r="I97" s="182">
        <v>1.4</v>
      </c>
      <c r="J97" s="182">
        <v>1.6</v>
      </c>
      <c r="K97" s="182">
        <v>1.9</v>
      </c>
      <c r="L97" s="182">
        <v>1.5</v>
      </c>
      <c r="M97" s="182">
        <v>1.5</v>
      </c>
      <c r="N97" s="183">
        <v>1.5</v>
      </c>
      <c r="O97" s="183">
        <v>1.5</v>
      </c>
      <c r="P97" s="183">
        <v>1.4</v>
      </c>
      <c r="Q97" s="183">
        <v>1.4</v>
      </c>
      <c r="R97" s="183">
        <v>1.5</v>
      </c>
      <c r="S97" s="183">
        <v>1.6</v>
      </c>
      <c r="T97" s="268">
        <v>1.6</v>
      </c>
      <c r="U97" s="268">
        <v>1.5</v>
      </c>
      <c r="V97">
        <v>1.6</v>
      </c>
      <c r="W97">
        <v>2.6</v>
      </c>
      <c r="X97" s="280">
        <v>2.3079999999999998</v>
      </c>
      <c r="Y97" s="280">
        <v>1.8</v>
      </c>
      <c r="Z97" s="280">
        <v>2.2000000000000002</v>
      </c>
      <c r="AA97" s="349"/>
      <c r="AB97" s="9"/>
      <c r="AC97" s="9"/>
      <c r="AD97" s="9"/>
      <c r="AE97" s="9"/>
      <c r="AF97" s="9"/>
      <c r="AG97" s="9"/>
      <c r="AH97" s="9"/>
      <c r="AI97" s="9"/>
      <c r="AJ97" s="9"/>
      <c r="AK97" s="9"/>
      <c r="AL97" s="9"/>
      <c r="AM97" s="9"/>
      <c r="AN97" s="9"/>
      <c r="AO97" s="9"/>
      <c r="AP97" s="9"/>
      <c r="AQ97" s="9"/>
      <c r="AR97" s="9"/>
      <c r="AS97" s="9"/>
      <c r="AT97" s="9"/>
      <c r="AU97" s="9"/>
      <c r="AV97" s="9"/>
      <c r="AW97" s="9"/>
      <c r="AX97" s="9"/>
      <c r="AY97" s="9"/>
      <c r="AZ97" s="9"/>
      <c r="BA97" s="9"/>
      <c r="BB97" s="9"/>
      <c r="BC97" s="9"/>
      <c r="BD97" s="9"/>
      <c r="BE97" s="9"/>
      <c r="BF97" s="9"/>
      <c r="BG97" s="9"/>
      <c r="BH97" s="9"/>
      <c r="BI97" s="9"/>
      <c r="BJ97" s="9"/>
      <c r="BK97" s="9"/>
      <c r="BL97" s="9"/>
      <c r="BM97" s="9"/>
      <c r="BN97" s="9"/>
      <c r="BO97" s="9"/>
      <c r="BP97" s="9"/>
      <c r="BQ97" s="9"/>
      <c r="BR97" s="9"/>
      <c r="BS97" s="9"/>
      <c r="BT97" s="9"/>
      <c r="BU97" s="9"/>
      <c r="BV97" s="9"/>
      <c r="BW97" s="9"/>
      <c r="BX97" s="9"/>
      <c r="BY97" s="9"/>
      <c r="BZ97" s="9"/>
      <c r="CA97" s="9"/>
      <c r="CB97" s="9"/>
      <c r="CC97" s="9"/>
      <c r="CD97" s="9"/>
      <c r="CE97" s="9"/>
      <c r="CF97" s="9"/>
      <c r="CG97" s="9"/>
      <c r="CH97" s="9"/>
      <c r="CI97" s="9"/>
      <c r="CJ97" s="9"/>
      <c r="CK97" s="9"/>
    </row>
    <row r="98" spans="1:89" s="8" customFormat="1" ht="12.6" customHeight="1" x14ac:dyDescent="0.2">
      <c r="A98" s="56"/>
      <c r="B98" s="1"/>
      <c r="C98" s="48"/>
      <c r="D98" s="1"/>
      <c r="E98" s="146"/>
      <c r="F98" s="9"/>
      <c r="G98" s="34"/>
      <c r="H98" s="81"/>
      <c r="I98" s="81"/>
      <c r="J98" s="81"/>
      <c r="K98" s="81"/>
      <c r="L98" s="81"/>
      <c r="M98" s="81"/>
      <c r="N98" s="91"/>
      <c r="O98" s="91"/>
      <c r="P98" s="91"/>
      <c r="Q98" s="91"/>
      <c r="R98" s="91"/>
      <c r="S98" s="91"/>
      <c r="T98" s="9"/>
      <c r="U98" s="9"/>
      <c r="V98" s="9"/>
      <c r="W98" s="9"/>
      <c r="X98" s="269"/>
      <c r="Y98" s="304"/>
      <c r="Z98" s="304"/>
      <c r="AA98" s="349"/>
      <c r="AB98" s="9"/>
      <c r="AC98" s="9"/>
      <c r="AD98" s="9"/>
      <c r="AE98" s="9"/>
      <c r="AF98" s="9"/>
      <c r="AG98" s="9"/>
      <c r="AH98" s="9"/>
      <c r="AI98" s="9"/>
      <c r="AJ98" s="9"/>
      <c r="AK98" s="9"/>
      <c r="AL98" s="9"/>
      <c r="AM98" s="9"/>
      <c r="AN98" s="9"/>
      <c r="AO98" s="9"/>
      <c r="AP98" s="9"/>
      <c r="AQ98" s="9"/>
      <c r="AR98" s="9"/>
      <c r="AS98" s="9"/>
      <c r="AT98" s="9"/>
      <c r="AU98" s="9"/>
      <c r="AV98" s="9"/>
      <c r="AW98" s="9"/>
      <c r="AX98" s="9"/>
      <c r="AY98" s="9"/>
      <c r="AZ98" s="9"/>
      <c r="BA98" s="9"/>
      <c r="BB98" s="9"/>
      <c r="BC98" s="9"/>
      <c r="BD98" s="9"/>
      <c r="BE98" s="9"/>
      <c r="BF98" s="9"/>
      <c r="BG98" s="9"/>
      <c r="BH98" s="9"/>
      <c r="BI98" s="9"/>
      <c r="BJ98" s="9"/>
      <c r="BK98" s="9"/>
      <c r="BL98" s="9"/>
      <c r="BM98" s="9"/>
      <c r="BN98" s="9"/>
      <c r="BO98" s="9"/>
      <c r="BP98" s="9"/>
      <c r="BQ98" s="9"/>
      <c r="BR98" s="9"/>
      <c r="BS98" s="9"/>
      <c r="BT98" s="9"/>
      <c r="BU98" s="9"/>
      <c r="BV98" s="9"/>
      <c r="BW98" s="9"/>
      <c r="BX98" s="9"/>
      <c r="BY98" s="9"/>
      <c r="BZ98" s="9"/>
      <c r="CA98" s="9"/>
      <c r="CB98" s="9"/>
      <c r="CC98" s="9"/>
      <c r="CD98" s="9"/>
      <c r="CE98" s="9"/>
      <c r="CF98" s="9"/>
      <c r="CG98" s="9"/>
      <c r="CH98" s="9"/>
      <c r="CI98" s="9"/>
      <c r="CJ98" s="9"/>
      <c r="CK98" s="9"/>
    </row>
    <row r="99" spans="1:89" s="8" customFormat="1" ht="12.6" customHeight="1" x14ac:dyDescent="0.2">
      <c r="A99" s="56"/>
      <c r="B99" s="2" t="str">
        <f>VLOOKUP(48,Textbausteine_Menu[],Hilfsgrössen!$D$2,FALSE)</f>
        <v>Services de communication</v>
      </c>
      <c r="C99" s="48"/>
      <c r="D99" s="1"/>
      <c r="E99" s="9">
        <v>16</v>
      </c>
      <c r="F99" s="9"/>
      <c r="G99" s="34"/>
      <c r="H99" s="81"/>
      <c r="I99" s="81"/>
      <c r="J99" s="81"/>
      <c r="K99" s="81"/>
      <c r="L99" s="81"/>
      <c r="M99" s="81"/>
      <c r="N99" s="91"/>
      <c r="O99" s="91"/>
      <c r="P99" s="91"/>
      <c r="Q99" s="91"/>
      <c r="R99" s="91"/>
      <c r="S99" s="91"/>
      <c r="T99" s="9"/>
      <c r="U99" s="9"/>
      <c r="V99" s="9"/>
      <c r="W99" s="9"/>
      <c r="X99" s="269"/>
      <c r="Y99" s="9"/>
      <c r="Z99" s="9"/>
      <c r="AA99" s="349"/>
      <c r="AB99" s="9"/>
      <c r="AC99" s="9"/>
      <c r="AD99" s="9"/>
      <c r="AE99" s="9"/>
      <c r="AF99" s="9"/>
      <c r="AG99" s="9"/>
      <c r="AH99" s="9"/>
      <c r="AI99" s="9"/>
      <c r="AJ99" s="9"/>
      <c r="AK99" s="9"/>
      <c r="AL99" s="9"/>
      <c r="AM99" s="9"/>
      <c r="AN99" s="9"/>
      <c r="AO99" s="9"/>
      <c r="AP99" s="9"/>
      <c r="AQ99" s="9"/>
      <c r="AR99" s="9"/>
      <c r="AS99" s="9"/>
      <c r="AT99" s="9"/>
      <c r="AU99" s="9"/>
      <c r="AV99" s="9"/>
      <c r="AW99" s="9"/>
      <c r="AX99" s="9"/>
      <c r="AY99" s="9"/>
      <c r="AZ99" s="9"/>
      <c r="BA99" s="9"/>
      <c r="BB99" s="9"/>
      <c r="BC99" s="9"/>
      <c r="BD99" s="9"/>
      <c r="BE99" s="9"/>
      <c r="BF99" s="9"/>
      <c r="BG99" s="9"/>
      <c r="BH99" s="9"/>
      <c r="BI99" s="9"/>
      <c r="BJ99" s="9"/>
      <c r="BK99" s="9"/>
      <c r="BL99" s="9"/>
      <c r="BM99" s="9"/>
      <c r="BN99" s="9"/>
      <c r="BO99" s="9"/>
      <c r="BP99" s="9"/>
      <c r="BQ99" s="9"/>
      <c r="BR99" s="9"/>
      <c r="BS99" s="9"/>
      <c r="BT99" s="9"/>
      <c r="BU99" s="9"/>
      <c r="BV99" s="9"/>
      <c r="BW99" s="9"/>
      <c r="BX99" s="9"/>
      <c r="BY99" s="9"/>
      <c r="BZ99" s="9"/>
      <c r="CA99" s="9"/>
      <c r="CB99" s="9"/>
      <c r="CC99" s="9"/>
      <c r="CD99" s="9"/>
      <c r="CE99" s="9"/>
      <c r="CF99" s="9"/>
      <c r="CG99" s="9"/>
      <c r="CH99" s="9"/>
      <c r="CI99" s="9"/>
      <c r="CJ99" s="9"/>
      <c r="CK99" s="9"/>
    </row>
    <row r="100" spans="1:89" s="8" customFormat="1" ht="12.6" customHeight="1" x14ac:dyDescent="0.2">
      <c r="A100" s="56"/>
      <c r="B100" s="2"/>
      <c r="C100" s="48" t="str">
        <f>VLOOKUP(173,Textbausteine_102[],Hilfsgrössen!$D$2,FALSE)</f>
        <v>Utilisateurs E-Post</v>
      </c>
      <c r="D100" s="1" t="str">
        <f>VLOOKUP(46,Textbausteine_102[],Hilfsgrössen!$D$2,FALSE)</f>
        <v>Nombre d’utilisateurs</v>
      </c>
      <c r="E100" s="146"/>
      <c r="F100" s="94" t="s">
        <v>3167</v>
      </c>
      <c r="G100" s="34"/>
      <c r="H100" s="100" t="s">
        <v>29</v>
      </c>
      <c r="I100" s="100" t="s">
        <v>29</v>
      </c>
      <c r="J100" s="100" t="s">
        <v>29</v>
      </c>
      <c r="K100" s="100" t="s">
        <v>29</v>
      </c>
      <c r="L100" s="100" t="s">
        <v>29</v>
      </c>
      <c r="M100" s="100" t="s">
        <v>29</v>
      </c>
      <c r="N100" s="100" t="s">
        <v>29</v>
      </c>
      <c r="O100" s="100" t="s">
        <v>29</v>
      </c>
      <c r="P100" s="100" t="s">
        <v>29</v>
      </c>
      <c r="Q100" s="100" t="s">
        <v>29</v>
      </c>
      <c r="R100" s="100" t="s">
        <v>29</v>
      </c>
      <c r="S100" s="100" t="s">
        <v>29</v>
      </c>
      <c r="T100" s="100" t="s">
        <v>29</v>
      </c>
      <c r="U100" s="100" t="s">
        <v>29</v>
      </c>
      <c r="V100" s="100" t="s">
        <v>29</v>
      </c>
      <c r="W100" s="100" t="s">
        <v>29</v>
      </c>
      <c r="X100" s="100" t="s">
        <v>29</v>
      </c>
      <c r="Y100" s="9">
        <v>38888</v>
      </c>
      <c r="Z100" s="9">
        <v>60202</v>
      </c>
      <c r="AA100" s="349"/>
      <c r="AB100" s="9"/>
      <c r="AC100" s="9"/>
      <c r="AD100" s="9"/>
      <c r="AE100" s="9"/>
      <c r="AF100" s="9"/>
      <c r="AG100" s="9"/>
      <c r="AH100" s="9"/>
      <c r="AI100" s="9"/>
      <c r="AJ100" s="9"/>
      <c r="AK100" s="9"/>
      <c r="AL100" s="9"/>
      <c r="AM100" s="9"/>
      <c r="AN100" s="9"/>
      <c r="AO100" s="9"/>
      <c r="AP100" s="9"/>
      <c r="AQ100" s="9"/>
      <c r="AR100" s="9"/>
      <c r="AS100" s="9"/>
      <c r="AT100" s="9"/>
      <c r="AU100" s="9"/>
      <c r="AV100" s="9"/>
      <c r="AW100" s="9"/>
      <c r="AX100" s="9"/>
      <c r="AY100" s="9"/>
      <c r="AZ100" s="9"/>
      <c r="BA100" s="9"/>
      <c r="BB100" s="9"/>
      <c r="BC100" s="9"/>
      <c r="BD100" s="9"/>
      <c r="BE100" s="9"/>
      <c r="BF100" s="9"/>
      <c r="BG100" s="9"/>
      <c r="BH100" s="9"/>
      <c r="BI100" s="9"/>
      <c r="BJ100" s="9"/>
      <c r="BK100" s="9"/>
      <c r="BL100" s="9"/>
      <c r="BM100" s="9"/>
      <c r="BN100" s="9"/>
      <c r="BO100" s="9"/>
      <c r="BP100" s="9"/>
      <c r="BQ100" s="9"/>
      <c r="BR100" s="9"/>
      <c r="BS100" s="9"/>
      <c r="BT100" s="9"/>
      <c r="BU100" s="9"/>
      <c r="BV100" s="9"/>
      <c r="BW100" s="9"/>
      <c r="BX100" s="9"/>
      <c r="BY100" s="9"/>
      <c r="BZ100" s="9"/>
      <c r="CA100" s="9"/>
      <c r="CB100" s="9"/>
      <c r="CC100" s="9"/>
      <c r="CD100" s="9"/>
      <c r="CE100" s="9"/>
      <c r="CF100" s="9"/>
      <c r="CG100" s="9"/>
      <c r="CH100" s="9"/>
      <c r="CI100" s="9"/>
      <c r="CJ100" s="9"/>
      <c r="CK100" s="9"/>
    </row>
    <row r="101" spans="1:89" s="8" customFormat="1" ht="12.6" customHeight="1" x14ac:dyDescent="0.2">
      <c r="A101" s="56"/>
      <c r="B101" s="2"/>
      <c r="C101" s="48" t="str">
        <f>VLOOKUP(174,Textbausteine_102[],Hilfsgrössen!$D$2,FALSE)</f>
        <v>Utilisateurs actifs KLARA Business</v>
      </c>
      <c r="D101" s="1" t="str">
        <f>VLOOKUP(46,Textbausteine_102[],Hilfsgrössen!$D$2,FALSE)</f>
        <v>Nombre d’utilisateurs</v>
      </c>
      <c r="E101" s="146" t="s">
        <v>2921</v>
      </c>
      <c r="F101" s="94" t="s">
        <v>3167</v>
      </c>
      <c r="G101" s="34"/>
      <c r="H101" s="100" t="s">
        <v>29</v>
      </c>
      <c r="I101" s="100" t="s">
        <v>29</v>
      </c>
      <c r="J101" s="100" t="s">
        <v>29</v>
      </c>
      <c r="K101" s="100" t="s">
        <v>29</v>
      </c>
      <c r="L101" s="100" t="s">
        <v>29</v>
      </c>
      <c r="M101" s="100" t="s">
        <v>29</v>
      </c>
      <c r="N101" s="100" t="s">
        <v>29</v>
      </c>
      <c r="O101" s="100" t="s">
        <v>29</v>
      </c>
      <c r="P101" s="100" t="s">
        <v>29</v>
      </c>
      <c r="Q101" s="100" t="s">
        <v>29</v>
      </c>
      <c r="R101" s="100" t="s">
        <v>29</v>
      </c>
      <c r="S101" s="100" t="s">
        <v>29</v>
      </c>
      <c r="T101" s="100" t="s">
        <v>29</v>
      </c>
      <c r="U101" s="100" t="s">
        <v>29</v>
      </c>
      <c r="V101" s="100" t="s">
        <v>29</v>
      </c>
      <c r="W101" s="100" t="s">
        <v>29</v>
      </c>
      <c r="X101" s="100" t="s">
        <v>29</v>
      </c>
      <c r="Y101" s="9">
        <v>16778</v>
      </c>
      <c r="Z101" s="9">
        <v>24544</v>
      </c>
      <c r="AA101" s="349"/>
      <c r="AB101" s="9"/>
      <c r="AC101" s="9"/>
      <c r="AD101" s="9"/>
      <c r="AE101" s="9"/>
      <c r="AF101" s="9"/>
      <c r="AG101" s="9"/>
      <c r="AH101" s="9"/>
      <c r="AI101" s="9"/>
      <c r="AJ101" s="9"/>
      <c r="AK101" s="9"/>
      <c r="AL101" s="9"/>
      <c r="AM101" s="9"/>
      <c r="AN101" s="9"/>
      <c r="AO101" s="9"/>
      <c r="AP101" s="9"/>
      <c r="AQ101" s="9"/>
      <c r="AR101" s="9"/>
      <c r="AS101" s="9"/>
      <c r="AT101" s="9"/>
      <c r="AU101" s="9"/>
      <c r="AV101" s="9"/>
      <c r="AW101" s="9"/>
      <c r="AX101" s="9"/>
      <c r="AY101" s="9"/>
      <c r="AZ101" s="9"/>
      <c r="BA101" s="9"/>
      <c r="BB101" s="9"/>
      <c r="BC101" s="9"/>
      <c r="BD101" s="9"/>
      <c r="BE101" s="9"/>
      <c r="BF101" s="9"/>
      <c r="BG101" s="9"/>
      <c r="BH101" s="9"/>
      <c r="BI101" s="9"/>
      <c r="BJ101" s="9"/>
      <c r="BK101" s="9"/>
      <c r="BL101" s="9"/>
      <c r="BM101" s="9"/>
      <c r="BN101" s="9"/>
      <c r="BO101" s="9"/>
      <c r="BP101" s="9"/>
      <c r="BQ101" s="9"/>
      <c r="BR101" s="9"/>
      <c r="BS101" s="9"/>
      <c r="BT101" s="9"/>
      <c r="BU101" s="9"/>
      <c r="BV101" s="9"/>
      <c r="BW101" s="9"/>
      <c r="BX101" s="9"/>
      <c r="BY101" s="9"/>
      <c r="BZ101" s="9"/>
      <c r="CA101" s="9"/>
      <c r="CB101" s="9"/>
      <c r="CC101" s="9"/>
      <c r="CD101" s="9"/>
      <c r="CE101" s="9"/>
      <c r="CF101" s="9"/>
      <c r="CG101" s="9"/>
      <c r="CH101" s="9"/>
      <c r="CI101" s="9"/>
      <c r="CJ101" s="9"/>
      <c r="CK101" s="9"/>
    </row>
    <row r="102" spans="1:89" s="8" customFormat="1" ht="12.6" customHeight="1" x14ac:dyDescent="0.2">
      <c r="A102" s="56"/>
      <c r="B102" s="2"/>
      <c r="C102" s="48" t="str">
        <f>VLOOKUP(175,Textbausteine_102[],Hilfsgrössen!$D$2,FALSE)</f>
        <v>Nombre de communautés de référence actives dans les DEP</v>
      </c>
      <c r="D102" s="1" t="str">
        <f>VLOOKUP(47,Textbausteine_102[],Hilfsgrössen!$D$2,FALSE)</f>
        <v xml:space="preserve">Nombre de communautés de référence </v>
      </c>
      <c r="E102" s="146"/>
      <c r="F102" s="94" t="s">
        <v>3167</v>
      </c>
      <c r="G102" s="34"/>
      <c r="H102" s="100" t="s">
        <v>29</v>
      </c>
      <c r="I102" s="100" t="s">
        <v>29</v>
      </c>
      <c r="J102" s="100" t="s">
        <v>29</v>
      </c>
      <c r="K102" s="100" t="s">
        <v>29</v>
      </c>
      <c r="L102" s="100" t="s">
        <v>29</v>
      </c>
      <c r="M102" s="100" t="s">
        <v>29</v>
      </c>
      <c r="N102" s="100" t="s">
        <v>29</v>
      </c>
      <c r="O102" s="100" t="s">
        <v>29</v>
      </c>
      <c r="P102" s="100" t="s">
        <v>29</v>
      </c>
      <c r="Q102" s="100" t="s">
        <v>29</v>
      </c>
      <c r="R102" s="100" t="s">
        <v>29</v>
      </c>
      <c r="S102" s="100" t="s">
        <v>29</v>
      </c>
      <c r="T102" s="100" t="s">
        <v>29</v>
      </c>
      <c r="U102" s="100" t="s">
        <v>29</v>
      </c>
      <c r="V102" s="100" t="s">
        <v>29</v>
      </c>
      <c r="W102" s="100" t="s">
        <v>29</v>
      </c>
      <c r="X102" s="100" t="s">
        <v>29</v>
      </c>
      <c r="Y102" s="181">
        <v>5</v>
      </c>
      <c r="Z102" s="181">
        <v>6</v>
      </c>
      <c r="AA102" s="349"/>
      <c r="AB102" s="9"/>
      <c r="AC102" s="9"/>
      <c r="AD102" s="9"/>
      <c r="AE102" s="9"/>
      <c r="AF102" s="9"/>
      <c r="AG102" s="9"/>
      <c r="AH102" s="9"/>
      <c r="AI102" s="9"/>
      <c r="AJ102" s="9"/>
      <c r="AK102" s="9"/>
      <c r="AL102" s="9"/>
      <c r="AM102" s="9"/>
      <c r="AN102" s="9"/>
      <c r="AO102" s="9"/>
      <c r="AP102" s="9"/>
      <c r="AQ102" s="9"/>
      <c r="AR102" s="9"/>
      <c r="AS102" s="9"/>
      <c r="AT102" s="9"/>
      <c r="AU102" s="9"/>
      <c r="AV102" s="9"/>
      <c r="AW102" s="9"/>
      <c r="AX102" s="9"/>
      <c r="AY102" s="9"/>
      <c r="AZ102" s="9"/>
      <c r="BA102" s="9"/>
      <c r="BB102" s="9"/>
      <c r="BC102" s="9"/>
      <c r="BD102" s="9"/>
      <c r="BE102" s="9"/>
      <c r="BF102" s="9"/>
      <c r="BG102" s="9"/>
      <c r="BH102" s="9"/>
      <c r="BI102" s="9"/>
      <c r="BJ102" s="9"/>
      <c r="BK102" s="9"/>
      <c r="BL102" s="9"/>
      <c r="BM102" s="9"/>
      <c r="BN102" s="9"/>
      <c r="BO102" s="9"/>
      <c r="BP102" s="9"/>
      <c r="BQ102" s="9"/>
      <c r="BR102" s="9"/>
      <c r="BS102" s="9"/>
      <c r="BT102" s="9"/>
      <c r="BU102" s="9"/>
      <c r="BV102" s="9"/>
      <c r="BW102" s="9"/>
      <c r="BX102" s="9"/>
      <c r="BY102" s="9"/>
      <c r="BZ102" s="9"/>
      <c r="CA102" s="9"/>
      <c r="CB102" s="9"/>
      <c r="CC102" s="9"/>
      <c r="CD102" s="9"/>
      <c r="CE102" s="9"/>
      <c r="CF102" s="9"/>
      <c r="CG102" s="9"/>
      <c r="CH102" s="9"/>
      <c r="CI102" s="9"/>
      <c r="CJ102" s="9"/>
      <c r="CK102" s="9"/>
    </row>
    <row r="103" spans="1:89" s="8" customFormat="1" ht="12.6" customHeight="1" x14ac:dyDescent="0.2">
      <c r="A103" s="56"/>
      <c r="B103" s="2"/>
      <c r="C103" s="48" t="str">
        <f>VLOOKUP(176,Textbausteine_102[],Hilfsgrössen!$D$2,FALSE)</f>
        <v>Nombre d’offices de poste offrant la possibilité d’ouvrir un DEP</v>
      </c>
      <c r="D103" s="1" t="str">
        <f>VLOOKUP(48,Textbausteine_102[],Hilfsgrössen!$D$2,FALSE)</f>
        <v>Nombre d’offices de poste</v>
      </c>
      <c r="E103" s="146"/>
      <c r="F103" s="9"/>
      <c r="G103" s="34"/>
      <c r="H103" s="100" t="s">
        <v>29</v>
      </c>
      <c r="I103" s="100" t="s">
        <v>29</v>
      </c>
      <c r="J103" s="100" t="s">
        <v>29</v>
      </c>
      <c r="K103" s="100" t="s">
        <v>29</v>
      </c>
      <c r="L103" s="100" t="s">
        <v>29</v>
      </c>
      <c r="M103" s="100" t="s">
        <v>29</v>
      </c>
      <c r="N103" s="100" t="s">
        <v>29</v>
      </c>
      <c r="O103" s="100" t="s">
        <v>29</v>
      </c>
      <c r="P103" s="100" t="s">
        <v>29</v>
      </c>
      <c r="Q103" s="100" t="s">
        <v>29</v>
      </c>
      <c r="R103" s="100" t="s">
        <v>29</v>
      </c>
      <c r="S103" s="100" t="s">
        <v>29</v>
      </c>
      <c r="T103" s="100" t="s">
        <v>29</v>
      </c>
      <c r="U103" s="100" t="s">
        <v>29</v>
      </c>
      <c r="V103" s="100" t="s">
        <v>29</v>
      </c>
      <c r="W103" s="100" t="s">
        <v>29</v>
      </c>
      <c r="X103" s="100" t="s">
        <v>29</v>
      </c>
      <c r="Y103" s="181">
        <v>24</v>
      </c>
      <c r="Z103" s="181">
        <v>24</v>
      </c>
      <c r="AA103" s="349"/>
      <c r="AB103" s="9"/>
      <c r="AC103" s="9"/>
      <c r="AD103" s="9"/>
      <c r="AE103" s="9"/>
      <c r="AF103" s="9"/>
      <c r="AG103" s="9"/>
      <c r="AH103" s="9"/>
      <c r="AI103" s="9"/>
      <c r="AJ103" s="9"/>
      <c r="AK103" s="9"/>
      <c r="AL103" s="9"/>
      <c r="AM103" s="9"/>
      <c r="AN103" s="9"/>
      <c r="AO103" s="9"/>
      <c r="AP103" s="9"/>
      <c r="AQ103" s="9"/>
      <c r="AR103" s="9"/>
      <c r="AS103" s="9"/>
      <c r="AT103" s="9"/>
      <c r="AU103" s="9"/>
      <c r="AV103" s="9"/>
      <c r="AW103" s="9"/>
      <c r="AX103" s="9"/>
      <c r="AY103" s="9"/>
      <c r="AZ103" s="9"/>
      <c r="BA103" s="9"/>
      <c r="BB103" s="9"/>
      <c r="BC103" s="9"/>
      <c r="BD103" s="9"/>
      <c r="BE103" s="9"/>
      <c r="BF103" s="9"/>
      <c r="BG103" s="9"/>
      <c r="BH103" s="9"/>
      <c r="BI103" s="9"/>
      <c r="BJ103" s="9"/>
      <c r="BK103" s="9"/>
      <c r="BL103" s="9"/>
      <c r="BM103" s="9"/>
      <c r="BN103" s="9"/>
      <c r="BO103" s="9"/>
      <c r="BP103" s="9"/>
      <c r="BQ103" s="9"/>
      <c r="BR103" s="9"/>
      <c r="BS103" s="9"/>
      <c r="BT103" s="9"/>
      <c r="BU103" s="9"/>
      <c r="BV103" s="9"/>
      <c r="BW103" s="9"/>
      <c r="BX103" s="9"/>
      <c r="BY103" s="9"/>
      <c r="BZ103" s="9"/>
      <c r="CA103" s="9"/>
      <c r="CB103" s="9"/>
      <c r="CC103" s="9"/>
      <c r="CD103" s="9"/>
      <c r="CE103" s="9"/>
      <c r="CF103" s="9"/>
      <c r="CG103" s="9"/>
      <c r="CH103" s="9"/>
      <c r="CI103" s="9"/>
      <c r="CJ103" s="9"/>
      <c r="CK103" s="9"/>
    </row>
    <row r="104" spans="1:89" s="8" customFormat="1" ht="12.6" customHeight="1" x14ac:dyDescent="0.2">
      <c r="A104" s="56"/>
      <c r="B104" s="2"/>
      <c r="C104" s="48" t="str">
        <f>VLOOKUP(177,Textbausteine_102[],Hilfsgrössen!$D$2,FALSE)</f>
        <v>Nombre d’utilisateurs IncaMail</v>
      </c>
      <c r="D104" s="1" t="str">
        <f>VLOOKUP(46,Textbausteine_102[],Hilfsgrössen!$D$2,FALSE)</f>
        <v>Nombre d’utilisateurs</v>
      </c>
      <c r="E104" s="146"/>
      <c r="F104" s="9"/>
      <c r="G104" s="34"/>
      <c r="H104" s="100" t="s">
        <v>29</v>
      </c>
      <c r="I104" s="100" t="s">
        <v>29</v>
      </c>
      <c r="J104" s="100" t="s">
        <v>29</v>
      </c>
      <c r="K104" s="100" t="s">
        <v>29</v>
      </c>
      <c r="L104" s="100" t="s">
        <v>29</v>
      </c>
      <c r="M104" s="100" t="s">
        <v>29</v>
      </c>
      <c r="N104" s="100" t="s">
        <v>29</v>
      </c>
      <c r="O104" s="100" t="s">
        <v>29</v>
      </c>
      <c r="P104" s="100" t="s">
        <v>29</v>
      </c>
      <c r="Q104" s="100" t="s">
        <v>29</v>
      </c>
      <c r="R104" s="100" t="s">
        <v>29</v>
      </c>
      <c r="S104" s="100" t="s">
        <v>29</v>
      </c>
      <c r="T104" s="100" t="s">
        <v>29</v>
      </c>
      <c r="U104" s="100" t="s">
        <v>29</v>
      </c>
      <c r="V104" s="100" t="s">
        <v>29</v>
      </c>
      <c r="W104" s="100" t="s">
        <v>29</v>
      </c>
      <c r="X104" s="100" t="s">
        <v>29</v>
      </c>
      <c r="Y104" s="9" t="s">
        <v>34</v>
      </c>
      <c r="Z104" s="9">
        <v>2154204</v>
      </c>
      <c r="AA104" s="349"/>
      <c r="AB104" s="9"/>
      <c r="AC104" s="9"/>
      <c r="AD104" s="9"/>
      <c r="AE104" s="9"/>
      <c r="AF104" s="9"/>
      <c r="AG104" s="9"/>
      <c r="AH104" s="9"/>
      <c r="AI104" s="9"/>
      <c r="AJ104" s="9"/>
      <c r="AK104" s="9"/>
      <c r="AL104" s="9"/>
      <c r="AM104" s="9"/>
      <c r="AN104" s="9"/>
      <c r="AO104" s="9"/>
      <c r="AP104" s="9"/>
      <c r="AQ104" s="9"/>
      <c r="AR104" s="9"/>
      <c r="AS104" s="9"/>
      <c r="AT104" s="9"/>
      <c r="AU104" s="9"/>
      <c r="AV104" s="9"/>
      <c r="AW104" s="9"/>
      <c r="AX104" s="9"/>
      <c r="AY104" s="9"/>
      <c r="AZ104" s="9"/>
      <c r="BA104" s="9"/>
      <c r="BB104" s="9"/>
      <c r="BC104" s="9"/>
      <c r="BD104" s="9"/>
      <c r="BE104" s="9"/>
      <c r="BF104" s="9"/>
      <c r="BG104" s="9"/>
      <c r="BH104" s="9"/>
      <c r="BI104" s="9"/>
      <c r="BJ104" s="9"/>
      <c r="BK104" s="9"/>
      <c r="BL104" s="9"/>
      <c r="BM104" s="9"/>
      <c r="BN104" s="9"/>
      <c r="BO104" s="9"/>
      <c r="BP104" s="9"/>
      <c r="BQ104" s="9"/>
      <c r="BR104" s="9"/>
      <c r="BS104" s="9"/>
      <c r="BT104" s="9"/>
      <c r="BU104" s="9"/>
      <c r="BV104" s="9"/>
      <c r="BW104" s="9"/>
      <c r="BX104" s="9"/>
      <c r="BY104" s="9"/>
      <c r="BZ104" s="9"/>
      <c r="CA104" s="9"/>
      <c r="CB104" s="9"/>
      <c r="CC104" s="9"/>
      <c r="CD104" s="9"/>
      <c r="CE104" s="9"/>
      <c r="CF104" s="9"/>
      <c r="CG104" s="9"/>
      <c r="CH104" s="9"/>
      <c r="CI104" s="9"/>
      <c r="CJ104" s="9"/>
      <c r="CK104" s="9"/>
    </row>
    <row r="105" spans="1:89" s="8" customFormat="1" ht="12.6" customHeight="1" x14ac:dyDescent="0.2">
      <c r="A105" s="56"/>
      <c r="B105" s="1"/>
      <c r="D105" s="1"/>
      <c r="E105" s="148"/>
      <c r="F105" s="9"/>
      <c r="G105" s="34"/>
      <c r="H105" s="81"/>
      <c r="I105" s="81"/>
      <c r="J105" s="81"/>
      <c r="K105" s="81"/>
      <c r="L105" s="81"/>
      <c r="M105" s="81"/>
      <c r="N105" s="91"/>
      <c r="O105" s="91"/>
      <c r="P105" s="91"/>
      <c r="Q105" s="91"/>
      <c r="R105" s="91"/>
      <c r="S105" s="91"/>
      <c r="T105" s="9"/>
      <c r="U105" s="9"/>
      <c r="V105" s="9"/>
      <c r="W105" s="9"/>
      <c r="X105" s="269"/>
      <c r="Y105" s="9"/>
      <c r="Z105" s="9"/>
      <c r="AA105" s="349"/>
      <c r="AB105" s="9"/>
      <c r="AC105" s="9"/>
      <c r="AD105" s="9"/>
      <c r="AE105" s="9"/>
      <c r="AF105" s="9"/>
      <c r="AG105" s="9"/>
      <c r="AH105" s="9"/>
      <c r="AI105" s="9"/>
      <c r="AJ105" s="9"/>
      <c r="AK105" s="9"/>
      <c r="AL105" s="9"/>
      <c r="AM105" s="9"/>
      <c r="AN105" s="9"/>
      <c r="AO105" s="9"/>
      <c r="AP105" s="9"/>
      <c r="AQ105" s="9"/>
      <c r="AR105" s="9"/>
      <c r="AS105" s="9"/>
      <c r="AT105" s="9"/>
      <c r="AU105" s="9"/>
      <c r="AV105" s="9"/>
      <c r="AW105" s="9"/>
      <c r="AX105" s="9"/>
      <c r="AY105" s="9"/>
      <c r="AZ105" s="9"/>
      <c r="BA105" s="9"/>
      <c r="BB105" s="9"/>
      <c r="BC105" s="9"/>
      <c r="BD105" s="9"/>
      <c r="BE105" s="9"/>
      <c r="BF105" s="9"/>
      <c r="BG105" s="9"/>
      <c r="BH105" s="9"/>
      <c r="BI105" s="9"/>
      <c r="BJ105" s="9"/>
      <c r="BK105" s="9"/>
      <c r="BL105" s="9"/>
      <c r="BM105" s="9"/>
      <c r="BN105" s="9"/>
      <c r="BO105" s="9"/>
      <c r="BP105" s="9"/>
      <c r="BQ105" s="9"/>
      <c r="BR105" s="9"/>
      <c r="BS105" s="9"/>
      <c r="BT105" s="9"/>
      <c r="BU105" s="9"/>
      <c r="BV105" s="9"/>
      <c r="BW105" s="9"/>
      <c r="BX105" s="9"/>
      <c r="BY105" s="9"/>
      <c r="BZ105" s="9"/>
      <c r="CA105" s="9"/>
      <c r="CB105" s="9"/>
      <c r="CC105" s="9"/>
      <c r="CD105" s="9"/>
      <c r="CE105" s="9"/>
      <c r="CF105" s="9"/>
      <c r="CG105" s="9"/>
      <c r="CH105" s="9"/>
      <c r="CI105" s="9"/>
      <c r="CJ105" s="9"/>
      <c r="CK105" s="9"/>
    </row>
    <row r="106" spans="1:89" ht="12.6" customHeight="1" x14ac:dyDescent="0.2">
      <c r="B106" s="2" t="str">
        <f>VLOOKUP(47,Textbausteine_Menu[],Hilfsgrössen!$D$2,FALSE)</f>
        <v>RéseauPostal</v>
      </c>
      <c r="H106" s="11"/>
      <c r="I106" s="11"/>
      <c r="J106" s="11"/>
      <c r="K106" s="11"/>
      <c r="L106" s="11"/>
      <c r="M106" s="11"/>
      <c r="N106" s="11"/>
      <c r="O106" s="11"/>
      <c r="R106" s="91"/>
      <c r="S106" s="91"/>
      <c r="T106" s="9"/>
      <c r="U106" s="9"/>
      <c r="V106" s="9"/>
      <c r="W106" s="9"/>
      <c r="X106" s="269"/>
      <c r="Y106" s="9"/>
      <c r="Z106" s="9"/>
      <c r="AA106" s="349"/>
    </row>
    <row r="107" spans="1:89" s="8" customFormat="1" ht="12.6" customHeight="1" x14ac:dyDescent="0.2">
      <c r="A107" s="56"/>
      <c r="B107" s="1"/>
      <c r="C107" s="16" t="str">
        <f>VLOOKUP(93,Textbausteine_102[],Hilfsgrössen!$D$2,FALSE)</f>
        <v>Chiffre d'affaires net autres articles de marque</v>
      </c>
      <c r="D107" s="1" t="str">
        <f>VLOOKUP(22,Textbausteine_102[],Hilfsgrössen!$D$2,FALSE)</f>
        <v>Millions de CHF</v>
      </c>
      <c r="E107" s="146" t="s">
        <v>2856</v>
      </c>
      <c r="F107" s="94" t="s">
        <v>3167</v>
      </c>
      <c r="G107" s="34"/>
      <c r="H107" s="80" t="s">
        <v>29</v>
      </c>
      <c r="I107" s="80" t="s">
        <v>29</v>
      </c>
      <c r="J107" s="80" t="s">
        <v>29</v>
      </c>
      <c r="K107" s="80" t="s">
        <v>29</v>
      </c>
      <c r="L107" s="80" t="s">
        <v>29</v>
      </c>
      <c r="M107" s="80" t="s">
        <v>29</v>
      </c>
      <c r="N107" s="11">
        <v>482</v>
      </c>
      <c r="O107" s="11">
        <v>495</v>
      </c>
      <c r="P107" s="9">
        <v>498</v>
      </c>
      <c r="Q107" s="9">
        <v>497</v>
      </c>
      <c r="R107" s="91">
        <v>509</v>
      </c>
      <c r="S107" s="91">
        <v>480</v>
      </c>
      <c r="T107" s="9">
        <v>473</v>
      </c>
      <c r="U107" s="9">
        <v>425</v>
      </c>
      <c r="V107" s="9">
        <v>97.1</v>
      </c>
      <c r="W107" s="9">
        <v>78.2</v>
      </c>
      <c r="X107" s="269">
        <v>55.7</v>
      </c>
      <c r="Y107" s="9">
        <v>56.3</v>
      </c>
      <c r="Z107" s="9">
        <v>51.8</v>
      </c>
      <c r="AA107" s="349"/>
      <c r="AB107" s="9"/>
      <c r="AC107" s="9"/>
      <c r="AD107" s="9"/>
      <c r="AE107" s="9"/>
      <c r="AF107" s="9"/>
      <c r="AG107" s="9"/>
      <c r="AH107" s="9"/>
      <c r="AI107" s="9"/>
      <c r="AJ107" s="9"/>
      <c r="AK107" s="9"/>
      <c r="AL107" s="9"/>
      <c r="AM107" s="9"/>
      <c r="AN107" s="9"/>
      <c r="AO107" s="9"/>
      <c r="AP107" s="9"/>
      <c r="AQ107" s="9"/>
      <c r="AR107" s="9"/>
      <c r="AS107" s="9"/>
      <c r="AT107" s="9"/>
      <c r="AU107" s="9"/>
      <c r="AV107" s="9"/>
      <c r="AW107" s="9"/>
      <c r="AX107" s="9"/>
      <c r="AY107" s="9"/>
      <c r="AZ107" s="9"/>
      <c r="BA107" s="9"/>
      <c r="BB107" s="9"/>
      <c r="BC107" s="9"/>
      <c r="BD107" s="9"/>
      <c r="BE107" s="9"/>
      <c r="BF107" s="9"/>
      <c r="BG107" s="9"/>
      <c r="BH107" s="9"/>
      <c r="BI107" s="9"/>
      <c r="BJ107" s="9"/>
      <c r="BK107" s="9"/>
      <c r="BL107" s="9"/>
      <c r="BM107" s="9"/>
      <c r="BN107" s="9"/>
      <c r="BO107" s="9"/>
      <c r="BP107" s="9"/>
      <c r="BQ107" s="9"/>
      <c r="BR107" s="9"/>
      <c r="BS107" s="9"/>
      <c r="BT107" s="9"/>
      <c r="BU107" s="9"/>
      <c r="BV107" s="9"/>
      <c r="BW107" s="9"/>
      <c r="BX107" s="9"/>
      <c r="BY107" s="9"/>
      <c r="BZ107" s="9"/>
      <c r="CA107" s="9"/>
      <c r="CB107" s="9"/>
      <c r="CC107" s="9"/>
      <c r="CD107" s="9"/>
      <c r="CE107" s="9"/>
      <c r="CF107" s="9"/>
      <c r="CG107" s="9"/>
      <c r="CH107" s="9"/>
      <c r="CI107" s="9"/>
      <c r="CJ107" s="9"/>
      <c r="CK107" s="9"/>
    </row>
    <row r="108" spans="1:89" s="8" customFormat="1" ht="12.6" customHeight="1" x14ac:dyDescent="0.2">
      <c r="A108" s="56"/>
      <c r="B108" s="1"/>
      <c r="C108" s="4" t="str">
        <f>VLOOKUP(94,Textbausteine_102[],Hilfsgrössen!$D$2,FALSE)</f>
        <v>Versements</v>
      </c>
      <c r="D108" s="1" t="str">
        <f>VLOOKUP(24,Textbausteine_102[],Hilfsgrössen!$D$2,FALSE)</f>
        <v>Millions</v>
      </c>
      <c r="E108" s="9">
        <v>15</v>
      </c>
      <c r="F108" s="94" t="s">
        <v>3167</v>
      </c>
      <c r="G108" s="34"/>
      <c r="H108" s="80" t="s">
        <v>29</v>
      </c>
      <c r="I108" s="81">
        <v>230</v>
      </c>
      <c r="J108" s="81">
        <v>222</v>
      </c>
      <c r="K108" s="81">
        <v>216</v>
      </c>
      <c r="L108" s="81">
        <v>212</v>
      </c>
      <c r="M108" s="81">
        <v>207</v>
      </c>
      <c r="N108" s="81">
        <v>201</v>
      </c>
      <c r="O108" s="81">
        <v>189</v>
      </c>
      <c r="P108" s="91">
        <v>183</v>
      </c>
      <c r="Q108" s="91">
        <v>178</v>
      </c>
      <c r="R108" s="91">
        <v>171</v>
      </c>
      <c r="S108" s="91">
        <v>164</v>
      </c>
      <c r="T108" s="9">
        <v>155</v>
      </c>
      <c r="U108" s="9">
        <v>145</v>
      </c>
      <c r="V108" s="9">
        <v>137</v>
      </c>
      <c r="W108" s="9">
        <v>128</v>
      </c>
      <c r="X108" s="269">
        <v>110</v>
      </c>
      <c r="Y108" s="9">
        <v>97</v>
      </c>
      <c r="Z108" s="9">
        <v>81</v>
      </c>
      <c r="AA108" s="349"/>
      <c r="AB108" s="9"/>
      <c r="AC108" s="9"/>
      <c r="AD108" s="9"/>
      <c r="AE108" s="9"/>
      <c r="AF108" s="9"/>
      <c r="AG108" s="9"/>
      <c r="AH108" s="9"/>
      <c r="AI108" s="9"/>
      <c r="AJ108" s="9"/>
      <c r="AK108" s="9"/>
      <c r="AL108" s="9"/>
      <c r="AM108" s="9"/>
      <c r="AN108" s="9"/>
      <c r="AO108" s="9"/>
      <c r="AP108" s="9"/>
      <c r="AQ108" s="9"/>
      <c r="AR108" s="9"/>
      <c r="AS108" s="9"/>
      <c r="AT108" s="9"/>
      <c r="AU108" s="9"/>
      <c r="AV108" s="9"/>
      <c r="AW108" s="9"/>
      <c r="AX108" s="9"/>
      <c r="AY108" s="9"/>
      <c r="AZ108" s="9"/>
      <c r="BA108" s="9"/>
      <c r="BB108" s="9"/>
      <c r="BC108" s="9"/>
      <c r="BD108" s="9"/>
      <c r="BE108" s="9"/>
      <c r="BF108" s="9"/>
      <c r="BG108" s="9"/>
      <c r="BH108" s="9"/>
      <c r="BI108" s="9"/>
      <c r="BJ108" s="9"/>
      <c r="BK108" s="9"/>
      <c r="BL108" s="9"/>
      <c r="BM108" s="9"/>
      <c r="BN108" s="9"/>
      <c r="BO108" s="9"/>
      <c r="BP108" s="9"/>
      <c r="BQ108" s="9"/>
      <c r="BR108" s="9"/>
      <c r="BS108" s="9"/>
      <c r="BT108" s="9"/>
      <c r="BU108" s="9"/>
      <c r="BV108" s="9"/>
      <c r="BW108" s="9"/>
      <c r="BX108" s="9"/>
      <c r="BY108" s="9"/>
      <c r="BZ108" s="9"/>
      <c r="CA108" s="9"/>
      <c r="CB108" s="9"/>
      <c r="CC108" s="9"/>
      <c r="CD108" s="9"/>
      <c r="CE108" s="9"/>
      <c r="CF108" s="9"/>
      <c r="CG108" s="9"/>
      <c r="CH108" s="9"/>
      <c r="CI108" s="9"/>
      <c r="CJ108" s="9"/>
      <c r="CK108" s="9"/>
    </row>
    <row r="109" spans="1:89" s="8" customFormat="1" ht="12.6" customHeight="1" x14ac:dyDescent="0.2">
      <c r="A109" s="56"/>
      <c r="B109" s="1"/>
      <c r="D109" s="1"/>
      <c r="E109" s="146"/>
      <c r="F109" s="9"/>
      <c r="G109" s="34"/>
      <c r="H109" s="81"/>
      <c r="I109" s="81"/>
      <c r="J109" s="81"/>
      <c r="K109" s="81"/>
      <c r="L109" s="81"/>
      <c r="M109" s="81"/>
      <c r="N109" s="81"/>
      <c r="O109" s="81"/>
      <c r="P109" s="91"/>
      <c r="Q109" s="91"/>
      <c r="R109" s="91"/>
      <c r="S109" s="91"/>
      <c r="T109" s="9"/>
      <c r="U109" s="9"/>
      <c r="V109" s="9"/>
      <c r="W109" s="9"/>
      <c r="X109" s="269"/>
      <c r="Y109" s="9"/>
      <c r="Z109" s="9"/>
      <c r="AA109" s="349"/>
      <c r="AB109" s="9"/>
      <c r="AC109" s="9"/>
      <c r="AD109" s="9"/>
      <c r="AE109" s="9"/>
      <c r="AF109" s="9"/>
      <c r="AG109" s="9"/>
      <c r="AH109" s="9"/>
      <c r="AI109" s="9"/>
      <c r="AJ109" s="9"/>
      <c r="AK109" s="9"/>
      <c r="AL109" s="9"/>
      <c r="AM109" s="9"/>
      <c r="AN109" s="9"/>
      <c r="AO109" s="9"/>
      <c r="AP109" s="9"/>
      <c r="AQ109" s="9"/>
      <c r="AR109" s="9"/>
      <c r="AS109" s="9"/>
      <c r="AT109" s="9"/>
      <c r="AU109" s="9"/>
      <c r="AV109" s="9"/>
      <c r="AW109" s="9"/>
      <c r="AX109" s="9"/>
      <c r="AY109" s="9"/>
      <c r="AZ109" s="9"/>
      <c r="BA109" s="9"/>
      <c r="BB109" s="9"/>
      <c r="BC109" s="9"/>
      <c r="BD109" s="9"/>
      <c r="BE109" s="9"/>
      <c r="BF109" s="9"/>
      <c r="BG109" s="9"/>
      <c r="BH109" s="9"/>
      <c r="BI109" s="9"/>
      <c r="BJ109" s="9"/>
      <c r="BK109" s="9"/>
      <c r="BL109" s="9"/>
      <c r="BM109" s="9"/>
      <c r="BN109" s="9"/>
      <c r="BO109" s="9"/>
      <c r="BP109" s="9"/>
      <c r="BQ109" s="9"/>
      <c r="BR109" s="9"/>
      <c r="BS109" s="9"/>
      <c r="BT109" s="9"/>
      <c r="BU109" s="9"/>
      <c r="BV109" s="9"/>
      <c r="BW109" s="9"/>
      <c r="BX109" s="9"/>
      <c r="BY109" s="9"/>
      <c r="BZ109" s="9"/>
      <c r="CA109" s="9"/>
      <c r="CB109" s="9"/>
      <c r="CC109" s="9"/>
      <c r="CD109" s="9"/>
      <c r="CE109" s="9"/>
      <c r="CF109" s="9"/>
      <c r="CG109" s="9"/>
      <c r="CH109" s="9"/>
      <c r="CI109" s="9"/>
      <c r="CJ109" s="9"/>
      <c r="CK109" s="9"/>
    </row>
    <row r="110" spans="1:89" s="8" customFormat="1" ht="12.6" customHeight="1" x14ac:dyDescent="0.2">
      <c r="A110" s="56"/>
      <c r="B110" s="2" t="str">
        <f>VLOOKUP(49,Textbausteine_Menu[],Hilfsgrössen!$D$2,FALSE)</f>
        <v>PostFinance</v>
      </c>
      <c r="D110" s="1"/>
      <c r="E110" s="146"/>
      <c r="F110" s="9"/>
      <c r="G110" s="34"/>
      <c r="H110" s="81"/>
      <c r="I110" s="81"/>
      <c r="J110" s="81"/>
      <c r="K110" s="81"/>
      <c r="L110" s="81"/>
      <c r="M110" s="81"/>
      <c r="N110" s="91"/>
      <c r="O110" s="91"/>
      <c r="P110" s="91"/>
      <c r="Q110" s="91"/>
      <c r="R110" s="91"/>
      <c r="S110" s="91"/>
      <c r="T110" s="9"/>
      <c r="U110" s="9"/>
      <c r="V110" s="9"/>
      <c r="W110" s="9"/>
      <c r="X110" s="269"/>
      <c r="Y110" s="9"/>
      <c r="Z110" s="9"/>
      <c r="AA110" s="349"/>
      <c r="AB110" s="9"/>
      <c r="AC110" s="9"/>
      <c r="AD110" s="9"/>
      <c r="AE110" s="9"/>
      <c r="AF110" s="9"/>
      <c r="AG110" s="9"/>
      <c r="AH110" s="9"/>
      <c r="AI110" s="9"/>
      <c r="AJ110" s="9"/>
      <c r="AK110" s="9"/>
      <c r="AL110" s="9"/>
      <c r="AM110" s="9"/>
      <c r="AN110" s="9"/>
      <c r="AO110" s="9"/>
      <c r="AP110" s="9"/>
      <c r="AQ110" s="9"/>
      <c r="AR110" s="9"/>
      <c r="AS110" s="9"/>
      <c r="AT110" s="9"/>
      <c r="AU110" s="9"/>
      <c r="AV110" s="9"/>
      <c r="AW110" s="9"/>
      <c r="AX110" s="9"/>
      <c r="AY110" s="9"/>
      <c r="AZ110" s="9"/>
      <c r="BA110" s="9"/>
      <c r="BB110" s="9"/>
      <c r="BC110" s="9"/>
      <c r="BD110" s="9"/>
      <c r="BE110" s="9"/>
      <c r="BF110" s="9"/>
      <c r="BG110" s="9"/>
      <c r="BH110" s="9"/>
      <c r="BI110" s="9"/>
      <c r="BJ110" s="9"/>
      <c r="BK110" s="9"/>
      <c r="BL110" s="9"/>
      <c r="BM110" s="9"/>
      <c r="BN110" s="9"/>
      <c r="BO110" s="9"/>
      <c r="BP110" s="9"/>
      <c r="BQ110" s="9"/>
      <c r="BR110" s="9"/>
      <c r="BS110" s="9"/>
      <c r="BT110" s="9"/>
      <c r="BU110" s="9"/>
      <c r="BV110" s="9"/>
      <c r="BW110" s="9"/>
      <c r="BX110" s="9"/>
      <c r="BY110" s="9"/>
      <c r="BZ110" s="9"/>
      <c r="CA110" s="9"/>
      <c r="CB110" s="9"/>
      <c r="CC110" s="9"/>
      <c r="CD110" s="9"/>
      <c r="CE110" s="9"/>
      <c r="CF110" s="9"/>
      <c r="CG110" s="9"/>
      <c r="CH110" s="9"/>
      <c r="CI110" s="9"/>
      <c r="CJ110" s="9"/>
      <c r="CK110" s="9"/>
    </row>
    <row r="111" spans="1:89" s="8" customFormat="1" ht="12.6" customHeight="1" x14ac:dyDescent="0.2">
      <c r="A111" s="56"/>
      <c r="B111" s="1"/>
      <c r="C111" s="1" t="str">
        <f>VLOOKUP(95,Textbausteine_102[],Hilfsgrössen!$D$2,FALSE)</f>
        <v>Évolution du patrimoine des clients</v>
      </c>
      <c r="D111" s="1" t="str">
        <f>VLOOKUP(22,Textbausteine_102[],Hilfsgrössen!$D$2,FALSE)</f>
        <v>Millions de CHF</v>
      </c>
      <c r="E111" s="146" t="s">
        <v>2929</v>
      </c>
      <c r="F111" s="94" t="s">
        <v>3167</v>
      </c>
      <c r="G111" s="34"/>
      <c r="H111" s="80" t="s">
        <v>29</v>
      </c>
      <c r="I111" s="100" t="s">
        <v>29</v>
      </c>
      <c r="J111" s="100" t="s">
        <v>29</v>
      </c>
      <c r="K111" s="100" t="s">
        <v>29</v>
      </c>
      <c r="L111" s="100" t="s">
        <v>29</v>
      </c>
      <c r="M111" s="100" t="s">
        <v>29</v>
      </c>
      <c r="N111" s="94" t="s">
        <v>29</v>
      </c>
      <c r="O111" s="9">
        <v>10835</v>
      </c>
      <c r="P111" s="9">
        <v>9681</v>
      </c>
      <c r="Q111" s="9">
        <v>5072</v>
      </c>
      <c r="R111" s="9">
        <v>3606</v>
      </c>
      <c r="S111" s="9">
        <v>-2320</v>
      </c>
      <c r="T111" s="9">
        <v>4570</v>
      </c>
      <c r="U111" s="9">
        <v>361</v>
      </c>
      <c r="V111" s="9">
        <v>-854</v>
      </c>
      <c r="W111" s="11">
        <v>246</v>
      </c>
      <c r="X111" s="247">
        <v>4019</v>
      </c>
      <c r="Y111">
        <v>-12965</v>
      </c>
      <c r="Z111">
        <v>-6097</v>
      </c>
      <c r="AA111" s="349"/>
      <c r="AB111" s="9"/>
      <c r="AC111" s="9"/>
      <c r="AD111" s="9"/>
      <c r="AE111" s="9"/>
      <c r="AF111" s="9"/>
      <c r="AG111" s="9"/>
      <c r="AH111" s="9"/>
      <c r="AI111" s="9"/>
      <c r="AJ111" s="9"/>
      <c r="AK111" s="9"/>
      <c r="AL111" s="9"/>
      <c r="AM111" s="9"/>
      <c r="AN111" s="9"/>
      <c r="AO111" s="9"/>
      <c r="AP111" s="9"/>
      <c r="AQ111" s="9"/>
      <c r="AR111" s="9"/>
      <c r="AS111" s="9"/>
      <c r="AT111" s="9"/>
      <c r="AU111" s="9"/>
      <c r="AV111" s="9"/>
      <c r="AW111" s="9"/>
      <c r="AX111" s="9"/>
      <c r="AY111" s="9"/>
      <c r="AZ111" s="9"/>
      <c r="BA111" s="9"/>
      <c r="BB111" s="9"/>
      <c r="BC111" s="9"/>
      <c r="BD111" s="9"/>
      <c r="BE111" s="9"/>
      <c r="BF111" s="9"/>
      <c r="BG111" s="9"/>
      <c r="BH111" s="9"/>
      <c r="BI111" s="9"/>
      <c r="BJ111" s="9"/>
      <c r="BK111" s="9"/>
      <c r="BL111" s="9"/>
      <c r="BM111" s="9"/>
      <c r="BN111" s="9"/>
      <c r="BO111" s="9"/>
      <c r="BP111" s="9"/>
      <c r="BQ111" s="9"/>
      <c r="BR111" s="9"/>
      <c r="BS111" s="9"/>
      <c r="BT111" s="9"/>
      <c r="BU111" s="9"/>
      <c r="BV111" s="9"/>
      <c r="BW111" s="9"/>
      <c r="BX111" s="9"/>
      <c r="BY111" s="9"/>
      <c r="BZ111" s="9"/>
      <c r="CA111" s="9"/>
      <c r="CB111" s="9"/>
      <c r="CC111" s="9"/>
      <c r="CD111" s="9"/>
      <c r="CE111" s="9"/>
      <c r="CF111" s="9"/>
      <c r="CG111" s="9"/>
      <c r="CH111" s="9"/>
      <c r="CI111" s="9"/>
      <c r="CJ111" s="9"/>
      <c r="CK111" s="9"/>
    </row>
    <row r="112" spans="1:89" s="8" customFormat="1" ht="12.6" customHeight="1" x14ac:dyDescent="0.2">
      <c r="A112" s="227"/>
      <c r="B112" s="2"/>
      <c r="C112" s="8" t="str">
        <f>VLOOKUP(96,Textbausteine_102[],Hilfsgrössen!$D$2,FALSE)</f>
        <v>Nombres de comptes clients</v>
      </c>
      <c r="D112" s="1" t="str">
        <f>VLOOKUP(25,Textbausteine_102[],Hilfsgrössen!$D$2,FALSE)</f>
        <v>Milliers</v>
      </c>
      <c r="E112" s="146"/>
      <c r="F112" s="94" t="s">
        <v>3167</v>
      </c>
      <c r="G112" s="34"/>
      <c r="H112" s="80" t="s">
        <v>29</v>
      </c>
      <c r="I112" s="9">
        <v>3008</v>
      </c>
      <c r="J112" s="9">
        <v>3154</v>
      </c>
      <c r="K112" s="9">
        <v>3335.0120000000002</v>
      </c>
      <c r="L112" s="9">
        <v>3646</v>
      </c>
      <c r="M112" s="9">
        <v>3881</v>
      </c>
      <c r="N112" s="9">
        <v>4079</v>
      </c>
      <c r="O112" s="9">
        <v>4212</v>
      </c>
      <c r="P112" s="9">
        <v>4549.2359999999999</v>
      </c>
      <c r="Q112" s="9">
        <v>4628</v>
      </c>
      <c r="R112" s="9">
        <v>4752</v>
      </c>
      <c r="S112" s="9">
        <v>4835</v>
      </c>
      <c r="T112" s="9">
        <v>4845</v>
      </c>
      <c r="U112" s="9">
        <v>4809</v>
      </c>
      <c r="V112" s="9">
        <v>4503</v>
      </c>
      <c r="W112" s="9">
        <v>4401</v>
      </c>
      <c r="X112" s="269">
        <v>4286</v>
      </c>
      <c r="Y112">
        <v>4037</v>
      </c>
      <c r="Z112">
        <v>3918</v>
      </c>
      <c r="AA112" s="349"/>
      <c r="AB112" s="9"/>
      <c r="AC112" s="9"/>
      <c r="AD112" s="9"/>
      <c r="AE112" s="9"/>
      <c r="AF112" s="9"/>
      <c r="AG112" s="9"/>
      <c r="AH112" s="9"/>
      <c r="AI112" s="9"/>
      <c r="AJ112" s="9"/>
      <c r="AK112" s="9"/>
      <c r="AL112" s="9"/>
      <c r="AM112" s="9"/>
      <c r="AN112" s="9"/>
      <c r="AO112" s="9"/>
      <c r="AP112" s="9"/>
      <c r="AQ112" s="9"/>
      <c r="AR112" s="9"/>
      <c r="AS112" s="9"/>
      <c r="AT112" s="9"/>
      <c r="AU112" s="9"/>
      <c r="AV112" s="9"/>
      <c r="AW112" s="9"/>
      <c r="AX112" s="9"/>
      <c r="AY112" s="9"/>
      <c r="AZ112" s="9"/>
      <c r="BA112" s="9"/>
      <c r="BB112" s="9"/>
      <c r="BC112" s="9"/>
      <c r="BD112" s="9"/>
      <c r="BE112" s="9"/>
      <c r="BF112" s="9"/>
      <c r="BG112" s="9"/>
      <c r="BH112" s="9"/>
      <c r="BI112" s="9"/>
      <c r="BJ112" s="9"/>
      <c r="BK112" s="9"/>
      <c r="BL112" s="9"/>
      <c r="BM112" s="9"/>
      <c r="BN112" s="9"/>
      <c r="BO112" s="9"/>
      <c r="BP112" s="9"/>
      <c r="BQ112" s="9"/>
      <c r="BR112" s="9"/>
      <c r="BS112" s="9"/>
      <c r="BT112" s="9"/>
      <c r="BU112" s="9"/>
      <c r="BV112" s="9"/>
      <c r="BW112" s="9"/>
      <c r="BX112" s="9"/>
      <c r="BY112" s="9"/>
      <c r="BZ112" s="9"/>
      <c r="CA112" s="9"/>
      <c r="CB112" s="9"/>
      <c r="CC112" s="9"/>
      <c r="CD112" s="9"/>
      <c r="CE112" s="9"/>
      <c r="CF112" s="9"/>
      <c r="CG112" s="9"/>
      <c r="CH112" s="9"/>
      <c r="CI112" s="9"/>
      <c r="CJ112" s="9"/>
      <c r="CK112" s="9"/>
    </row>
    <row r="113" spans="1:89" s="8" customFormat="1" ht="12.6" customHeight="1" x14ac:dyDescent="0.2">
      <c r="A113" s="56"/>
      <c r="B113" s="1"/>
      <c r="C113" s="4" t="str">
        <f>VLOOKUP(97,Textbausteine_102[],Hilfsgrössen!$D$2,FALSE)</f>
        <v>Moyenne du patrimoine des clients (Ø mensuelle)</v>
      </c>
      <c r="D113" s="1" t="str">
        <f>VLOOKUP(22,Textbausteine_102[],Hilfsgrössen!$D$2,FALSE)</f>
        <v>Millions de CHF</v>
      </c>
      <c r="E113" s="9" t="s">
        <v>2930</v>
      </c>
      <c r="F113" s="94" t="s">
        <v>3167</v>
      </c>
      <c r="G113" s="34"/>
      <c r="H113" s="80" t="s">
        <v>29</v>
      </c>
      <c r="I113" s="100" t="s">
        <v>29</v>
      </c>
      <c r="J113" s="100" t="s">
        <v>29</v>
      </c>
      <c r="K113" s="100" t="s">
        <v>29</v>
      </c>
      <c r="L113" s="100" t="s">
        <v>29</v>
      </c>
      <c r="M113" s="100" t="s">
        <v>29</v>
      </c>
      <c r="N113" s="91">
        <v>87992.309227999998</v>
      </c>
      <c r="O113" s="91">
        <v>98827.6851844013</v>
      </c>
      <c r="P113" s="91">
        <v>108508.29627799999</v>
      </c>
      <c r="Q113" s="91">
        <v>113580</v>
      </c>
      <c r="R113" s="91">
        <v>117186</v>
      </c>
      <c r="S113" s="91">
        <v>114865.813994121</v>
      </c>
      <c r="T113" s="9">
        <v>119436</v>
      </c>
      <c r="U113" s="9">
        <v>119797</v>
      </c>
      <c r="V113" s="9">
        <v>118943</v>
      </c>
      <c r="W113" s="11">
        <v>119660</v>
      </c>
      <c r="X113" s="269">
        <v>123679</v>
      </c>
      <c r="Y113">
        <v>110714</v>
      </c>
      <c r="Z113">
        <v>104617</v>
      </c>
      <c r="AA113" s="349"/>
      <c r="AB113" s="9"/>
      <c r="AC113" s="9"/>
      <c r="AD113" s="9"/>
      <c r="AE113" s="9"/>
      <c r="AF113" s="9"/>
      <c r="AG113" s="9"/>
      <c r="AH113" s="9"/>
      <c r="AI113" s="9"/>
      <c r="AJ113" s="9"/>
      <c r="AK113" s="9"/>
      <c r="AL113" s="9"/>
      <c r="AM113" s="9"/>
      <c r="AN113" s="9"/>
      <c r="AO113" s="9"/>
      <c r="AP113" s="9"/>
      <c r="AQ113" s="9"/>
      <c r="AR113" s="9"/>
      <c r="AS113" s="9"/>
      <c r="AT113" s="9"/>
      <c r="AU113" s="9"/>
      <c r="AV113" s="9"/>
      <c r="AW113" s="9"/>
      <c r="AX113" s="9"/>
      <c r="AY113" s="9"/>
      <c r="AZ113" s="9"/>
      <c r="BA113" s="9"/>
      <c r="BB113" s="9"/>
      <c r="BC113" s="9"/>
      <c r="BD113" s="9"/>
      <c r="BE113" s="9"/>
      <c r="BF113" s="9"/>
      <c r="BG113" s="9"/>
      <c r="BH113" s="9"/>
      <c r="BI113" s="9"/>
      <c r="BJ113" s="9"/>
      <c r="BK113" s="9"/>
      <c r="BL113" s="9"/>
      <c r="BM113" s="9"/>
      <c r="BN113" s="9"/>
      <c r="BO113" s="9"/>
      <c r="BP113" s="9"/>
      <c r="BQ113" s="9"/>
      <c r="BR113" s="9"/>
      <c r="BS113" s="9"/>
      <c r="BT113" s="9"/>
      <c r="BU113" s="9"/>
      <c r="BV113" s="9"/>
      <c r="BW113" s="9"/>
      <c r="BX113" s="9"/>
      <c r="BY113" s="9"/>
      <c r="BZ113" s="9"/>
      <c r="CA113" s="9"/>
      <c r="CB113" s="9"/>
      <c r="CC113" s="9"/>
      <c r="CD113" s="9"/>
      <c r="CE113" s="9"/>
      <c r="CF113" s="9"/>
      <c r="CG113" s="9"/>
      <c r="CH113" s="9"/>
      <c r="CI113" s="9"/>
      <c r="CJ113" s="9"/>
      <c r="CK113" s="9"/>
    </row>
    <row r="114" spans="1:89" s="8" customFormat="1" ht="12.6" customHeight="1" x14ac:dyDescent="0.2">
      <c r="A114" s="56"/>
      <c r="B114" s="1"/>
      <c r="C114" s="4" t="str">
        <f>VLOOKUP(98,Textbausteine_102[],Hilfsgrössen!$D$2,FALSE)</f>
        <v>Moyenne des fonds des clients (Ø mensuelle)</v>
      </c>
      <c r="D114" s="1" t="str">
        <f>VLOOKUP(22,Textbausteine_102[],Hilfsgrössen!$D$2,FALSE)</f>
        <v>Millions de CHF</v>
      </c>
      <c r="E114" s="146"/>
      <c r="F114" s="94" t="s">
        <v>3167</v>
      </c>
      <c r="G114" s="267"/>
      <c r="H114" s="80" t="s">
        <v>29</v>
      </c>
      <c r="I114" s="100" t="s">
        <v>29</v>
      </c>
      <c r="J114" s="100" t="s">
        <v>29</v>
      </c>
      <c r="K114" s="100" t="s">
        <v>29</v>
      </c>
      <c r="L114" s="100" t="s">
        <v>29</v>
      </c>
      <c r="M114" s="100" t="s">
        <v>29</v>
      </c>
      <c r="N114" s="91">
        <v>83974.026276387507</v>
      </c>
      <c r="O114" s="91">
        <v>94642.066211651298</v>
      </c>
      <c r="P114" s="91">
        <v>103484.821056774</v>
      </c>
      <c r="Q114" s="91">
        <v>107538.19981799999</v>
      </c>
      <c r="R114" s="91">
        <v>110062</v>
      </c>
      <c r="S114" s="91">
        <v>107093.693319121</v>
      </c>
      <c r="T114" s="9">
        <v>111190</v>
      </c>
      <c r="U114" s="9">
        <v>109829</v>
      </c>
      <c r="V114" s="9">
        <v>108869</v>
      </c>
      <c r="W114" s="9">
        <v>106852</v>
      </c>
      <c r="X114" s="269">
        <v>109189</v>
      </c>
      <c r="Y114">
        <v>92495</v>
      </c>
      <c r="Z114">
        <v>88764</v>
      </c>
      <c r="AA114" s="349"/>
      <c r="AB114" s="9"/>
      <c r="AC114" s="9"/>
      <c r="AD114" s="9"/>
      <c r="AE114" s="9"/>
      <c r="AF114" s="9"/>
      <c r="AG114" s="9"/>
      <c r="AH114" s="9"/>
      <c r="AI114" s="9"/>
      <c r="AJ114" s="9"/>
      <c r="AK114" s="9"/>
      <c r="AL114" s="9"/>
      <c r="AM114" s="9"/>
      <c r="AN114" s="9"/>
      <c r="AO114" s="9"/>
      <c r="AP114" s="9"/>
      <c r="AQ114" s="9"/>
      <c r="AR114" s="9"/>
      <c r="AS114" s="9"/>
      <c r="AT114" s="9"/>
      <c r="AU114" s="9"/>
      <c r="AV114" s="9"/>
      <c r="AW114" s="9"/>
      <c r="AX114" s="9"/>
      <c r="AY114" s="9"/>
      <c r="AZ114" s="9"/>
      <c r="BA114" s="9"/>
      <c r="BB114" s="9"/>
      <c r="BC114" s="9"/>
      <c r="BD114" s="9"/>
      <c r="BE114" s="9"/>
      <c r="BF114" s="9"/>
      <c r="BG114" s="9"/>
      <c r="BH114" s="9"/>
      <c r="BI114" s="9"/>
      <c r="BJ114" s="9"/>
      <c r="BK114" s="9"/>
      <c r="BL114" s="9"/>
      <c r="BM114" s="9"/>
      <c r="BN114" s="9"/>
      <c r="BO114" s="9"/>
      <c r="BP114" s="9"/>
      <c r="BQ114" s="9"/>
      <c r="BR114" s="9"/>
      <c r="BS114" s="9"/>
      <c r="BT114" s="9"/>
      <c r="BU114" s="9"/>
      <c r="BV114" s="9"/>
      <c r="BW114" s="9"/>
      <c r="BX114" s="9"/>
      <c r="BY114" s="9"/>
      <c r="BZ114" s="9"/>
      <c r="CA114" s="9"/>
      <c r="CB114" s="9"/>
      <c r="CC114" s="9"/>
      <c r="CD114" s="9"/>
      <c r="CE114" s="9"/>
      <c r="CF114" s="9"/>
      <c r="CG114" s="9"/>
      <c r="CH114" s="9"/>
      <c r="CI114" s="9"/>
      <c r="CJ114" s="9"/>
      <c r="CK114" s="9"/>
    </row>
    <row r="115" spans="1:89" s="8" customFormat="1" ht="12.6" customHeight="1" x14ac:dyDescent="0.2">
      <c r="A115" s="56"/>
      <c r="B115" s="1"/>
      <c r="C115" s="8" t="str">
        <f>VLOOKUP(99,Textbausteine_102[],Hilfsgrössen!$D$2,FALSE)</f>
        <v>Nombre de transactions</v>
      </c>
      <c r="D115" s="1" t="str">
        <f>VLOOKUP(24,Textbausteine_102[],Hilfsgrössen!$D$2,FALSE)</f>
        <v>Millions</v>
      </c>
      <c r="E115" s="146"/>
      <c r="F115" s="94" t="s">
        <v>3167</v>
      </c>
      <c r="G115" s="34"/>
      <c r="H115" s="80" t="s">
        <v>29</v>
      </c>
      <c r="I115" s="81">
        <v>801</v>
      </c>
      <c r="J115" s="81">
        <v>803</v>
      </c>
      <c r="K115" s="81">
        <v>823</v>
      </c>
      <c r="L115" s="81">
        <v>843</v>
      </c>
      <c r="M115" s="81">
        <v>865</v>
      </c>
      <c r="N115" s="91">
        <v>894</v>
      </c>
      <c r="O115" s="91">
        <v>907</v>
      </c>
      <c r="P115" s="91">
        <v>932.12372300000004</v>
      </c>
      <c r="Q115" s="91">
        <v>965</v>
      </c>
      <c r="R115" s="91">
        <v>996</v>
      </c>
      <c r="S115" s="91">
        <v>1020</v>
      </c>
      <c r="T115" s="9">
        <v>1044</v>
      </c>
      <c r="U115" s="9">
        <v>1072</v>
      </c>
      <c r="V115" s="9">
        <v>1145</v>
      </c>
      <c r="W115" s="9">
        <v>1180</v>
      </c>
      <c r="X115" s="269">
        <v>1185</v>
      </c>
      <c r="Y115">
        <v>1265</v>
      </c>
      <c r="Z115">
        <v>1320</v>
      </c>
      <c r="AA115" s="349"/>
      <c r="AB115" s="9"/>
      <c r="AC115" s="9"/>
      <c r="AD115" s="9"/>
      <c r="AE115" s="9"/>
      <c r="AF115" s="9"/>
      <c r="AG115" s="9"/>
      <c r="AH115" s="9"/>
      <c r="AI115" s="9"/>
      <c r="AJ115" s="9"/>
      <c r="AK115" s="9"/>
      <c r="AL115" s="9"/>
      <c r="AM115" s="9"/>
      <c r="AN115" s="9"/>
      <c r="AO115" s="9"/>
      <c r="AP115" s="9"/>
      <c r="AQ115" s="9"/>
      <c r="AR115" s="9"/>
      <c r="AS115" s="9"/>
      <c r="AT115" s="9"/>
      <c r="AU115" s="9"/>
      <c r="AV115" s="9"/>
      <c r="AW115" s="9"/>
      <c r="AX115" s="9"/>
      <c r="AY115" s="9"/>
      <c r="AZ115" s="9"/>
      <c r="BA115" s="9"/>
      <c r="BB115" s="9"/>
      <c r="BC115" s="9"/>
      <c r="BD115" s="9"/>
      <c r="BE115" s="9"/>
      <c r="BF115" s="9"/>
      <c r="BG115" s="9"/>
      <c r="BH115" s="9"/>
      <c r="BI115" s="9"/>
      <c r="BJ115" s="9"/>
      <c r="BK115" s="9"/>
      <c r="BL115" s="9"/>
      <c r="BM115" s="9"/>
      <c r="BN115" s="9"/>
      <c r="BO115" s="9"/>
      <c r="BP115" s="9"/>
      <c r="BQ115" s="9"/>
      <c r="BR115" s="9"/>
      <c r="BS115" s="9"/>
      <c r="BT115" s="9"/>
      <c r="BU115" s="9"/>
      <c r="BV115" s="9"/>
      <c r="BW115" s="9"/>
      <c r="BX115" s="9"/>
      <c r="BY115" s="9"/>
      <c r="BZ115" s="9"/>
      <c r="CA115" s="9"/>
      <c r="CB115" s="9"/>
      <c r="CC115" s="9"/>
      <c r="CD115" s="9"/>
      <c r="CE115" s="9"/>
      <c r="CF115" s="9"/>
      <c r="CG115" s="9"/>
      <c r="CH115" s="9"/>
      <c r="CI115" s="9"/>
      <c r="CJ115" s="9"/>
      <c r="CK115" s="9"/>
    </row>
    <row r="116" spans="1:89" s="8" customFormat="1" ht="12.6" customHeight="1" x14ac:dyDescent="0.2">
      <c r="A116" s="56"/>
      <c r="B116" s="1"/>
      <c r="C116" s="16" t="str">
        <f>VLOOKUP(100,Textbausteine_102[],Hilfsgrössen!$D$2,FALSE)</f>
        <v>Adhérents e-finance</v>
      </c>
      <c r="D116" s="1" t="str">
        <f>VLOOKUP(26,Textbausteine_102[],Hilfsgrössen!$D$2,FALSE)</f>
        <v>clients</v>
      </c>
      <c r="E116" s="146"/>
      <c r="F116" s="94" t="s">
        <v>3167</v>
      </c>
      <c r="G116" s="34"/>
      <c r="H116" s="80" t="s">
        <v>29</v>
      </c>
      <c r="I116" s="81">
        <v>671728</v>
      </c>
      <c r="J116" s="81">
        <v>760585</v>
      </c>
      <c r="K116" s="81">
        <v>858587</v>
      </c>
      <c r="L116" s="81">
        <v>984592</v>
      </c>
      <c r="M116" s="81">
        <v>1101593</v>
      </c>
      <c r="N116" s="91">
        <v>1219539</v>
      </c>
      <c r="O116" s="91">
        <v>1349747</v>
      </c>
      <c r="P116" s="91">
        <v>1463325</v>
      </c>
      <c r="Q116" s="91">
        <v>1546000</v>
      </c>
      <c r="R116" s="91">
        <v>1624443</v>
      </c>
      <c r="S116" s="91">
        <v>1682956</v>
      </c>
      <c r="T116" s="9">
        <v>1742751</v>
      </c>
      <c r="U116" s="9">
        <v>1755823</v>
      </c>
      <c r="V116" s="9">
        <v>1775343</v>
      </c>
      <c r="W116" s="9">
        <v>1796571</v>
      </c>
      <c r="X116" s="269">
        <v>1860437</v>
      </c>
      <c r="Y116">
        <v>1927566</v>
      </c>
      <c r="Z116">
        <v>1939035</v>
      </c>
      <c r="AA116" s="349"/>
      <c r="AB116" s="9"/>
      <c r="AC116" s="9"/>
      <c r="AD116" s="9"/>
      <c r="AE116" s="9"/>
      <c r="AF116" s="9"/>
      <c r="AG116" s="9"/>
      <c r="AH116" s="9"/>
      <c r="AI116" s="9"/>
      <c r="AJ116" s="9"/>
      <c r="AK116" s="9"/>
      <c r="AL116" s="9"/>
      <c r="AM116" s="9"/>
      <c r="AN116" s="9"/>
      <c r="AO116" s="9"/>
      <c r="AP116" s="9"/>
      <c r="AQ116" s="9"/>
      <c r="AR116" s="9"/>
      <c r="AS116" s="9"/>
      <c r="AT116" s="9"/>
      <c r="AU116" s="9"/>
      <c r="AV116" s="9"/>
      <c r="AW116" s="9"/>
      <c r="AX116" s="9"/>
      <c r="AY116" s="9"/>
      <c r="AZ116" s="9"/>
      <c r="BA116" s="9"/>
      <c r="BB116" s="9"/>
      <c r="BC116" s="9"/>
      <c r="BD116" s="9"/>
      <c r="BE116" s="9"/>
      <c r="BF116" s="9"/>
      <c r="BG116" s="9"/>
      <c r="BH116" s="9"/>
      <c r="BI116" s="9"/>
      <c r="BJ116" s="9"/>
      <c r="BK116" s="9"/>
      <c r="BL116" s="9"/>
      <c r="BM116" s="9"/>
      <c r="BN116" s="9"/>
      <c r="BO116" s="9"/>
      <c r="BP116" s="9"/>
      <c r="BQ116" s="9"/>
      <c r="BR116" s="9"/>
      <c r="BS116" s="9"/>
      <c r="BT116" s="9"/>
      <c r="BU116" s="9"/>
      <c r="BV116" s="9"/>
      <c r="BW116" s="9"/>
      <c r="BX116" s="9"/>
      <c r="BY116" s="9"/>
      <c r="BZ116" s="9"/>
      <c r="CA116" s="9"/>
      <c r="CB116" s="9"/>
      <c r="CC116" s="9"/>
      <c r="CD116" s="9"/>
      <c r="CE116" s="9"/>
      <c r="CF116" s="9"/>
      <c r="CG116" s="9"/>
      <c r="CH116" s="9"/>
      <c r="CI116" s="9"/>
      <c r="CJ116" s="9"/>
      <c r="CK116" s="9"/>
    </row>
    <row r="117" spans="1:89" s="8" customFormat="1" ht="12.6" customHeight="1" x14ac:dyDescent="0.2">
      <c r="A117" s="56"/>
      <c r="C117" s="16" t="str">
        <f>VLOOKUP(101,Textbausteine_102[],Hilfsgrössen!$D$2,FALSE)</f>
        <v>Volume des fonds (fonds PostFinance sans fonds émis par des tiers)</v>
      </c>
      <c r="D117" s="1" t="str">
        <f>VLOOKUP(22,Textbausteine_102[],Hilfsgrössen!$D$2,FALSE)</f>
        <v>Millions de CHF</v>
      </c>
      <c r="E117" s="146" t="s">
        <v>2858</v>
      </c>
      <c r="F117" s="94" t="s">
        <v>3167</v>
      </c>
      <c r="G117" s="34"/>
      <c r="H117" s="80" t="s">
        <v>29</v>
      </c>
      <c r="I117" s="81">
        <v>1524</v>
      </c>
      <c r="J117" s="81">
        <v>1560</v>
      </c>
      <c r="K117" s="81">
        <v>1475</v>
      </c>
      <c r="L117" s="81">
        <v>1160</v>
      </c>
      <c r="M117" s="81">
        <v>1464</v>
      </c>
      <c r="N117" s="91">
        <v>1673</v>
      </c>
      <c r="O117" s="91">
        <v>1764</v>
      </c>
      <c r="P117" s="91">
        <v>2131.5705029999999</v>
      </c>
      <c r="Q117" s="91">
        <v>2352</v>
      </c>
      <c r="R117" s="91">
        <v>2701</v>
      </c>
      <c r="S117" s="91">
        <v>2972</v>
      </c>
      <c r="T117" s="9">
        <v>3428</v>
      </c>
      <c r="U117" s="9">
        <v>4243</v>
      </c>
      <c r="V117" s="9">
        <v>4212</v>
      </c>
      <c r="W117" s="9">
        <v>5424</v>
      </c>
      <c r="X117" s="269" t="s">
        <v>29</v>
      </c>
      <c r="Y117" s="9" t="s">
        <v>29</v>
      </c>
      <c r="Z117" s="9" t="s">
        <v>29</v>
      </c>
      <c r="AA117" s="349"/>
      <c r="AB117" s="9"/>
      <c r="AC117" s="9"/>
      <c r="AD117" s="9"/>
      <c r="AE117" s="9"/>
      <c r="AF117" s="9"/>
      <c r="AG117" s="9"/>
      <c r="AH117" s="9"/>
      <c r="AI117" s="9"/>
      <c r="AJ117" s="9"/>
      <c r="AK117" s="9"/>
      <c r="AL117" s="9"/>
      <c r="AM117" s="9"/>
      <c r="AN117" s="9"/>
      <c r="AO117" s="9"/>
      <c r="AP117" s="9"/>
      <c r="AQ117" s="9"/>
      <c r="AR117" s="9"/>
      <c r="AS117" s="9"/>
      <c r="AT117" s="9"/>
      <c r="AU117" s="9"/>
      <c r="AV117" s="9"/>
      <c r="AW117" s="9"/>
      <c r="AX117" s="9"/>
      <c r="AY117" s="9"/>
      <c r="AZ117" s="9"/>
      <c r="BA117" s="9"/>
      <c r="BB117" s="9"/>
      <c r="BC117" s="9"/>
      <c r="BD117" s="9"/>
      <c r="BE117" s="9"/>
      <c r="BF117" s="9"/>
      <c r="BG117" s="9"/>
      <c r="BH117" s="9"/>
      <c r="BI117" s="9"/>
      <c r="BJ117" s="9"/>
      <c r="BK117" s="9"/>
      <c r="BL117" s="9"/>
      <c r="BM117" s="9"/>
      <c r="BN117" s="9"/>
      <c r="BO117" s="9"/>
      <c r="BP117" s="9"/>
      <c r="BQ117" s="9"/>
      <c r="BR117" s="9"/>
      <c r="BS117" s="9"/>
      <c r="BT117" s="9"/>
      <c r="BU117" s="9"/>
      <c r="BV117" s="9"/>
      <c r="BW117" s="9"/>
      <c r="BX117" s="9"/>
      <c r="BY117" s="9"/>
      <c r="BZ117" s="9"/>
      <c r="CA117" s="9"/>
      <c r="CB117" s="9"/>
      <c r="CC117" s="9"/>
      <c r="CD117" s="9"/>
      <c r="CE117" s="9"/>
      <c r="CF117" s="9"/>
      <c r="CG117" s="9"/>
      <c r="CH117" s="9"/>
      <c r="CI117" s="9"/>
      <c r="CJ117" s="9"/>
      <c r="CK117" s="9"/>
    </row>
    <row r="118" spans="1:89" s="8" customFormat="1" ht="12.6" customHeight="1" x14ac:dyDescent="0.2">
      <c r="A118" s="56"/>
      <c r="B118" s="1"/>
      <c r="C118" s="16" t="str">
        <f>VLOOKUP(102,Textbausteine_102[],Hilfsgrössen!$D$2,FALSE)</f>
        <v>Volume des fonds (émis par PostFinance et par des tiers)</v>
      </c>
      <c r="D118" s="1" t="str">
        <f>VLOOKUP(22,Textbausteine_102[],Hilfsgrössen!$D$2,FALSE)</f>
        <v>Millions de CHF</v>
      </c>
      <c r="E118" s="9">
        <v>13</v>
      </c>
      <c r="F118" s="94" t="s">
        <v>3167</v>
      </c>
      <c r="G118" s="267"/>
      <c r="H118" s="80" t="s">
        <v>29</v>
      </c>
      <c r="I118" s="81">
        <v>1552.2</v>
      </c>
      <c r="J118" s="81">
        <v>1708</v>
      </c>
      <c r="K118" s="81">
        <v>1728.9</v>
      </c>
      <c r="L118" s="81">
        <v>1380.2</v>
      </c>
      <c r="M118" s="81">
        <v>1723</v>
      </c>
      <c r="N118" s="91">
        <v>1940</v>
      </c>
      <c r="O118" s="91">
        <v>1990</v>
      </c>
      <c r="P118" s="91">
        <v>2390.2245640000001</v>
      </c>
      <c r="Q118" s="91">
        <v>2634</v>
      </c>
      <c r="R118" s="91">
        <v>3005</v>
      </c>
      <c r="S118" s="91">
        <v>3284</v>
      </c>
      <c r="T118" s="9">
        <v>3788</v>
      </c>
      <c r="U118" s="9">
        <v>4757</v>
      </c>
      <c r="V118" s="9">
        <v>5095.8559999999998</v>
      </c>
      <c r="W118" s="9">
        <v>6071</v>
      </c>
      <c r="X118" s="269" t="s">
        <v>29</v>
      </c>
      <c r="Y118" s="9" t="s">
        <v>29</v>
      </c>
      <c r="Z118" s="9" t="s">
        <v>29</v>
      </c>
      <c r="AA118" s="349"/>
      <c r="AB118" s="9"/>
      <c r="AC118" s="9"/>
      <c r="AD118" s="9"/>
      <c r="AE118" s="9"/>
      <c r="AF118" s="9"/>
      <c r="AG118" s="9"/>
      <c r="AH118" s="9"/>
      <c r="AI118" s="9"/>
      <c r="AJ118" s="9"/>
      <c r="AK118" s="9"/>
      <c r="AL118" s="9"/>
      <c r="AM118" s="9"/>
      <c r="AN118" s="9"/>
      <c r="AO118" s="9"/>
      <c r="AP118" s="9"/>
      <c r="AQ118" s="9"/>
      <c r="AR118" s="9"/>
      <c r="AS118" s="9"/>
      <c r="AT118" s="9"/>
      <c r="AU118" s="9"/>
      <c r="AV118" s="9"/>
      <c r="AW118" s="9"/>
      <c r="AX118" s="9"/>
      <c r="AY118" s="9"/>
      <c r="AZ118" s="9"/>
      <c r="BA118" s="9"/>
      <c r="BB118" s="9"/>
      <c r="BC118" s="9"/>
      <c r="BD118" s="9"/>
      <c r="BE118" s="9"/>
      <c r="BF118" s="9"/>
      <c r="BG118" s="9"/>
      <c r="BH118" s="9"/>
      <c r="BI118" s="9"/>
      <c r="BJ118" s="9"/>
      <c r="BK118" s="9"/>
      <c r="BL118" s="9"/>
      <c r="BM118" s="9"/>
      <c r="BN118" s="9"/>
      <c r="BO118" s="9"/>
      <c r="BP118" s="9"/>
      <c r="BQ118" s="9"/>
      <c r="BR118" s="9"/>
      <c r="BS118" s="9"/>
      <c r="BT118" s="9"/>
      <c r="BU118" s="9"/>
      <c r="BV118" s="9"/>
      <c r="BW118" s="9"/>
      <c r="BX118" s="9"/>
      <c r="BY118" s="9"/>
      <c r="BZ118" s="9"/>
      <c r="CA118" s="9"/>
      <c r="CB118" s="9"/>
      <c r="CC118" s="9"/>
      <c r="CD118" s="9"/>
      <c r="CE118" s="9"/>
      <c r="CF118" s="9"/>
      <c r="CG118" s="9"/>
      <c r="CH118" s="9"/>
      <c r="CI118" s="9"/>
      <c r="CJ118" s="9"/>
      <c r="CK118" s="9"/>
    </row>
    <row r="119" spans="1:89" s="8" customFormat="1" ht="12.6" customHeight="1" x14ac:dyDescent="0.2">
      <c r="A119" s="56"/>
      <c r="B119" s="1"/>
      <c r="C119" s="16" t="str">
        <f>VLOOKUP(127,Textbausteine_102[],Hilfsgrössen!$D$2,FALSE)</f>
        <v>Volume de fonds</v>
      </c>
      <c r="D119" s="1" t="str">
        <f>VLOOKUP(22,Textbausteine_102[],Hilfsgrössen!$D$2,FALSE)</f>
        <v>Millions de CHF</v>
      </c>
      <c r="E119" s="9">
        <v>13</v>
      </c>
      <c r="F119" s="94" t="s">
        <v>3167</v>
      </c>
      <c r="G119" s="267"/>
      <c r="H119" s="80" t="s">
        <v>29</v>
      </c>
      <c r="I119" s="80" t="s">
        <v>29</v>
      </c>
      <c r="J119" s="80" t="s">
        <v>29</v>
      </c>
      <c r="K119" s="80" t="s">
        <v>29</v>
      </c>
      <c r="L119" s="80" t="s">
        <v>29</v>
      </c>
      <c r="M119" s="80" t="s">
        <v>29</v>
      </c>
      <c r="N119" s="80" t="s">
        <v>29</v>
      </c>
      <c r="O119" s="80" t="s">
        <v>29</v>
      </c>
      <c r="P119" s="80" t="s">
        <v>29</v>
      </c>
      <c r="Q119" s="80" t="s">
        <v>29</v>
      </c>
      <c r="R119" s="80" t="s">
        <v>29</v>
      </c>
      <c r="S119" s="80" t="s">
        <v>29</v>
      </c>
      <c r="T119" s="80" t="s">
        <v>29</v>
      </c>
      <c r="U119" s="80" t="s">
        <v>29</v>
      </c>
      <c r="V119" s="80" t="s">
        <v>29</v>
      </c>
      <c r="W119" s="80" t="s">
        <v>29</v>
      </c>
      <c r="X119" s="269">
        <v>6571.6940000000004</v>
      </c>
      <c r="Y119">
        <v>8360</v>
      </c>
      <c r="Z119">
        <v>7345</v>
      </c>
      <c r="AA119" s="349"/>
      <c r="AB119" s="9"/>
      <c r="AC119" s="9"/>
      <c r="AD119" s="9"/>
      <c r="AE119" s="9"/>
      <c r="AF119" s="9"/>
      <c r="AG119" s="9"/>
      <c r="AH119" s="9"/>
      <c r="AI119" s="9"/>
      <c r="AJ119" s="9"/>
      <c r="AK119" s="9"/>
      <c r="AL119" s="9"/>
      <c r="AM119" s="9"/>
      <c r="AN119" s="9"/>
      <c r="AO119" s="9"/>
      <c r="AP119" s="9"/>
      <c r="AQ119" s="9"/>
      <c r="AR119" s="9"/>
      <c r="AS119" s="9"/>
      <c r="AT119" s="9"/>
      <c r="AU119" s="9"/>
      <c r="AV119" s="9"/>
      <c r="AW119" s="9"/>
      <c r="AX119" s="9"/>
      <c r="AY119" s="9"/>
      <c r="AZ119" s="9"/>
      <c r="BA119" s="9"/>
      <c r="BB119" s="9"/>
      <c r="BC119" s="9"/>
      <c r="BD119" s="9"/>
      <c r="BE119" s="9"/>
      <c r="BF119" s="9"/>
      <c r="BG119" s="9"/>
      <c r="BH119" s="9"/>
      <c r="BI119" s="9"/>
      <c r="BJ119" s="9"/>
      <c r="BK119" s="9"/>
      <c r="BL119" s="9"/>
      <c r="BM119" s="9"/>
      <c r="BN119" s="9"/>
      <c r="BO119" s="9"/>
      <c r="BP119" s="9"/>
      <c r="BQ119" s="9"/>
      <c r="BR119" s="9"/>
      <c r="BS119" s="9"/>
      <c r="BT119" s="9"/>
      <c r="BU119" s="9"/>
      <c r="BV119" s="9"/>
      <c r="BW119" s="9"/>
      <c r="BX119" s="9"/>
      <c r="BY119" s="9"/>
      <c r="BZ119" s="9"/>
      <c r="CA119" s="9"/>
      <c r="CB119" s="9"/>
      <c r="CC119" s="9"/>
      <c r="CD119" s="9"/>
      <c r="CE119" s="9"/>
      <c r="CF119" s="9"/>
      <c r="CG119" s="9"/>
      <c r="CH119" s="9"/>
      <c r="CI119" s="9"/>
      <c r="CJ119" s="9"/>
      <c r="CK119" s="9"/>
    </row>
    <row r="120" spans="1:89" s="8" customFormat="1" ht="12.6" customHeight="1" x14ac:dyDescent="0.2">
      <c r="A120" s="56"/>
      <c r="B120" s="1"/>
      <c r="C120" s="8" t="str">
        <f>VLOOKUP(103,Textbausteine_102[],Hilfsgrössen!$D$2,FALSE)</f>
        <v>Volume des prêts clients commerciaux</v>
      </c>
      <c r="D120" s="1" t="str">
        <f>VLOOKUP(22,Textbausteine_102[],Hilfsgrössen!$D$2,FALSE)</f>
        <v>Millions de CHF</v>
      </c>
      <c r="E120" s="148" t="s">
        <v>2922</v>
      </c>
      <c r="F120" s="94" t="s">
        <v>3167</v>
      </c>
      <c r="G120" s="267"/>
      <c r="H120" s="80" t="s">
        <v>29</v>
      </c>
      <c r="I120" s="81">
        <v>2106</v>
      </c>
      <c r="J120" s="81">
        <v>2649</v>
      </c>
      <c r="K120" s="81">
        <v>3160</v>
      </c>
      <c r="L120" s="81">
        <v>4313</v>
      </c>
      <c r="M120" s="81">
        <v>5423</v>
      </c>
      <c r="N120" s="91">
        <v>6134</v>
      </c>
      <c r="O120" s="91">
        <v>6842</v>
      </c>
      <c r="P120" s="91">
        <v>6514.2359330000008</v>
      </c>
      <c r="Q120" s="91">
        <v>7271</v>
      </c>
      <c r="R120" s="91">
        <v>8165</v>
      </c>
      <c r="S120" s="91">
        <v>9063</v>
      </c>
      <c r="T120" s="9">
        <v>9894</v>
      </c>
      <c r="U120" s="9">
        <v>10185</v>
      </c>
      <c r="V120" s="9">
        <v>9880</v>
      </c>
      <c r="W120" s="9">
        <v>10123</v>
      </c>
      <c r="X120" s="269">
        <v>10498</v>
      </c>
      <c r="Y120">
        <v>10499</v>
      </c>
      <c r="Z120">
        <v>10402</v>
      </c>
      <c r="AA120" s="349"/>
      <c r="AB120" s="9"/>
      <c r="AC120" s="9"/>
      <c r="AD120" s="9"/>
      <c r="AE120" s="9"/>
      <c r="AF120" s="9"/>
      <c r="AG120" s="9"/>
      <c r="AH120" s="9"/>
      <c r="AI120" s="9"/>
      <c r="AJ120" s="9"/>
      <c r="AK120" s="9"/>
      <c r="AL120" s="9"/>
      <c r="AM120" s="9"/>
      <c r="AN120" s="9"/>
      <c r="AO120" s="9"/>
      <c r="AP120" s="9"/>
      <c r="AQ120" s="9"/>
      <c r="AR120" s="9"/>
      <c r="AS120" s="9"/>
      <c r="AT120" s="9"/>
      <c r="AU120" s="9"/>
      <c r="AV120" s="9"/>
      <c r="AW120" s="9"/>
      <c r="AX120" s="9"/>
      <c r="AY120" s="9"/>
      <c r="AZ120" s="9"/>
      <c r="BA120" s="9"/>
      <c r="BB120" s="9"/>
      <c r="BC120" s="9"/>
      <c r="BD120" s="9"/>
      <c r="BE120" s="9"/>
      <c r="BF120" s="9"/>
      <c r="BG120" s="9"/>
      <c r="BH120" s="9"/>
      <c r="BI120" s="9"/>
      <c r="BJ120" s="9"/>
      <c r="BK120" s="9"/>
      <c r="BL120" s="9"/>
      <c r="BM120" s="9"/>
      <c r="BN120" s="9"/>
      <c r="BO120" s="9"/>
      <c r="BP120" s="9"/>
      <c r="BQ120" s="9"/>
      <c r="BR120" s="9"/>
      <c r="BS120" s="9"/>
      <c r="BT120" s="9"/>
      <c r="BU120" s="9"/>
      <c r="BV120" s="9"/>
      <c r="BW120" s="9"/>
      <c r="BX120" s="9"/>
      <c r="BY120" s="9"/>
      <c r="BZ120" s="9"/>
      <c r="CA120" s="9"/>
      <c r="CB120" s="9"/>
      <c r="CC120" s="9"/>
      <c r="CD120" s="9"/>
      <c r="CE120" s="9"/>
      <c r="CF120" s="9"/>
      <c r="CG120" s="9"/>
      <c r="CH120" s="9"/>
      <c r="CI120" s="9"/>
      <c r="CJ120" s="9"/>
      <c r="CK120" s="9"/>
    </row>
    <row r="121" spans="1:89" s="8" customFormat="1" ht="12.6" customHeight="1" x14ac:dyDescent="0.2">
      <c r="A121" s="56"/>
      <c r="B121" s="1"/>
      <c r="C121" s="8" t="str">
        <f>VLOOKUP(104,Textbausteine_102[],Hilfsgrössen!$D$2,FALSE)</f>
        <v>Volume des hypothèques clients privés</v>
      </c>
      <c r="D121" s="1" t="str">
        <f>VLOOKUP(22,Textbausteine_102[],Hilfsgrössen!$D$2,FALSE)</f>
        <v>Millions de CHF</v>
      </c>
      <c r="E121" s="148"/>
      <c r="F121" s="94" t="s">
        <v>3167</v>
      </c>
      <c r="G121" s="34"/>
      <c r="H121" s="80" t="s">
        <v>29</v>
      </c>
      <c r="I121" s="81">
        <v>1440</v>
      </c>
      <c r="J121" s="81">
        <v>1819</v>
      </c>
      <c r="K121" s="81">
        <v>1943.5</v>
      </c>
      <c r="L121" s="81">
        <v>2040</v>
      </c>
      <c r="M121" s="81">
        <v>2673</v>
      </c>
      <c r="N121" s="91">
        <v>3197</v>
      </c>
      <c r="O121" s="91">
        <v>3684</v>
      </c>
      <c r="P121" s="91">
        <v>4166.7325166999999</v>
      </c>
      <c r="Q121" s="91">
        <v>4424</v>
      </c>
      <c r="R121" s="91">
        <v>4713</v>
      </c>
      <c r="S121" s="91">
        <v>5089</v>
      </c>
      <c r="T121" s="9">
        <v>5361</v>
      </c>
      <c r="U121" s="9">
        <v>5650</v>
      </c>
      <c r="V121" s="9">
        <v>5816</v>
      </c>
      <c r="W121" s="9">
        <v>5965</v>
      </c>
      <c r="X121" s="269">
        <v>6039.0159582599999</v>
      </c>
      <c r="Y121" s="313">
        <v>6261.6540848000004</v>
      </c>
      <c r="Z121" s="313">
        <v>6191</v>
      </c>
      <c r="AA121" s="349"/>
      <c r="AB121" s="9"/>
      <c r="AC121" s="9"/>
      <c r="AD121" s="9"/>
      <c r="AE121" s="9"/>
      <c r="AF121" s="9"/>
      <c r="AG121" s="9"/>
      <c r="AH121" s="9"/>
      <c r="AI121" s="9"/>
      <c r="AJ121" s="9"/>
      <c r="AK121" s="9"/>
      <c r="AL121" s="9"/>
      <c r="AM121" s="9"/>
      <c r="AN121" s="9"/>
      <c r="AO121" s="9"/>
      <c r="AP121" s="9"/>
      <c r="AQ121" s="9"/>
      <c r="AR121" s="9"/>
      <c r="AS121" s="9"/>
      <c r="AT121" s="9"/>
      <c r="AU121" s="9"/>
      <c r="AV121" s="9"/>
      <c r="AW121" s="9"/>
      <c r="AX121" s="9"/>
      <c r="AY121" s="9"/>
      <c r="AZ121" s="9"/>
      <c r="BA121" s="9"/>
      <c r="BB121" s="9"/>
      <c r="BC121" s="9"/>
      <c r="BD121" s="9"/>
      <c r="BE121" s="9"/>
      <c r="BF121" s="9"/>
      <c r="BG121" s="9"/>
      <c r="BH121" s="9"/>
      <c r="BI121" s="9"/>
      <c r="BJ121" s="9"/>
      <c r="BK121" s="9"/>
      <c r="BL121" s="9"/>
      <c r="BM121" s="9"/>
      <c r="BN121" s="9"/>
      <c r="BO121" s="9"/>
      <c r="BP121" s="9"/>
      <c r="BQ121" s="9"/>
      <c r="BR121" s="9"/>
      <c r="BS121" s="9"/>
      <c r="BT121" s="9"/>
      <c r="BU121" s="9"/>
      <c r="BV121" s="9"/>
      <c r="BW121" s="9"/>
      <c r="BX121" s="9"/>
      <c r="BY121" s="9"/>
      <c r="BZ121" s="9"/>
      <c r="CA121" s="9"/>
      <c r="CB121" s="9"/>
      <c r="CC121" s="9"/>
      <c r="CD121" s="9"/>
      <c r="CE121" s="9"/>
      <c r="CF121" s="9"/>
      <c r="CG121" s="9"/>
      <c r="CH121" s="9"/>
      <c r="CI121" s="9"/>
      <c r="CJ121" s="9"/>
      <c r="CK121" s="9"/>
    </row>
    <row r="122" spans="1:89" s="8" customFormat="1" ht="12.6" customHeight="1" x14ac:dyDescent="0.2">
      <c r="A122" s="56"/>
      <c r="B122" s="1"/>
      <c r="C122" s="48"/>
      <c r="D122" s="1"/>
      <c r="E122" s="148"/>
      <c r="F122" s="9"/>
      <c r="G122" s="34"/>
      <c r="H122" s="81"/>
      <c r="I122" s="81"/>
      <c r="J122" s="81"/>
      <c r="K122" s="81"/>
      <c r="L122" s="81"/>
      <c r="M122" s="81"/>
      <c r="N122" s="91"/>
      <c r="O122" s="91"/>
      <c r="P122" s="91"/>
      <c r="Q122" s="91"/>
      <c r="R122" s="91"/>
      <c r="S122" s="91"/>
      <c r="T122" s="9"/>
      <c r="U122" s="9"/>
      <c r="V122" s="9"/>
      <c r="W122" s="9"/>
      <c r="X122" s="269"/>
      <c r="Y122" s="9"/>
      <c r="Z122" s="9"/>
      <c r="AA122" s="349"/>
      <c r="AB122" s="9"/>
      <c r="AC122" s="9"/>
      <c r="AD122" s="9"/>
      <c r="AE122" s="9"/>
      <c r="AF122" s="9"/>
      <c r="AG122" s="9"/>
      <c r="AH122" s="9"/>
      <c r="AI122" s="9"/>
      <c r="AJ122" s="9"/>
      <c r="AK122" s="9"/>
      <c r="AL122" s="9"/>
      <c r="AM122" s="9"/>
      <c r="AN122" s="9"/>
      <c r="AO122" s="9"/>
      <c r="AP122" s="9"/>
      <c r="AQ122" s="9"/>
      <c r="AR122" s="9"/>
      <c r="AS122" s="9"/>
      <c r="AT122" s="9"/>
      <c r="AU122" s="9"/>
      <c r="AV122" s="9"/>
      <c r="AW122" s="9"/>
      <c r="AX122" s="9"/>
      <c r="AY122" s="9"/>
      <c r="AZ122" s="9"/>
      <c r="BA122" s="9"/>
      <c r="BB122" s="9"/>
      <c r="BC122" s="9"/>
      <c r="BD122" s="9"/>
      <c r="BE122" s="9"/>
      <c r="BF122" s="9"/>
      <c r="BG122" s="9"/>
      <c r="BH122" s="9"/>
      <c r="BI122" s="9"/>
      <c r="BJ122" s="9"/>
      <c r="BK122" s="9"/>
      <c r="BL122" s="9"/>
      <c r="BM122" s="9"/>
      <c r="BN122" s="9"/>
      <c r="BO122" s="9"/>
      <c r="BP122" s="9"/>
      <c r="BQ122" s="9"/>
      <c r="BR122" s="9"/>
      <c r="BS122" s="9"/>
      <c r="BT122" s="9"/>
      <c r="BU122" s="9"/>
      <c r="BV122" s="9"/>
      <c r="BW122" s="9"/>
      <c r="BX122" s="9"/>
      <c r="BY122" s="9"/>
      <c r="BZ122" s="9"/>
      <c r="CA122" s="9"/>
      <c r="CB122" s="9"/>
      <c r="CC122" s="9"/>
      <c r="CD122" s="9"/>
      <c r="CE122" s="9"/>
      <c r="CF122" s="9"/>
      <c r="CG122" s="9"/>
      <c r="CH122" s="9"/>
      <c r="CI122" s="9"/>
      <c r="CJ122" s="9"/>
      <c r="CK122" s="9"/>
    </row>
    <row r="123" spans="1:89" s="8" customFormat="1" ht="12.6" customHeight="1" x14ac:dyDescent="0.2">
      <c r="A123" s="56"/>
      <c r="B123" s="2" t="str">
        <f>VLOOKUP(55,Textbausteine_Menu[],Hilfsgrössen!$D$2,FALSE)</f>
        <v>Services de mobilité</v>
      </c>
      <c r="D123" s="1"/>
      <c r="E123" s="328">
        <v>17</v>
      </c>
      <c r="F123" s="11"/>
      <c r="G123" s="267"/>
      <c r="H123" s="81"/>
      <c r="I123" s="81"/>
      <c r="J123" s="81"/>
      <c r="K123" s="81"/>
      <c r="L123" s="81"/>
      <c r="M123" s="81"/>
      <c r="N123" s="91"/>
      <c r="O123" s="91"/>
      <c r="P123" s="91"/>
      <c r="Q123" s="91"/>
      <c r="R123" s="91"/>
      <c r="S123" s="91"/>
      <c r="T123" s="9"/>
      <c r="U123" s="9"/>
      <c r="V123" s="9"/>
      <c r="W123" s="9"/>
      <c r="X123" s="269"/>
      <c r="Y123" s="9"/>
      <c r="Z123" s="9"/>
      <c r="AA123" s="349"/>
      <c r="AB123" s="9"/>
      <c r="AC123" s="9"/>
      <c r="AD123" s="9"/>
      <c r="AE123" s="9"/>
      <c r="AF123" s="9"/>
      <c r="AG123" s="9"/>
      <c r="AH123" s="9"/>
      <c r="AI123" s="9"/>
      <c r="AJ123" s="9"/>
      <c r="AK123" s="9"/>
      <c r="AL123" s="9"/>
      <c r="AM123" s="9"/>
      <c r="AN123" s="9"/>
      <c r="AO123" s="9"/>
      <c r="AP123" s="9"/>
      <c r="AQ123" s="9"/>
      <c r="AR123" s="9"/>
      <c r="AS123" s="9"/>
      <c r="AT123" s="9"/>
      <c r="AU123" s="9"/>
      <c r="AV123" s="9"/>
      <c r="AW123" s="9"/>
      <c r="AX123" s="9"/>
      <c r="AY123" s="9"/>
      <c r="AZ123" s="9"/>
      <c r="BA123" s="9"/>
      <c r="BB123" s="9"/>
      <c r="BC123" s="9"/>
      <c r="BD123" s="9"/>
      <c r="BE123" s="9"/>
      <c r="BF123" s="9"/>
      <c r="BG123" s="9"/>
      <c r="BH123" s="9"/>
      <c r="BI123" s="9"/>
      <c r="BJ123" s="9"/>
      <c r="BK123" s="9"/>
      <c r="BL123" s="9"/>
      <c r="BM123" s="9"/>
      <c r="BN123" s="9"/>
      <c r="BO123" s="9"/>
      <c r="BP123" s="9"/>
      <c r="BQ123" s="9"/>
      <c r="BR123" s="9"/>
      <c r="BS123" s="9"/>
      <c r="BT123" s="9"/>
      <c r="BU123" s="9"/>
      <c r="BV123" s="9"/>
      <c r="BW123" s="9"/>
      <c r="BX123" s="9"/>
      <c r="BY123" s="9"/>
      <c r="BZ123" s="9"/>
      <c r="CA123" s="9"/>
      <c r="CB123" s="9"/>
      <c r="CC123" s="9"/>
      <c r="CD123" s="9"/>
      <c r="CE123" s="9"/>
      <c r="CF123" s="9"/>
      <c r="CG123" s="9"/>
      <c r="CH123" s="9"/>
      <c r="CI123" s="9"/>
      <c r="CJ123" s="9"/>
      <c r="CK123" s="9"/>
    </row>
    <row r="124" spans="1:89" s="8" customFormat="1" ht="12.6" customHeight="1" x14ac:dyDescent="0.2">
      <c r="A124" s="56"/>
      <c r="B124" s="1"/>
      <c r="C124" s="1" t="str">
        <f>VLOOKUP(105,Textbausteine_102[],Hilfsgrössen!$D$2,FALSE)</f>
        <v>Nombre de voyageurs (CarPostal)</v>
      </c>
      <c r="D124" s="1" t="str">
        <f>VLOOKUP(24,Textbausteine_102[],Hilfsgrössen!$D$2,FALSE)</f>
        <v>Millions</v>
      </c>
      <c r="E124" s="328">
        <v>7</v>
      </c>
      <c r="F124" s="94" t="s">
        <v>3167</v>
      </c>
      <c r="G124" s="267"/>
      <c r="H124" s="80" t="s">
        <v>29</v>
      </c>
      <c r="I124" s="81">
        <v>105</v>
      </c>
      <c r="J124" s="81">
        <v>106</v>
      </c>
      <c r="K124" s="81">
        <v>111</v>
      </c>
      <c r="L124" s="81">
        <v>115</v>
      </c>
      <c r="M124" s="81">
        <v>118</v>
      </c>
      <c r="N124" s="91">
        <v>121</v>
      </c>
      <c r="O124" s="91">
        <v>124</v>
      </c>
      <c r="P124" s="91">
        <v>133</v>
      </c>
      <c r="Q124" s="91">
        <v>139</v>
      </c>
      <c r="R124" s="91">
        <v>141</v>
      </c>
      <c r="S124" s="91">
        <v>145</v>
      </c>
      <c r="T124" s="9">
        <v>152</v>
      </c>
      <c r="U124" s="9">
        <v>154.6</v>
      </c>
      <c r="V124" s="9">
        <v>155.5</v>
      </c>
      <c r="W124" s="9">
        <v>167</v>
      </c>
      <c r="X124" s="269">
        <v>127</v>
      </c>
      <c r="Y124" s="9">
        <v>135</v>
      </c>
      <c r="Z124" s="9">
        <v>156</v>
      </c>
      <c r="AA124" s="349"/>
      <c r="AB124" s="328"/>
      <c r="AC124" s="328"/>
      <c r="AD124" s="328"/>
      <c r="AE124" s="9"/>
      <c r="AF124" s="9"/>
      <c r="AG124" s="9"/>
      <c r="AH124" s="9"/>
      <c r="AI124" s="9"/>
      <c r="AJ124" s="9"/>
      <c r="AK124" s="9"/>
      <c r="AL124" s="9"/>
      <c r="AM124" s="9"/>
      <c r="AN124" s="9"/>
      <c r="AO124" s="9"/>
      <c r="AP124" s="9"/>
      <c r="AQ124" s="9"/>
      <c r="AR124" s="9"/>
      <c r="AS124" s="9"/>
      <c r="AT124" s="9"/>
      <c r="AU124" s="9"/>
      <c r="AV124" s="9"/>
      <c r="AW124" s="9"/>
      <c r="AX124" s="9"/>
      <c r="AY124" s="9"/>
      <c r="AZ124" s="9"/>
      <c r="BA124" s="9"/>
      <c r="BB124" s="9"/>
      <c r="BC124" s="9"/>
      <c r="BD124" s="9"/>
      <c r="BE124" s="9"/>
      <c r="BF124" s="9"/>
      <c r="BG124" s="9"/>
      <c r="BH124" s="9"/>
      <c r="BI124" s="9"/>
      <c r="BJ124" s="9"/>
      <c r="BK124" s="9"/>
      <c r="BL124" s="9"/>
      <c r="BM124" s="9"/>
      <c r="BN124" s="9"/>
      <c r="BO124" s="9"/>
      <c r="BP124" s="9"/>
      <c r="BQ124" s="9"/>
      <c r="BR124" s="9"/>
      <c r="BS124" s="9"/>
      <c r="BT124" s="9"/>
      <c r="BU124" s="9"/>
      <c r="BV124" s="9"/>
      <c r="BW124" s="9"/>
      <c r="BX124" s="9"/>
      <c r="BY124" s="9"/>
      <c r="BZ124" s="9"/>
      <c r="CA124" s="9"/>
      <c r="CB124" s="9"/>
      <c r="CC124" s="9"/>
      <c r="CD124" s="9"/>
      <c r="CE124" s="9"/>
      <c r="CF124" s="9"/>
      <c r="CG124" s="9"/>
      <c r="CH124" s="9"/>
      <c r="CI124" s="9"/>
      <c r="CJ124" s="9"/>
      <c r="CK124" s="9"/>
    </row>
    <row r="125" spans="1:89" s="8" customFormat="1" ht="12.6" customHeight="1" x14ac:dyDescent="0.2">
      <c r="A125" s="56"/>
      <c r="B125" s="1"/>
      <c r="C125" s="8" t="str">
        <f>VLOOKUP(106,Textbausteine_102[],Hilfsgrössen!$D$2,FALSE)</f>
        <v>Prestation annuelle (CarPostal)</v>
      </c>
      <c r="D125" s="1" t="str">
        <f>VLOOKUP(27,Textbausteine_102[],Hilfsgrössen!$D$2,FALSE)</f>
        <v>Millions de kilomètres</v>
      </c>
      <c r="E125" s="328">
        <v>26</v>
      </c>
      <c r="F125" s="94" t="s">
        <v>3167</v>
      </c>
      <c r="G125" s="34"/>
      <c r="H125" s="80" t="s">
        <v>29</v>
      </c>
      <c r="I125" s="81">
        <v>94</v>
      </c>
      <c r="J125" s="81">
        <v>91</v>
      </c>
      <c r="K125" s="81">
        <v>89</v>
      </c>
      <c r="L125" s="81">
        <v>94</v>
      </c>
      <c r="M125" s="81">
        <v>98</v>
      </c>
      <c r="N125" s="91">
        <v>103</v>
      </c>
      <c r="O125" s="91">
        <v>104</v>
      </c>
      <c r="P125" s="91">
        <v>107</v>
      </c>
      <c r="Q125" s="91">
        <v>108</v>
      </c>
      <c r="R125" s="91">
        <v>110</v>
      </c>
      <c r="S125" s="91">
        <v>113</v>
      </c>
      <c r="T125" s="9">
        <v>117</v>
      </c>
      <c r="U125" s="9">
        <v>119</v>
      </c>
      <c r="V125" s="9">
        <v>119.95769799999999</v>
      </c>
      <c r="W125" s="9">
        <v>124</v>
      </c>
      <c r="X125" s="269">
        <v>121</v>
      </c>
      <c r="Y125" s="9">
        <v>132</v>
      </c>
      <c r="Z125" s="9">
        <v>133.69999999999999</v>
      </c>
      <c r="AA125" s="349"/>
      <c r="AB125" s="9"/>
      <c r="AC125" s="9"/>
      <c r="AD125" s="9"/>
      <c r="AE125" s="9"/>
      <c r="AF125" s="9"/>
      <c r="AG125" s="9"/>
      <c r="AH125" s="9"/>
      <c r="AI125" s="9"/>
      <c r="AJ125" s="9"/>
      <c r="AK125" s="9"/>
      <c r="AL125" s="9"/>
      <c r="AM125" s="9"/>
      <c r="AN125" s="9"/>
      <c r="AO125" s="9"/>
      <c r="AP125" s="9"/>
      <c r="AQ125" s="9"/>
      <c r="AR125" s="9"/>
      <c r="AS125" s="9"/>
      <c r="AT125" s="9"/>
      <c r="AU125" s="9"/>
      <c r="AV125" s="9"/>
      <c r="AW125" s="9"/>
      <c r="AX125" s="9"/>
      <c r="AY125" s="9"/>
      <c r="AZ125" s="9"/>
      <c r="BA125" s="9"/>
      <c r="BB125" s="9"/>
      <c r="BC125" s="9"/>
      <c r="BD125" s="9"/>
      <c r="BE125" s="9"/>
      <c r="BF125" s="9"/>
      <c r="BG125" s="9"/>
      <c r="BH125" s="9"/>
      <c r="BI125" s="9"/>
      <c r="BJ125" s="9"/>
      <c r="BK125" s="9"/>
      <c r="BL125" s="9"/>
      <c r="BM125" s="9"/>
      <c r="BN125" s="9"/>
      <c r="BO125" s="9"/>
      <c r="BP125" s="9"/>
      <c r="BQ125" s="9"/>
      <c r="BR125" s="9"/>
      <c r="BS125" s="9"/>
      <c r="BT125" s="9"/>
      <c r="BU125" s="9"/>
      <c r="BV125" s="9"/>
      <c r="BW125" s="9"/>
      <c r="BX125" s="9"/>
      <c r="BY125" s="9"/>
      <c r="BZ125" s="9"/>
      <c r="CA125" s="9"/>
      <c r="CB125" s="9"/>
      <c r="CC125" s="9"/>
      <c r="CD125" s="9"/>
      <c r="CE125" s="9"/>
      <c r="CF125" s="9"/>
      <c r="CG125" s="9"/>
      <c r="CH125" s="9"/>
      <c r="CI125" s="9"/>
      <c r="CJ125" s="9"/>
      <c r="CK125" s="9"/>
    </row>
    <row r="126" spans="1:89" s="8" customFormat="1" ht="12.6" customHeight="1" x14ac:dyDescent="0.2">
      <c r="A126" s="56"/>
      <c r="B126" s="1"/>
      <c r="C126" s="8" t="str">
        <f>VLOOKUP(107,Textbausteine_102[],Hilfsgrössen!$D$2,FALSE)</f>
        <v>Véhicules (CarPostal)</v>
      </c>
      <c r="D126" s="1" t="str">
        <f>VLOOKUP(33,Textbausteine_102[],Hilfsgrössen!$D$2,FALSE)</f>
        <v>Nombre par an</v>
      </c>
      <c r="E126" s="338"/>
      <c r="F126" s="94" t="s">
        <v>3167</v>
      </c>
      <c r="G126" s="34"/>
      <c r="H126" s="80" t="s">
        <v>29</v>
      </c>
      <c r="I126" s="81">
        <v>2029</v>
      </c>
      <c r="J126" s="81">
        <v>1953</v>
      </c>
      <c r="K126" s="81">
        <v>1909</v>
      </c>
      <c r="L126" s="81">
        <v>1989</v>
      </c>
      <c r="M126" s="81">
        <v>2066</v>
      </c>
      <c r="N126" s="91">
        <v>2103</v>
      </c>
      <c r="O126" s="91">
        <v>2145</v>
      </c>
      <c r="P126" s="91">
        <v>2157</v>
      </c>
      <c r="Q126" s="91">
        <v>2219</v>
      </c>
      <c r="R126" s="91">
        <v>2193</v>
      </c>
      <c r="S126" s="91">
        <v>2238</v>
      </c>
      <c r="T126" s="9">
        <v>2242</v>
      </c>
      <c r="U126" s="9">
        <v>2311</v>
      </c>
      <c r="V126" s="9">
        <v>2412</v>
      </c>
      <c r="W126" s="9">
        <v>2403</v>
      </c>
      <c r="X126" s="247">
        <v>2443</v>
      </c>
      <c r="Y126" s="9">
        <v>2370</v>
      </c>
      <c r="Z126" s="9">
        <v>2279</v>
      </c>
      <c r="AA126" s="349"/>
      <c r="AB126" s="9"/>
      <c r="AC126" s="9"/>
      <c r="AD126" s="9"/>
      <c r="AE126" s="9"/>
      <c r="AF126" s="9"/>
      <c r="AG126" s="9"/>
      <c r="AH126" s="9"/>
      <c r="AI126" s="9"/>
      <c r="AJ126" s="9"/>
      <c r="AK126" s="9"/>
      <c r="AL126" s="9"/>
      <c r="AM126" s="9"/>
      <c r="AN126" s="9"/>
      <c r="AO126" s="9"/>
      <c r="AP126" s="9"/>
      <c r="AQ126" s="9"/>
      <c r="AR126" s="9"/>
      <c r="AS126" s="9"/>
      <c r="AT126" s="9"/>
      <c r="AU126" s="9"/>
      <c r="AV126" s="9"/>
      <c r="AW126" s="9"/>
      <c r="AX126" s="9"/>
      <c r="AY126" s="9"/>
      <c r="AZ126" s="9"/>
      <c r="BA126" s="9"/>
      <c r="BB126" s="9"/>
      <c r="BC126" s="9"/>
      <c r="BD126" s="9"/>
      <c r="BE126" s="9"/>
      <c r="BF126" s="9"/>
      <c r="BG126" s="9"/>
      <c r="BH126" s="9"/>
      <c r="BI126" s="9"/>
      <c r="BJ126" s="9"/>
      <c r="BK126" s="9"/>
      <c r="BL126" s="9"/>
      <c r="BM126" s="9"/>
      <c r="BN126" s="9"/>
      <c r="BO126" s="9"/>
      <c r="BP126" s="9"/>
      <c r="BQ126" s="9"/>
      <c r="BR126" s="9"/>
      <c r="BS126" s="9"/>
      <c r="BT126" s="9"/>
      <c r="BU126" s="9"/>
      <c r="BV126" s="9"/>
      <c r="BW126" s="9"/>
      <c r="BX126" s="9"/>
      <c r="BY126" s="9"/>
      <c r="BZ126" s="9"/>
      <c r="CA126" s="9"/>
      <c r="CB126" s="9"/>
      <c r="CC126" s="9"/>
      <c r="CD126" s="9"/>
      <c r="CE126" s="9"/>
      <c r="CF126" s="9"/>
      <c r="CG126" s="9"/>
      <c r="CH126" s="9"/>
      <c r="CI126" s="9"/>
      <c r="CJ126" s="9"/>
      <c r="CK126" s="9"/>
    </row>
    <row r="127" spans="1:89" s="8" customFormat="1" ht="12.6" customHeight="1" x14ac:dyDescent="0.2">
      <c r="A127" s="56"/>
      <c r="B127" s="1"/>
      <c r="C127" s="8" t="str">
        <f>VLOOKUP(108,Textbausteine_102[],Hilfsgrössen!$D$2,FALSE)</f>
        <v>Réseau (CarPostal)</v>
      </c>
      <c r="D127" s="1" t="str">
        <f>VLOOKUP(29,Textbausteine_102[],Hilfsgrössen!$D$2,FALSE)</f>
        <v>Kilomètres</v>
      </c>
      <c r="E127" s="338" t="s">
        <v>2923</v>
      </c>
      <c r="F127" s="94" t="s">
        <v>3167</v>
      </c>
      <c r="G127" s="34"/>
      <c r="H127" s="80" t="s">
        <v>29</v>
      </c>
      <c r="I127" s="99">
        <v>10450</v>
      </c>
      <c r="J127" s="99">
        <v>9805</v>
      </c>
      <c r="K127" s="99">
        <v>9827</v>
      </c>
      <c r="L127" s="99">
        <v>10345</v>
      </c>
      <c r="M127" s="99">
        <v>10429</v>
      </c>
      <c r="N127" s="91">
        <v>11007</v>
      </c>
      <c r="O127" s="91">
        <v>11102</v>
      </c>
      <c r="P127" s="91">
        <v>11350</v>
      </c>
      <c r="Q127" s="91">
        <v>11674</v>
      </c>
      <c r="R127" s="91">
        <v>11869</v>
      </c>
      <c r="S127" s="91">
        <v>11982</v>
      </c>
      <c r="T127" s="9">
        <v>12076</v>
      </c>
      <c r="U127" s="9">
        <v>12159</v>
      </c>
      <c r="V127" s="9">
        <v>12718.924999999999</v>
      </c>
      <c r="W127" s="9">
        <v>16055</v>
      </c>
      <c r="X127" s="247">
        <v>16865</v>
      </c>
      <c r="Y127" s="9">
        <v>18026</v>
      </c>
      <c r="Z127" s="9">
        <v>18191</v>
      </c>
      <c r="AA127" s="349"/>
      <c r="AB127" s="9"/>
      <c r="AC127" s="9"/>
      <c r="AD127" s="9"/>
      <c r="AE127" s="9"/>
      <c r="AF127" s="9"/>
      <c r="AG127" s="9"/>
      <c r="AH127" s="9"/>
      <c r="AI127" s="9"/>
      <c r="AJ127" s="9"/>
      <c r="AK127" s="9"/>
      <c r="AL127" s="9"/>
      <c r="AM127" s="9"/>
      <c r="AN127" s="9"/>
      <c r="AO127" s="9"/>
      <c r="AP127" s="9"/>
      <c r="AQ127" s="9"/>
      <c r="AR127" s="9"/>
      <c r="AS127" s="9"/>
      <c r="AT127" s="9"/>
      <c r="AU127" s="9"/>
      <c r="AV127" s="9"/>
      <c r="AW127" s="9"/>
      <c r="AX127" s="9"/>
      <c r="AY127" s="9"/>
      <c r="AZ127" s="9"/>
      <c r="BA127" s="9"/>
      <c r="BB127" s="9"/>
      <c r="BC127" s="9"/>
      <c r="BD127" s="9"/>
      <c r="BE127" s="9"/>
      <c r="BF127" s="9"/>
      <c r="BG127" s="9"/>
      <c r="BH127" s="9"/>
      <c r="BI127" s="9"/>
      <c r="BJ127" s="9"/>
      <c r="BK127" s="9"/>
      <c r="BL127" s="9"/>
      <c r="BM127" s="9"/>
      <c r="BN127" s="9"/>
      <c r="BO127" s="9"/>
      <c r="BP127" s="9"/>
      <c r="BQ127" s="9"/>
      <c r="BR127" s="9"/>
      <c r="BS127" s="9"/>
      <c r="BT127" s="9"/>
      <c r="BU127" s="9"/>
      <c r="BV127" s="9"/>
      <c r="BW127" s="9"/>
      <c r="BX127" s="9"/>
      <c r="BY127" s="9"/>
      <c r="BZ127" s="9"/>
      <c r="CA127" s="9"/>
      <c r="CB127" s="9"/>
      <c r="CC127" s="9"/>
      <c r="CD127" s="9"/>
      <c r="CE127" s="9"/>
      <c r="CF127" s="9"/>
      <c r="CG127" s="9"/>
      <c r="CH127" s="9"/>
      <c r="CI127" s="9"/>
      <c r="CJ127" s="9"/>
      <c r="CK127" s="9"/>
    </row>
    <row r="128" spans="1:89" s="8" customFormat="1" ht="12.6" customHeight="1" x14ac:dyDescent="0.2">
      <c r="A128" s="56"/>
      <c r="B128" s="1"/>
      <c r="C128" s="8" t="s">
        <v>36</v>
      </c>
      <c r="D128" s="1" t="str">
        <f>VLOOKUP(29,Textbausteine_102[],Hilfsgrössen!$D$2,FALSE)</f>
        <v>Kilomètres</v>
      </c>
      <c r="E128" s="338" t="s">
        <v>2924</v>
      </c>
      <c r="F128" s="94" t="s">
        <v>3167</v>
      </c>
      <c r="G128" s="34"/>
      <c r="H128" s="80" t="s">
        <v>29</v>
      </c>
      <c r="I128" s="80" t="s">
        <v>29</v>
      </c>
      <c r="J128" s="80" t="s">
        <v>29</v>
      </c>
      <c r="K128" s="80" t="s">
        <v>29</v>
      </c>
      <c r="L128" s="80" t="s">
        <v>29</v>
      </c>
      <c r="M128" s="80" t="s">
        <v>29</v>
      </c>
      <c r="N128" s="80" t="s">
        <v>29</v>
      </c>
      <c r="O128" s="80" t="s">
        <v>29</v>
      </c>
      <c r="P128" s="80" t="s">
        <v>29</v>
      </c>
      <c r="Q128" s="80" t="s">
        <v>29</v>
      </c>
      <c r="R128" s="80" t="s">
        <v>29</v>
      </c>
      <c r="S128" s="80" t="s">
        <v>29</v>
      </c>
      <c r="T128" s="80" t="s">
        <v>29</v>
      </c>
      <c r="U128" s="80" t="s">
        <v>29</v>
      </c>
      <c r="V128" s="80" t="s">
        <v>29</v>
      </c>
      <c r="W128">
        <v>8</v>
      </c>
      <c r="X128">
        <v>8</v>
      </c>
      <c r="Y128" s="9">
        <v>8</v>
      </c>
      <c r="Z128" s="9" t="s">
        <v>37</v>
      </c>
      <c r="AA128" s="349"/>
      <c r="AB128" s="9"/>
      <c r="AC128" s="9"/>
      <c r="AD128" s="9"/>
      <c r="AE128" s="9"/>
      <c r="AF128" s="9"/>
      <c r="AG128" s="9"/>
      <c r="AH128" s="9"/>
      <c r="AI128" s="9"/>
      <c r="AJ128" s="9"/>
      <c r="AK128" s="9"/>
      <c r="AL128" s="9"/>
      <c r="AM128" s="9"/>
      <c r="AN128" s="9"/>
      <c r="AO128" s="9"/>
      <c r="AP128" s="9"/>
      <c r="AQ128" s="9"/>
      <c r="AR128" s="9"/>
      <c r="AS128" s="9"/>
      <c r="AT128" s="9"/>
      <c r="AU128" s="9"/>
      <c r="AV128" s="9"/>
      <c r="AW128" s="9"/>
      <c r="AX128" s="9"/>
      <c r="AY128" s="9"/>
      <c r="AZ128" s="9"/>
      <c r="BA128" s="9"/>
      <c r="BB128" s="9"/>
      <c r="BC128" s="9"/>
      <c r="BD128" s="9"/>
      <c r="BE128" s="9"/>
      <c r="BF128" s="9"/>
      <c r="BG128" s="9"/>
      <c r="BH128" s="9"/>
      <c r="BI128" s="9"/>
      <c r="BJ128" s="9"/>
      <c r="BK128" s="9"/>
      <c r="BL128" s="9"/>
      <c r="BM128" s="9"/>
      <c r="BN128" s="9"/>
      <c r="BO128" s="9"/>
      <c r="BP128" s="9"/>
      <c r="BQ128" s="9"/>
      <c r="BR128" s="9"/>
      <c r="BS128" s="9"/>
      <c r="BT128" s="9"/>
      <c r="BU128" s="9"/>
      <c r="BV128" s="9"/>
      <c r="BW128" s="9"/>
      <c r="BX128" s="9"/>
      <c r="BY128" s="9"/>
      <c r="BZ128" s="9"/>
      <c r="CA128" s="9"/>
      <c r="CB128" s="9"/>
      <c r="CC128" s="9"/>
      <c r="CD128" s="9"/>
      <c r="CE128" s="9"/>
      <c r="CF128" s="9"/>
      <c r="CG128" s="9"/>
      <c r="CH128" s="9"/>
      <c r="CI128" s="9"/>
      <c r="CJ128" s="9"/>
      <c r="CK128" s="9"/>
    </row>
    <row r="129" spans="1:89" s="8" customFormat="1" ht="12.6" customHeight="1" x14ac:dyDescent="0.2">
      <c r="A129" s="56"/>
      <c r="B129" s="1"/>
      <c r="C129" s="8" t="s">
        <v>38</v>
      </c>
      <c r="D129" s="1" t="str">
        <f>VLOOKUP(28,Textbausteine_102[],Hilfsgrössen!$D$2,FALSE)</f>
        <v>Nombre</v>
      </c>
      <c r="E129" s="338" t="s">
        <v>2924</v>
      </c>
      <c r="F129" s="94" t="s">
        <v>3167</v>
      </c>
      <c r="G129" s="34"/>
      <c r="H129" s="80" t="s">
        <v>29</v>
      </c>
      <c r="I129" s="80" t="s">
        <v>29</v>
      </c>
      <c r="J129" s="80" t="s">
        <v>29</v>
      </c>
      <c r="K129" s="80" t="s">
        <v>29</v>
      </c>
      <c r="L129" s="80" t="s">
        <v>29</v>
      </c>
      <c r="M129" s="80" t="s">
        <v>29</v>
      </c>
      <c r="N129" s="80" t="s">
        <v>29</v>
      </c>
      <c r="O129" s="80" t="s">
        <v>29</v>
      </c>
      <c r="P129" s="80" t="s">
        <v>29</v>
      </c>
      <c r="Q129" s="80" t="s">
        <v>29</v>
      </c>
      <c r="R129" s="80" t="s">
        <v>29</v>
      </c>
      <c r="S129" s="80" t="s">
        <v>29</v>
      </c>
      <c r="T129" s="80" t="s">
        <v>29</v>
      </c>
      <c r="U129" s="80" t="s">
        <v>29</v>
      </c>
      <c r="V129" s="80" t="s">
        <v>29</v>
      </c>
      <c r="W129">
        <v>5400</v>
      </c>
      <c r="X129">
        <v>5400</v>
      </c>
      <c r="Y129" s="9">
        <v>5400</v>
      </c>
      <c r="Z129" s="9" t="s">
        <v>37</v>
      </c>
      <c r="AA129" s="349"/>
      <c r="AB129" s="9"/>
      <c r="AC129" s="9"/>
      <c r="AD129" s="9"/>
      <c r="AE129" s="9"/>
      <c r="AF129" s="9"/>
      <c r="AG129" s="9"/>
      <c r="AH129" s="9"/>
      <c r="AI129" s="9"/>
      <c r="AJ129" s="9"/>
      <c r="AK129" s="9"/>
      <c r="AL129" s="9"/>
      <c r="AM129" s="9"/>
      <c r="AN129" s="9"/>
      <c r="AO129" s="9"/>
      <c r="AP129" s="9"/>
      <c r="AQ129" s="9"/>
      <c r="AR129" s="9"/>
      <c r="AS129" s="9"/>
      <c r="AT129" s="9"/>
      <c r="AU129" s="9"/>
      <c r="AV129" s="9"/>
      <c r="AW129" s="9"/>
      <c r="AX129" s="9"/>
      <c r="AY129" s="9"/>
      <c r="AZ129" s="9"/>
      <c r="BA129" s="9"/>
      <c r="BB129" s="9"/>
      <c r="BC129" s="9"/>
      <c r="BD129" s="9"/>
      <c r="BE129" s="9"/>
      <c r="BF129" s="9"/>
      <c r="BG129" s="9"/>
      <c r="BH129" s="9"/>
      <c r="BI129" s="9"/>
      <c r="BJ129" s="9"/>
      <c r="BK129" s="9"/>
      <c r="BL129" s="9"/>
      <c r="BM129" s="9"/>
      <c r="BN129" s="9"/>
      <c r="BO129" s="9"/>
      <c r="BP129" s="9"/>
      <c r="BQ129" s="9"/>
      <c r="BR129" s="9"/>
      <c r="BS129" s="9"/>
      <c r="BT129" s="9"/>
      <c r="BU129" s="9"/>
      <c r="BV129" s="9"/>
      <c r="BW129" s="9"/>
      <c r="BX129" s="9"/>
      <c r="BY129" s="9"/>
      <c r="BZ129" s="9"/>
      <c r="CA129" s="9"/>
      <c r="CB129" s="9"/>
      <c r="CC129" s="9"/>
      <c r="CD129" s="9"/>
      <c r="CE129" s="9"/>
      <c r="CF129" s="9"/>
      <c r="CG129" s="9"/>
      <c r="CH129" s="9"/>
      <c r="CI129" s="9"/>
      <c r="CJ129" s="9"/>
      <c r="CK129" s="9"/>
    </row>
    <row r="130" spans="1:89" s="8" customFormat="1" ht="12.6" customHeight="1" x14ac:dyDescent="0.2">
      <c r="A130" s="56"/>
      <c r="B130" s="1"/>
      <c r="C130" s="8" t="s">
        <v>39</v>
      </c>
      <c r="D130" s="1" t="str">
        <f>VLOOKUP(28,Textbausteine_102[],Hilfsgrössen!$D$2,FALSE)</f>
        <v>Nombre</v>
      </c>
      <c r="E130" s="338" t="s">
        <v>2924</v>
      </c>
      <c r="F130" s="94" t="s">
        <v>3167</v>
      </c>
      <c r="G130" s="34"/>
      <c r="H130" s="80" t="s">
        <v>2938</v>
      </c>
      <c r="I130" s="80" t="s">
        <v>29</v>
      </c>
      <c r="J130" s="80" t="s">
        <v>29</v>
      </c>
      <c r="K130" s="80" t="s">
        <v>29</v>
      </c>
      <c r="L130" s="80" t="s">
        <v>29</v>
      </c>
      <c r="M130" s="80" t="s">
        <v>29</v>
      </c>
      <c r="N130" s="80" t="s">
        <v>29</v>
      </c>
      <c r="O130" s="80" t="s">
        <v>29</v>
      </c>
      <c r="P130" s="80" t="s">
        <v>29</v>
      </c>
      <c r="Q130" s="80" t="s">
        <v>29</v>
      </c>
      <c r="R130" s="80" t="s">
        <v>29</v>
      </c>
      <c r="S130" s="80" t="s">
        <v>29</v>
      </c>
      <c r="T130" s="80" t="s">
        <v>29</v>
      </c>
      <c r="U130" s="80" t="s">
        <v>29</v>
      </c>
      <c r="V130" s="80" t="s">
        <v>29</v>
      </c>
      <c r="W130">
        <v>2611404</v>
      </c>
      <c r="X130">
        <v>2708923</v>
      </c>
      <c r="Y130" s="9">
        <v>2806080</v>
      </c>
      <c r="Z130" s="9" t="s">
        <v>37</v>
      </c>
      <c r="AA130" s="349"/>
      <c r="AB130" s="9"/>
      <c r="AC130" s="9"/>
      <c r="AD130" s="9"/>
      <c r="AE130" s="9"/>
      <c r="AF130" s="9"/>
      <c r="AG130" s="9"/>
      <c r="AH130" s="9"/>
      <c r="AI130" s="9"/>
      <c r="AJ130" s="9"/>
      <c r="AK130" s="9"/>
      <c r="AL130" s="9"/>
      <c r="AM130" s="9"/>
      <c r="AN130" s="9"/>
      <c r="AO130" s="9"/>
      <c r="AP130" s="9"/>
      <c r="AQ130" s="9"/>
      <c r="AR130" s="9"/>
      <c r="AS130" s="9"/>
      <c r="AT130" s="9"/>
      <c r="AU130" s="9"/>
      <c r="AV130" s="9"/>
      <c r="AW130" s="9"/>
      <c r="AX130" s="9"/>
      <c r="AY130" s="9"/>
      <c r="AZ130" s="9"/>
      <c r="BA130" s="9"/>
      <c r="BB130" s="9"/>
      <c r="BC130" s="9"/>
      <c r="BD130" s="9"/>
      <c r="BE130" s="9"/>
      <c r="BF130" s="9"/>
      <c r="BG130" s="9"/>
      <c r="BH130" s="9"/>
      <c r="BI130" s="9"/>
      <c r="BJ130" s="9"/>
      <c r="BK130" s="9"/>
      <c r="BL130" s="9"/>
      <c r="BM130" s="9"/>
      <c r="BN130" s="9"/>
      <c r="BO130" s="9"/>
      <c r="BP130" s="9"/>
      <c r="BQ130" s="9"/>
      <c r="BR130" s="9"/>
      <c r="BS130" s="9"/>
      <c r="BT130" s="9"/>
      <c r="BU130" s="9"/>
      <c r="BV130" s="9"/>
      <c r="BW130" s="9"/>
      <c r="BX130" s="9"/>
      <c r="BY130" s="9"/>
      <c r="BZ130" s="9"/>
      <c r="CA130" s="9"/>
      <c r="CB130" s="9"/>
      <c r="CC130" s="9"/>
      <c r="CD130" s="9"/>
      <c r="CE130" s="9"/>
      <c r="CF130" s="9"/>
      <c r="CG130" s="9"/>
      <c r="CH130" s="9"/>
      <c r="CI130" s="9"/>
      <c r="CJ130" s="9"/>
      <c r="CK130" s="9"/>
    </row>
    <row r="131" spans="1:89" s="8" customFormat="1" ht="12.6" customHeight="1" x14ac:dyDescent="0.2">
      <c r="A131" s="56"/>
      <c r="B131" s="1"/>
      <c r="C131" s="48"/>
      <c r="D131" s="1"/>
      <c r="E131" s="146"/>
      <c r="F131" s="9"/>
      <c r="G131" s="34"/>
      <c r="H131" s="99"/>
      <c r="I131" s="99"/>
      <c r="J131" s="99"/>
      <c r="K131" s="99"/>
      <c r="L131" s="99"/>
      <c r="M131" s="99"/>
      <c r="N131" s="91"/>
      <c r="O131" s="91"/>
      <c r="P131" s="91"/>
      <c r="Q131" s="91"/>
      <c r="R131" s="91"/>
      <c r="S131" s="91"/>
      <c r="T131" s="9"/>
      <c r="U131" s="9"/>
      <c r="V131" s="9"/>
      <c r="W131" s="9"/>
      <c r="X131" s="9"/>
      <c r="Y131" s="9"/>
      <c r="Z131" s="9"/>
      <c r="AA131" s="349"/>
      <c r="AB131" s="9"/>
      <c r="AC131" s="9"/>
      <c r="AD131" s="9"/>
      <c r="AE131" s="9"/>
      <c r="AF131" s="9"/>
      <c r="AG131" s="9"/>
      <c r="AH131" s="9"/>
      <c r="AI131" s="9"/>
      <c r="AJ131" s="9"/>
      <c r="AK131" s="9"/>
      <c r="AL131" s="9"/>
      <c r="AM131" s="9"/>
      <c r="AN131" s="9"/>
      <c r="AO131" s="9"/>
      <c r="AP131" s="9"/>
      <c r="AQ131" s="9"/>
      <c r="AR131" s="9"/>
      <c r="AS131" s="9"/>
      <c r="AT131" s="9"/>
      <c r="AU131" s="9"/>
      <c r="AV131" s="9"/>
      <c r="AW131" s="9"/>
      <c r="AX131" s="9"/>
      <c r="AY131" s="9"/>
      <c r="AZ131" s="9"/>
      <c r="BA131" s="9"/>
      <c r="BB131" s="9"/>
      <c r="BC131" s="9"/>
      <c r="BD131" s="9"/>
      <c r="BE131" s="9"/>
      <c r="BF131" s="9"/>
      <c r="BG131" s="9"/>
      <c r="BH131" s="9"/>
      <c r="BI131" s="9"/>
      <c r="BJ131" s="9"/>
      <c r="BK131" s="9"/>
      <c r="BL131" s="9"/>
      <c r="BM131" s="9"/>
      <c r="BN131" s="9"/>
      <c r="BO131" s="9"/>
      <c r="BP131" s="9"/>
      <c r="BQ131" s="9"/>
      <c r="BR131" s="9"/>
      <c r="BS131" s="9"/>
      <c r="BT131" s="9"/>
      <c r="BU131" s="9"/>
      <c r="BV131" s="9"/>
      <c r="BW131" s="9"/>
      <c r="BX131" s="9"/>
      <c r="BY131" s="9"/>
      <c r="BZ131" s="9"/>
      <c r="CA131" s="9"/>
      <c r="CB131" s="9"/>
      <c r="CC131" s="9"/>
      <c r="CD131" s="9"/>
      <c r="CE131" s="9"/>
      <c r="CF131" s="9"/>
      <c r="CG131" s="9"/>
      <c r="CH131" s="9"/>
      <c r="CI131" s="9"/>
      <c r="CJ131" s="9"/>
      <c r="CK131" s="9"/>
    </row>
    <row r="132" spans="1:89" s="8" customFormat="1" ht="12.6" customHeight="1" x14ac:dyDescent="0.2">
      <c r="A132" s="56"/>
      <c r="B132" s="2" t="str">
        <f>VLOOKUP(53,Textbausteine_Menu[],Hilfsgrössen!$D$2,FALSE)</f>
        <v>Immobilier</v>
      </c>
      <c r="D132" s="1"/>
      <c r="E132" s="150"/>
      <c r="F132" s="11"/>
      <c r="G132" s="267"/>
      <c r="H132" s="81"/>
      <c r="I132" s="81"/>
      <c r="J132" s="81"/>
      <c r="K132" s="81"/>
      <c r="L132" s="81"/>
      <c r="M132" s="81"/>
      <c r="N132" s="91"/>
      <c r="O132" s="91"/>
      <c r="P132" s="91"/>
      <c r="Q132" s="91"/>
      <c r="R132" s="91"/>
      <c r="S132" s="91"/>
      <c r="T132" s="9"/>
      <c r="U132" s="9"/>
      <c r="V132" s="9"/>
      <c r="W132" s="9"/>
      <c r="X132" s="269"/>
      <c r="Y132" s="9"/>
      <c r="Z132" s="9"/>
      <c r="AA132" s="349"/>
      <c r="AB132" s="9"/>
      <c r="AC132" s="9"/>
      <c r="AD132" s="9"/>
      <c r="AE132" s="9"/>
      <c r="AF132" s="9"/>
      <c r="AG132" s="9"/>
      <c r="AH132" s="9"/>
      <c r="AI132" s="9"/>
      <c r="AJ132" s="9"/>
      <c r="AK132" s="9"/>
      <c r="AL132" s="9"/>
      <c r="AM132" s="9"/>
      <c r="AN132" s="9"/>
      <c r="AO132" s="9"/>
      <c r="AP132" s="9"/>
      <c r="AQ132" s="9"/>
      <c r="AR132" s="9"/>
      <c r="AS132" s="9"/>
      <c r="AT132" s="9"/>
      <c r="AU132" s="9"/>
      <c r="AV132" s="9"/>
      <c r="AW132" s="9"/>
      <c r="AX132" s="9"/>
      <c r="AY132" s="9"/>
      <c r="AZ132" s="9"/>
      <c r="BA132" s="9"/>
      <c r="BB132" s="9"/>
      <c r="BC132" s="9"/>
      <c r="BD132" s="9"/>
      <c r="BE132" s="9"/>
      <c r="BF132" s="9"/>
      <c r="BG132" s="9"/>
      <c r="BH132" s="9"/>
      <c r="BI132" s="9"/>
      <c r="BJ132" s="9"/>
      <c r="BK132" s="9"/>
      <c r="BL132" s="9"/>
      <c r="BM132" s="9"/>
      <c r="BN132" s="9"/>
      <c r="BO132" s="9"/>
      <c r="BP132" s="9"/>
      <c r="BQ132" s="9"/>
      <c r="BR132" s="9"/>
      <c r="BS132" s="9"/>
      <c r="BT132" s="9"/>
      <c r="BU132" s="9"/>
      <c r="BV132" s="9"/>
      <c r="BW132" s="9"/>
      <c r="BX132" s="9"/>
      <c r="BY132" s="9"/>
      <c r="BZ132" s="9"/>
      <c r="CA132" s="9"/>
      <c r="CB132" s="9"/>
      <c r="CC132" s="9"/>
      <c r="CD132" s="9"/>
      <c r="CE132" s="9"/>
      <c r="CF132" s="9"/>
      <c r="CG132" s="9"/>
      <c r="CH132" s="9"/>
      <c r="CI132" s="9"/>
      <c r="CJ132" s="9"/>
      <c r="CK132" s="9"/>
    </row>
    <row r="133" spans="1:89" ht="12.6" customHeight="1" x14ac:dyDescent="0.2">
      <c r="C133" s="1" t="str">
        <f>VLOOKUP(109,Textbausteine_102[],Hilfsgrössen!$D$2,FALSE)</f>
        <v>Immeubles</v>
      </c>
      <c r="D133" s="16" t="str">
        <f>VLOOKUP(28,Textbausteine_102[],Hilfsgrössen!$D$2,FALSE)</f>
        <v>Nombre</v>
      </c>
      <c r="F133" s="94" t="s">
        <v>3167</v>
      </c>
      <c r="H133" s="80" t="s">
        <v>29</v>
      </c>
      <c r="I133" s="101" t="s">
        <v>29</v>
      </c>
      <c r="J133" s="101" t="s">
        <v>29</v>
      </c>
      <c r="K133" s="99">
        <v>2923</v>
      </c>
      <c r="L133" s="99">
        <v>2997</v>
      </c>
      <c r="M133" s="99">
        <v>2773</v>
      </c>
      <c r="N133" s="91">
        <v>2687</v>
      </c>
      <c r="O133" s="91">
        <v>2733</v>
      </c>
      <c r="P133" s="91">
        <v>2545</v>
      </c>
      <c r="Q133" s="91">
        <v>2484</v>
      </c>
      <c r="R133" s="91">
        <v>2471</v>
      </c>
      <c r="S133" s="91">
        <v>2467</v>
      </c>
      <c r="T133" s="9">
        <v>2415</v>
      </c>
      <c r="U133" s="9">
        <v>2407</v>
      </c>
      <c r="V133" s="9">
        <v>2345</v>
      </c>
      <c r="W133" s="9">
        <v>2296</v>
      </c>
      <c r="X133" s="247">
        <v>2268</v>
      </c>
      <c r="Y133" s="9">
        <v>2229</v>
      </c>
      <c r="Z133" s="9">
        <v>2208</v>
      </c>
      <c r="AA133" s="349"/>
    </row>
    <row r="134" spans="1:89" ht="12.6" customHeight="1" x14ac:dyDescent="0.2">
      <c r="C134" s="17" t="str">
        <f>VLOOKUP(110,Textbausteine_102[],Hilfsgrössen!$D$2,FALSE)</f>
        <v>propres</v>
      </c>
      <c r="D134" s="16" t="str">
        <f>VLOOKUP(28,Textbausteine_102[],Hilfsgrössen!$D$2,FALSE)</f>
        <v>Nombre</v>
      </c>
      <c r="F134" s="94" t="s">
        <v>3167</v>
      </c>
      <c r="H134" s="80" t="s">
        <v>29</v>
      </c>
      <c r="I134" s="101" t="s">
        <v>29</v>
      </c>
      <c r="J134" s="101" t="s">
        <v>29</v>
      </c>
      <c r="K134" s="99">
        <v>1346</v>
      </c>
      <c r="L134" s="99">
        <v>1304</v>
      </c>
      <c r="M134" s="99">
        <v>1216</v>
      </c>
      <c r="N134" s="91">
        <v>1180</v>
      </c>
      <c r="O134" s="91">
        <v>1154</v>
      </c>
      <c r="P134" s="91">
        <v>1120</v>
      </c>
      <c r="Q134" s="91">
        <v>1086</v>
      </c>
      <c r="R134" s="91">
        <v>1051</v>
      </c>
      <c r="S134" s="91">
        <v>1009</v>
      </c>
      <c r="T134" s="9">
        <v>947</v>
      </c>
      <c r="U134" s="9">
        <v>901</v>
      </c>
      <c r="V134" s="9">
        <v>833</v>
      </c>
      <c r="W134" s="9">
        <v>775</v>
      </c>
      <c r="X134" s="269">
        <v>732</v>
      </c>
      <c r="Y134" s="9">
        <v>700</v>
      </c>
      <c r="Z134" s="9">
        <v>660</v>
      </c>
      <c r="AA134" s="349"/>
    </row>
    <row r="135" spans="1:89" ht="12.6" customHeight="1" x14ac:dyDescent="0.2">
      <c r="C135" s="13" t="str">
        <f>VLOOKUP(111,Textbausteine_102[],Hilfsgrössen!$D$2,FALSE)</f>
        <v>loués</v>
      </c>
      <c r="D135" s="16" t="str">
        <f>VLOOKUP(28,Textbausteine_102[],Hilfsgrössen!$D$2,FALSE)</f>
        <v>Nombre</v>
      </c>
      <c r="F135" s="94" t="s">
        <v>3167</v>
      </c>
      <c r="H135" s="80" t="s">
        <v>29</v>
      </c>
      <c r="I135" s="101" t="s">
        <v>29</v>
      </c>
      <c r="J135" s="101" t="s">
        <v>29</v>
      </c>
      <c r="K135" s="99">
        <v>1577</v>
      </c>
      <c r="L135" s="99">
        <v>1693</v>
      </c>
      <c r="M135" s="99">
        <v>1557</v>
      </c>
      <c r="N135" s="91">
        <v>1507</v>
      </c>
      <c r="O135" s="91">
        <v>1579</v>
      </c>
      <c r="P135" s="91">
        <v>1425</v>
      </c>
      <c r="Q135" s="91">
        <v>1398</v>
      </c>
      <c r="R135" s="91">
        <v>1420</v>
      </c>
      <c r="S135" s="91">
        <v>1458</v>
      </c>
      <c r="T135" s="9">
        <v>1468</v>
      </c>
      <c r="U135" s="9">
        <v>1506</v>
      </c>
      <c r="V135" s="9">
        <v>1512</v>
      </c>
      <c r="W135" s="9">
        <v>1521</v>
      </c>
      <c r="X135" s="247">
        <v>1535</v>
      </c>
      <c r="Y135" s="9">
        <v>1529</v>
      </c>
      <c r="Z135" s="9">
        <v>1548</v>
      </c>
      <c r="AA135" s="349"/>
    </row>
    <row r="136" spans="1:89" ht="12.6" customHeight="1" x14ac:dyDescent="0.2">
      <c r="C136" s="1" t="str">
        <f>VLOOKUP(112,Textbausteine_102[],Hilfsgrössen!$D$2,FALSE)</f>
        <v>Surface gérée</v>
      </c>
      <c r="D136" s="16" t="str">
        <f>VLOOKUP(30,Textbausteine_102[],Hilfsgrössen!$D$2,FALSE)</f>
        <v>Millions de m2</v>
      </c>
      <c r="F136" s="94" t="s">
        <v>3167</v>
      </c>
      <c r="H136" s="136" t="s">
        <v>29</v>
      </c>
      <c r="I136" s="206" t="s">
        <v>29</v>
      </c>
      <c r="J136" s="206" t="s">
        <v>29</v>
      </c>
      <c r="K136" s="125">
        <v>2.6</v>
      </c>
      <c r="L136" s="125">
        <v>2.8</v>
      </c>
      <c r="M136" s="125">
        <v>2.6</v>
      </c>
      <c r="N136" s="183">
        <v>2.673</v>
      </c>
      <c r="O136" s="183">
        <v>2.6</v>
      </c>
      <c r="P136" s="183">
        <v>2.5539999999999998</v>
      </c>
      <c r="Q136" s="183">
        <v>2.6</v>
      </c>
      <c r="R136" s="183">
        <v>2.4</v>
      </c>
      <c r="S136" s="183">
        <v>2.5</v>
      </c>
      <c r="T136" s="268">
        <v>2.5</v>
      </c>
      <c r="U136" s="268">
        <v>2.54</v>
      </c>
      <c r="V136" s="268">
        <v>2.5099999999999998</v>
      </c>
      <c r="W136" s="268">
        <v>2.5</v>
      </c>
      <c r="X136" s="245">
        <v>2.5</v>
      </c>
      <c r="Y136" s="9">
        <v>2.5</v>
      </c>
      <c r="Z136" s="9">
        <v>2.5</v>
      </c>
      <c r="AA136" s="349"/>
    </row>
    <row r="137" spans="1:89" ht="12.6" customHeight="1" x14ac:dyDescent="0.2">
      <c r="C137" s="13" t="str">
        <f>VLOOKUP(113,Textbausteine_102[],Hilfsgrössen!$D$2,FALSE)</f>
        <v>Surface louée</v>
      </c>
      <c r="D137" s="16" t="str">
        <f>VLOOKUP(30,Textbausteine_102[],Hilfsgrössen!$D$2,FALSE)</f>
        <v>Millions de m2</v>
      </c>
      <c r="E137" s="148"/>
      <c r="F137" s="94" t="s">
        <v>3167</v>
      </c>
      <c r="H137" s="136" t="s">
        <v>29</v>
      </c>
      <c r="I137" s="206" t="s">
        <v>29</v>
      </c>
      <c r="J137" s="206" t="s">
        <v>29</v>
      </c>
      <c r="K137" s="125">
        <v>0.5</v>
      </c>
      <c r="L137" s="125">
        <v>0.7</v>
      </c>
      <c r="M137" s="125">
        <v>0.8</v>
      </c>
      <c r="N137" s="183">
        <v>0.77500000000000002</v>
      </c>
      <c r="O137" s="183">
        <v>0.8</v>
      </c>
      <c r="P137" s="183">
        <v>0.72399999999999998</v>
      </c>
      <c r="Q137" s="183">
        <v>0.8</v>
      </c>
      <c r="R137" s="183">
        <v>0.8</v>
      </c>
      <c r="S137" s="183">
        <v>0.8</v>
      </c>
      <c r="T137" s="268">
        <v>0.7</v>
      </c>
      <c r="U137" s="268">
        <v>0.71</v>
      </c>
      <c r="V137" s="268">
        <v>0.7</v>
      </c>
      <c r="W137" s="268">
        <v>0.7</v>
      </c>
      <c r="X137" s="245">
        <v>0.7</v>
      </c>
      <c r="Y137" s="9">
        <v>0.7</v>
      </c>
      <c r="Z137" s="9">
        <v>0.7</v>
      </c>
      <c r="AA137" s="349"/>
    </row>
    <row r="138" spans="1:89" ht="12.6" customHeight="1" x14ac:dyDescent="0.2">
      <c r="C138" s="13" t="str">
        <f>VLOOKUP(114,Textbausteine_102[],Hilfsgrössen!$D$2,FALSE)</f>
        <v>Surface louée</v>
      </c>
      <c r="D138" s="1" t="str">
        <f>VLOOKUP(22,Textbausteine_102[],Hilfsgrössen!$D$2,FALSE)</f>
        <v>Millions de CHF</v>
      </c>
      <c r="E138" s="149"/>
      <c r="F138" s="94" t="s">
        <v>3167</v>
      </c>
      <c r="H138" s="80" t="s">
        <v>29</v>
      </c>
      <c r="I138" s="93" t="s">
        <v>29</v>
      </c>
      <c r="J138" s="93" t="s">
        <v>29</v>
      </c>
      <c r="K138" s="91">
        <v>111</v>
      </c>
      <c r="L138" s="91">
        <v>116</v>
      </c>
      <c r="M138" s="91">
        <v>129</v>
      </c>
      <c r="N138" s="11">
        <v>138</v>
      </c>
      <c r="O138" s="11">
        <v>137</v>
      </c>
      <c r="P138" s="9">
        <v>137</v>
      </c>
      <c r="Q138" s="9">
        <v>157</v>
      </c>
      <c r="R138" s="91">
        <v>143</v>
      </c>
      <c r="S138" s="91">
        <v>152.36232099999998</v>
      </c>
      <c r="T138" s="9">
        <v>153</v>
      </c>
      <c r="U138" s="9">
        <v>147</v>
      </c>
      <c r="V138" s="9">
        <v>143</v>
      </c>
      <c r="W138" s="9">
        <v>141</v>
      </c>
      <c r="X138" s="269">
        <v>139</v>
      </c>
      <c r="Y138" s="9">
        <v>136</v>
      </c>
      <c r="Z138" s="9">
        <v>139</v>
      </c>
      <c r="AA138" s="349"/>
    </row>
    <row r="139" spans="1:89" ht="12.6" customHeight="1" x14ac:dyDescent="0.2">
      <c r="C139" s="1" t="str">
        <f>VLOOKUP(115,Textbausteine_102[],Hilfsgrössen!$D$2,FALSE)</f>
        <v>Valeur d'investissement</v>
      </c>
      <c r="D139" s="1" t="str">
        <f>VLOOKUP(22,Textbausteine_102[],Hilfsgrössen!$D$2,FALSE)</f>
        <v>Millions de CHF</v>
      </c>
      <c r="F139" s="94" t="s">
        <v>3167</v>
      </c>
      <c r="H139" s="80" t="s">
        <v>29</v>
      </c>
      <c r="I139" s="101" t="s">
        <v>29</v>
      </c>
      <c r="J139" s="101" t="s">
        <v>29</v>
      </c>
      <c r="K139" s="99">
        <v>6057</v>
      </c>
      <c r="L139" s="99">
        <v>5732</v>
      </c>
      <c r="M139" s="99">
        <v>5208</v>
      </c>
      <c r="N139" s="91">
        <v>5237</v>
      </c>
      <c r="O139" s="91">
        <v>5277</v>
      </c>
      <c r="P139" s="91">
        <v>5357</v>
      </c>
      <c r="Q139" s="91">
        <v>5496</v>
      </c>
      <c r="R139" s="91">
        <v>5594</v>
      </c>
      <c r="S139" s="91">
        <v>5500.2836930000003</v>
      </c>
      <c r="T139" s="9">
        <v>5464</v>
      </c>
      <c r="U139" s="9">
        <v>5309</v>
      </c>
      <c r="V139" s="9">
        <v>5251</v>
      </c>
      <c r="W139" s="9">
        <v>5185</v>
      </c>
      <c r="X139" s="247">
        <v>5272</v>
      </c>
      <c r="Y139" s="9">
        <v>5149</v>
      </c>
      <c r="Z139" s="9">
        <v>5217</v>
      </c>
      <c r="AA139" s="349"/>
    </row>
    <row r="140" spans="1:89" ht="12.6" customHeight="1" x14ac:dyDescent="0.2">
      <c r="C140" s="1" t="str">
        <f>VLOOKUP(116,Textbausteine_102[],Hilfsgrössen!$D$2,FALSE)</f>
        <v>Produits locatifs internes</v>
      </c>
      <c r="D140" s="1" t="str">
        <f>VLOOKUP(22,Textbausteine_102[],Hilfsgrössen!$D$2,FALSE)</f>
        <v>Millions de CHF</v>
      </c>
      <c r="F140" s="94" t="s">
        <v>3167</v>
      </c>
      <c r="H140" s="80" t="s">
        <v>29</v>
      </c>
      <c r="I140" s="101" t="s">
        <v>29</v>
      </c>
      <c r="J140" s="101" t="s">
        <v>29</v>
      </c>
      <c r="K140" s="99">
        <v>399</v>
      </c>
      <c r="L140" s="99">
        <v>415</v>
      </c>
      <c r="M140" s="99">
        <v>402</v>
      </c>
      <c r="N140" s="91">
        <v>398</v>
      </c>
      <c r="O140" s="91">
        <v>394</v>
      </c>
      <c r="P140" s="91">
        <v>392</v>
      </c>
      <c r="Q140" s="91">
        <v>370</v>
      </c>
      <c r="R140" s="91">
        <v>371</v>
      </c>
      <c r="S140" s="91">
        <v>367.85900000000004</v>
      </c>
      <c r="T140" s="9">
        <v>358</v>
      </c>
      <c r="U140" s="9">
        <v>344</v>
      </c>
      <c r="V140" s="9">
        <v>296.2</v>
      </c>
      <c r="W140" s="9">
        <v>289</v>
      </c>
      <c r="X140" s="269">
        <v>278</v>
      </c>
      <c r="Y140" s="9">
        <v>273</v>
      </c>
      <c r="Z140" s="9">
        <v>269</v>
      </c>
      <c r="AA140" s="349"/>
    </row>
    <row r="141" spans="1:89" ht="12.6" customHeight="1" x14ac:dyDescent="0.2">
      <c r="C141" s="1" t="str">
        <f>VLOOKUP(117,Textbausteine_102[],Hilfsgrössen!$D$2,FALSE)</f>
        <v>Produits locatifs externes</v>
      </c>
      <c r="D141" s="1" t="str">
        <f>VLOOKUP(22,Textbausteine_102[],Hilfsgrössen!$D$2,FALSE)</f>
        <v>Millions de CHF</v>
      </c>
      <c r="F141" s="94" t="s">
        <v>3167</v>
      </c>
      <c r="H141" s="207" t="s">
        <v>29</v>
      </c>
      <c r="I141" s="208" t="s">
        <v>29</v>
      </c>
      <c r="J141" s="208" t="s">
        <v>29</v>
      </c>
      <c r="K141" s="126">
        <v>55</v>
      </c>
      <c r="L141" s="126">
        <v>59</v>
      </c>
      <c r="M141" s="126">
        <v>57</v>
      </c>
      <c r="N141" s="180">
        <v>56</v>
      </c>
      <c r="O141" s="180">
        <v>56</v>
      </c>
      <c r="P141" s="180">
        <v>63</v>
      </c>
      <c r="Q141" s="180">
        <v>64</v>
      </c>
      <c r="R141" s="180">
        <v>61</v>
      </c>
      <c r="S141" s="180">
        <v>63.567</v>
      </c>
      <c r="T141" s="181">
        <v>61</v>
      </c>
      <c r="U141" s="181">
        <v>62</v>
      </c>
      <c r="V141" s="181">
        <v>84</v>
      </c>
      <c r="W141" s="181">
        <v>86</v>
      </c>
      <c r="X141" s="243">
        <v>58</v>
      </c>
      <c r="Y141" s="9">
        <v>60</v>
      </c>
      <c r="Z141" s="9">
        <v>63</v>
      </c>
      <c r="AA141" s="349"/>
    </row>
    <row r="142" spans="1:89" ht="12.6" customHeight="1" x14ac:dyDescent="0.2">
      <c r="C142" s="1" t="str">
        <f>VLOOKUP(118,Textbausteine_102[],Hilfsgrössen!$D$2,FALSE)</f>
        <v>Volume d'investissements</v>
      </c>
      <c r="D142" s="1" t="str">
        <f>VLOOKUP(22,Textbausteine_102[],Hilfsgrössen!$D$2,FALSE)</f>
        <v>Millions de CHF</v>
      </c>
      <c r="F142" s="94" t="s">
        <v>3167</v>
      </c>
      <c r="H142" s="207" t="s">
        <v>29</v>
      </c>
      <c r="I142" s="208" t="s">
        <v>29</v>
      </c>
      <c r="J142" s="208" t="s">
        <v>29</v>
      </c>
      <c r="K142" s="126">
        <v>140</v>
      </c>
      <c r="L142" s="126">
        <v>160</v>
      </c>
      <c r="M142" s="126">
        <v>121</v>
      </c>
      <c r="N142" s="180">
        <v>167</v>
      </c>
      <c r="O142" s="180">
        <v>183</v>
      </c>
      <c r="P142" s="180">
        <v>177</v>
      </c>
      <c r="Q142" s="180">
        <v>157</v>
      </c>
      <c r="R142" s="180">
        <v>189</v>
      </c>
      <c r="S142" s="180">
        <v>101.937</v>
      </c>
      <c r="T142" s="181">
        <v>141</v>
      </c>
      <c r="U142" s="181">
        <v>127</v>
      </c>
      <c r="V142" s="181">
        <v>85.9</v>
      </c>
      <c r="W142" s="181">
        <v>144</v>
      </c>
      <c r="X142" s="243">
        <v>176</v>
      </c>
      <c r="Y142" s="9">
        <v>147</v>
      </c>
      <c r="Z142" s="9">
        <v>166</v>
      </c>
      <c r="AA142" s="349"/>
    </row>
    <row r="143" spans="1:89" ht="12.6" customHeight="1" x14ac:dyDescent="0.2">
      <c r="C143" s="1" t="str">
        <f>VLOOKUP(119,Textbausteine_102[],Hilfsgrössen!$D$2,FALSE)</f>
        <v>Volume d'entretien</v>
      </c>
      <c r="D143" s="1" t="str">
        <f>VLOOKUP(22,Textbausteine_102[],Hilfsgrössen!$D$2,FALSE)</f>
        <v>Millions de CHF</v>
      </c>
      <c r="E143" s="148"/>
      <c r="F143" s="94" t="s">
        <v>3167</v>
      </c>
      <c r="H143" s="207" t="s">
        <v>29</v>
      </c>
      <c r="I143" s="208" t="s">
        <v>29</v>
      </c>
      <c r="J143" s="208" t="s">
        <v>29</v>
      </c>
      <c r="K143" s="126">
        <v>47</v>
      </c>
      <c r="L143" s="126">
        <v>50</v>
      </c>
      <c r="M143" s="126">
        <v>49</v>
      </c>
      <c r="N143" s="180">
        <v>44</v>
      </c>
      <c r="O143" s="180">
        <v>48</v>
      </c>
      <c r="P143" s="180">
        <v>54</v>
      </c>
      <c r="Q143" s="180">
        <v>44</v>
      </c>
      <c r="R143" s="180">
        <v>42</v>
      </c>
      <c r="S143" s="180">
        <v>92</v>
      </c>
      <c r="T143" s="181">
        <v>57</v>
      </c>
      <c r="U143" s="181">
        <v>40</v>
      </c>
      <c r="V143" s="181">
        <v>43.4</v>
      </c>
      <c r="W143" s="181">
        <v>40</v>
      </c>
      <c r="X143" s="243">
        <v>35</v>
      </c>
      <c r="Y143" s="9">
        <v>28</v>
      </c>
      <c r="Z143" s="9">
        <v>37</v>
      </c>
      <c r="AA143" s="349"/>
    </row>
    <row r="144" spans="1:89" ht="12.6" customHeight="1" x14ac:dyDescent="0.2">
      <c r="C144" s="1" t="str">
        <f>VLOOKUP(120,Textbausteine_102[],Hilfsgrössen!$D$2,FALSE)</f>
        <v>Projets en cours</v>
      </c>
      <c r="D144" s="16" t="str">
        <f>VLOOKUP(28,Textbausteine_102[],Hilfsgrössen!$D$2,FALSE)</f>
        <v>Nombre</v>
      </c>
      <c r="E144" s="149"/>
      <c r="F144" s="94" t="s">
        <v>3167</v>
      </c>
      <c r="H144" s="80" t="s">
        <v>29</v>
      </c>
      <c r="I144" s="93" t="s">
        <v>29</v>
      </c>
      <c r="J144" s="93" t="s">
        <v>29</v>
      </c>
      <c r="K144" s="91" t="s">
        <v>40</v>
      </c>
      <c r="L144" s="91" t="s">
        <v>41</v>
      </c>
      <c r="M144" s="91" t="s">
        <v>41</v>
      </c>
      <c r="N144" s="11" t="s">
        <v>41</v>
      </c>
      <c r="O144" s="11" t="s">
        <v>42</v>
      </c>
      <c r="P144" s="9" t="s">
        <v>42</v>
      </c>
      <c r="Q144" s="9" t="s">
        <v>43</v>
      </c>
      <c r="R144" s="91" t="s">
        <v>44</v>
      </c>
      <c r="S144" s="91" t="s">
        <v>45</v>
      </c>
      <c r="T144" s="9" t="s">
        <v>46</v>
      </c>
      <c r="U144" s="9" t="s">
        <v>46</v>
      </c>
      <c r="V144" s="9" t="s">
        <v>47</v>
      </c>
      <c r="W144" s="9" t="s">
        <v>47</v>
      </c>
      <c r="X144" s="269" t="s">
        <v>42</v>
      </c>
      <c r="Y144" s="9" t="s">
        <v>48</v>
      </c>
      <c r="Z144" s="9" t="s">
        <v>48</v>
      </c>
      <c r="AA144" s="349"/>
    </row>
    <row r="145" spans="1:89" ht="12.6" customHeight="1" x14ac:dyDescent="0.2">
      <c r="C145" s="48"/>
      <c r="H145" s="99"/>
      <c r="I145" s="99"/>
      <c r="J145" s="99"/>
      <c r="K145" s="99"/>
      <c r="L145" s="99"/>
      <c r="M145" s="99"/>
      <c r="N145" s="91"/>
      <c r="O145" s="91"/>
      <c r="P145" s="91"/>
      <c r="Q145" s="91"/>
      <c r="R145" s="91"/>
      <c r="S145" s="91"/>
      <c r="T145" s="9"/>
      <c r="U145" s="9"/>
      <c r="V145" s="9"/>
      <c r="W145" s="9"/>
      <c r="X145" s="269"/>
      <c r="Y145" s="9"/>
      <c r="Z145" s="9"/>
      <c r="AA145" s="349"/>
    </row>
    <row r="146" spans="1:89" s="8" customFormat="1" ht="12.6" customHeight="1" x14ac:dyDescent="0.2">
      <c r="A146" s="56"/>
      <c r="B146" s="2" t="str">
        <f>VLOOKUP(54,Textbausteine_Menu[],Hilfsgrössen!$D$2,FALSE)</f>
        <v>Technologies de l'information</v>
      </c>
      <c r="D146" s="1"/>
      <c r="E146" s="150"/>
      <c r="F146" s="11"/>
      <c r="G146" s="267"/>
      <c r="H146" s="81"/>
      <c r="I146" s="81"/>
      <c r="J146" s="81"/>
      <c r="K146" s="81"/>
      <c r="L146" s="81"/>
      <c r="M146" s="81"/>
      <c r="N146" s="91"/>
      <c r="O146" s="91"/>
      <c r="P146" s="91"/>
      <c r="Q146" s="91"/>
      <c r="R146" s="91"/>
      <c r="S146" s="91"/>
      <c r="T146" s="9"/>
      <c r="U146" s="9"/>
      <c r="V146" s="9"/>
      <c r="W146" s="9"/>
      <c r="X146" s="269"/>
      <c r="Y146" s="9"/>
      <c r="Z146" s="9"/>
      <c r="AA146" s="349"/>
      <c r="AB146" s="9"/>
      <c r="AC146" s="9"/>
      <c r="AD146" s="9"/>
      <c r="AE146" s="9"/>
      <c r="AF146" s="9"/>
      <c r="AG146" s="9"/>
      <c r="AH146" s="9"/>
      <c r="AI146" s="9"/>
      <c r="AJ146" s="9"/>
      <c r="AK146" s="9"/>
      <c r="AL146" s="9"/>
      <c r="AM146" s="9"/>
      <c r="AN146" s="9"/>
      <c r="AO146" s="9"/>
      <c r="AP146" s="9"/>
      <c r="AQ146" s="9"/>
      <c r="AR146" s="9"/>
      <c r="AS146" s="9"/>
      <c r="AT146" s="9"/>
      <c r="AU146" s="9"/>
      <c r="AV146" s="9"/>
      <c r="AW146" s="9"/>
      <c r="AX146" s="9"/>
      <c r="AY146" s="9"/>
      <c r="AZ146" s="9"/>
      <c r="BA146" s="9"/>
      <c r="BB146" s="9"/>
      <c r="BC146" s="9"/>
      <c r="BD146" s="9"/>
      <c r="BE146" s="9"/>
      <c r="BF146" s="9"/>
      <c r="BG146" s="9"/>
      <c r="BH146" s="9"/>
      <c r="BI146" s="9"/>
      <c r="BJ146" s="9"/>
      <c r="BK146" s="9"/>
      <c r="BL146" s="9"/>
      <c r="BM146" s="9"/>
      <c r="BN146" s="9"/>
      <c r="BO146" s="9"/>
      <c r="BP146" s="9"/>
      <c r="BQ146" s="9"/>
      <c r="BR146" s="9"/>
      <c r="BS146" s="9"/>
      <c r="BT146" s="9"/>
      <c r="BU146" s="9"/>
      <c r="BV146" s="9"/>
      <c r="BW146" s="9"/>
      <c r="BX146" s="9"/>
      <c r="BY146" s="9"/>
      <c r="BZ146" s="9"/>
      <c r="CA146" s="9"/>
      <c r="CB146" s="9"/>
      <c r="CC146" s="9"/>
      <c r="CD146" s="9"/>
      <c r="CE146" s="9"/>
      <c r="CF146" s="9"/>
      <c r="CG146" s="9"/>
      <c r="CH146" s="9"/>
      <c r="CI146" s="9"/>
      <c r="CJ146" s="9"/>
      <c r="CK146" s="9"/>
    </row>
    <row r="147" spans="1:89" ht="12.6" customHeight="1" x14ac:dyDescent="0.2">
      <c r="C147" s="48" t="str">
        <f>VLOOKUP(121,Textbausteine_102[],Hilfsgrössen!$D$2,FALSE)</f>
        <v xml:space="preserve">Contacts User Help Desk </v>
      </c>
      <c r="D147" s="1" t="str">
        <f>VLOOKUP(31,Textbausteine_102[],Hilfsgrössen!$D$2,FALSE)</f>
        <v>Nombre par mois</v>
      </c>
      <c r="F147" s="94" t="s">
        <v>3167</v>
      </c>
      <c r="H147" s="80" t="s">
        <v>29</v>
      </c>
      <c r="I147" s="101" t="s">
        <v>29</v>
      </c>
      <c r="J147" s="101" t="s">
        <v>29</v>
      </c>
      <c r="K147" s="99">
        <v>25000</v>
      </c>
      <c r="L147" s="99">
        <v>24000</v>
      </c>
      <c r="M147" s="99">
        <v>24000</v>
      </c>
      <c r="N147" s="91">
        <v>21935</v>
      </c>
      <c r="O147" s="91">
        <v>20901</v>
      </c>
      <c r="P147" s="91">
        <v>19200</v>
      </c>
      <c r="Q147" s="91">
        <v>16768</v>
      </c>
      <c r="R147" s="91">
        <v>16092</v>
      </c>
      <c r="S147" s="91">
        <v>19080</v>
      </c>
      <c r="T147" s="9">
        <v>17038</v>
      </c>
      <c r="U147" s="9">
        <v>15126</v>
      </c>
      <c r="V147" s="9">
        <v>14167</v>
      </c>
      <c r="W147" s="9">
        <v>14813</v>
      </c>
      <c r="X147" s="247">
        <v>14985</v>
      </c>
      <c r="Y147" s="9">
        <v>14239</v>
      </c>
      <c r="Z147" s="9">
        <v>13491</v>
      </c>
      <c r="AA147" s="349"/>
    </row>
    <row r="148" spans="1:89" ht="12.6" customHeight="1" x14ac:dyDescent="0.2">
      <c r="C148" s="48" t="str">
        <f>VLOOKUP(122,Textbausteine_102[],Hilfsgrössen!$D$2,FALSE)</f>
        <v>Appareils gérés</v>
      </c>
      <c r="D148" s="1" t="str">
        <f>VLOOKUP(33,Textbausteine_102[],Hilfsgrössen!$D$2,FALSE)</f>
        <v>Nombre par an</v>
      </c>
      <c r="F148" s="94" t="s">
        <v>3167</v>
      </c>
      <c r="H148" s="80" t="s">
        <v>29</v>
      </c>
      <c r="I148" s="101" t="s">
        <v>29</v>
      </c>
      <c r="J148" s="101" t="s">
        <v>29</v>
      </c>
      <c r="K148" s="99">
        <v>38200</v>
      </c>
      <c r="L148" s="99">
        <v>62000</v>
      </c>
      <c r="M148" s="99">
        <v>64431</v>
      </c>
      <c r="N148" s="91">
        <v>79121</v>
      </c>
      <c r="O148" s="91">
        <v>85455</v>
      </c>
      <c r="P148" s="91">
        <v>87073</v>
      </c>
      <c r="Q148" s="91">
        <v>86884</v>
      </c>
      <c r="R148" s="91">
        <v>89075</v>
      </c>
      <c r="S148" s="91">
        <v>96891</v>
      </c>
      <c r="T148" s="9">
        <v>92492</v>
      </c>
      <c r="U148" s="9">
        <v>90231</v>
      </c>
      <c r="V148" s="9">
        <v>89772</v>
      </c>
      <c r="W148" s="9">
        <v>93544</v>
      </c>
      <c r="X148" s="247">
        <v>98257</v>
      </c>
      <c r="Y148" s="9">
        <v>97154</v>
      </c>
      <c r="Z148" s="9">
        <v>95953</v>
      </c>
      <c r="AA148" s="349"/>
    </row>
    <row r="149" spans="1:89" ht="12.6" customHeight="1" x14ac:dyDescent="0.2">
      <c r="C149" s="48" t="str">
        <f>VLOOKUP(123,Textbausteine_102[],Hilfsgrössen!$D$2,FALSE)</f>
        <v>Nombre d'applications différentes</v>
      </c>
      <c r="D149" s="1" t="str">
        <f>VLOOKUP(33,Textbausteine_102[],Hilfsgrössen!$D$2,FALSE)</f>
        <v>Nombre par an</v>
      </c>
      <c r="E149" s="148" t="s">
        <v>2925</v>
      </c>
      <c r="F149" s="94" t="s">
        <v>3167</v>
      </c>
      <c r="H149" s="80" t="s">
        <v>29</v>
      </c>
      <c r="I149" s="101" t="s">
        <v>29</v>
      </c>
      <c r="J149" s="101" t="s">
        <v>29</v>
      </c>
      <c r="K149" s="99">
        <v>430</v>
      </c>
      <c r="L149" s="99">
        <v>450</v>
      </c>
      <c r="M149" s="99">
        <v>625</v>
      </c>
      <c r="N149" s="91">
        <v>654</v>
      </c>
      <c r="O149" s="91">
        <v>636</v>
      </c>
      <c r="P149" s="91">
        <v>509</v>
      </c>
      <c r="Q149" s="91">
        <v>540</v>
      </c>
      <c r="R149" s="91">
        <v>559</v>
      </c>
      <c r="S149" s="91">
        <v>569</v>
      </c>
      <c r="T149" s="9">
        <v>591</v>
      </c>
      <c r="U149" s="9">
        <v>593</v>
      </c>
      <c r="V149" s="9">
        <v>586</v>
      </c>
      <c r="W149" s="9">
        <v>442</v>
      </c>
      <c r="X149" s="269">
        <v>454</v>
      </c>
      <c r="Y149" s="9">
        <v>478</v>
      </c>
      <c r="Z149" s="9">
        <v>486</v>
      </c>
      <c r="AA149" s="349"/>
    </row>
    <row r="150" spans="1:89" ht="12.6" customHeight="1" x14ac:dyDescent="0.2">
      <c r="C150" s="8" t="str">
        <f>VLOOKUP(124,Textbausteine_102[],Hilfsgrössen!$D$2,FALSE)</f>
        <v>Volume de données sauvegardées par année</v>
      </c>
      <c r="D150" s="1" t="str">
        <f>VLOOKUP(32,Textbausteine_102[],Hilfsgrössen!$D$2,FALSE)</f>
        <v>Gigaoctets</v>
      </c>
      <c r="E150" s="149"/>
      <c r="F150" s="94" t="s">
        <v>3167</v>
      </c>
      <c r="H150" s="80" t="s">
        <v>29</v>
      </c>
      <c r="I150" s="93" t="s">
        <v>29</v>
      </c>
      <c r="J150" s="93" t="s">
        <v>29</v>
      </c>
      <c r="K150" s="93" t="s">
        <v>29</v>
      </c>
      <c r="L150" s="93" t="s">
        <v>29</v>
      </c>
      <c r="M150" s="93" t="s">
        <v>29</v>
      </c>
      <c r="N150" s="11" t="s">
        <v>49</v>
      </c>
      <c r="O150" s="11">
        <v>1900000</v>
      </c>
      <c r="P150" s="9">
        <v>2600000</v>
      </c>
      <c r="Q150" s="9">
        <v>2700000</v>
      </c>
      <c r="R150" s="91">
        <v>2900000</v>
      </c>
      <c r="S150" s="91">
        <v>3100000</v>
      </c>
      <c r="T150" s="9">
        <v>3400000</v>
      </c>
      <c r="U150" s="9">
        <v>3500000</v>
      </c>
      <c r="V150" s="9">
        <v>3600000</v>
      </c>
      <c r="W150" s="9">
        <v>4200000</v>
      </c>
      <c r="X150" s="247">
        <v>4450000</v>
      </c>
      <c r="Y150" s="9">
        <v>4700000</v>
      </c>
      <c r="Z150" s="9">
        <v>4200000</v>
      </c>
      <c r="AA150" s="349"/>
    </row>
    <row r="151" spans="1:89" ht="12.6" customHeight="1" x14ac:dyDescent="0.2">
      <c r="C151" s="48" t="str">
        <f>VLOOKUP(125,Textbausteine_102[],Hilfsgrössen!$D$2,FALSE)</f>
        <v>Taux de résolution à la 1re intervention</v>
      </c>
      <c r="D151" s="1" t="str">
        <f>VLOOKUP(21,Textbausteine_102[],Hilfsgrössen!$D$2,FALSE)</f>
        <v>%</v>
      </c>
      <c r="F151" s="94" t="s">
        <v>3167</v>
      </c>
      <c r="H151" s="80" t="s">
        <v>29</v>
      </c>
      <c r="I151" s="101" t="s">
        <v>29</v>
      </c>
      <c r="J151" s="101" t="s">
        <v>29</v>
      </c>
      <c r="K151" s="126">
        <v>67.7</v>
      </c>
      <c r="L151" s="126">
        <v>67.5</v>
      </c>
      <c r="M151" s="126">
        <v>68.599999999999994</v>
      </c>
      <c r="N151" s="180">
        <v>68.099999999999994</v>
      </c>
      <c r="O151" s="180">
        <v>69.2</v>
      </c>
      <c r="P151" s="180">
        <v>76.900000000000006</v>
      </c>
      <c r="Q151" s="180">
        <v>74</v>
      </c>
      <c r="R151" s="180">
        <v>75</v>
      </c>
      <c r="S151" s="180">
        <v>76</v>
      </c>
      <c r="T151" s="181">
        <v>74</v>
      </c>
      <c r="U151" s="181">
        <v>72</v>
      </c>
      <c r="V151" s="181">
        <v>69</v>
      </c>
      <c r="W151" s="181">
        <v>71</v>
      </c>
      <c r="X151" s="243">
        <v>75</v>
      </c>
      <c r="Y151" s="181">
        <v>71</v>
      </c>
      <c r="Z151" s="181">
        <v>74</v>
      </c>
      <c r="AA151" s="349"/>
    </row>
    <row r="152" spans="1:89" ht="12.6" customHeight="1" x14ac:dyDescent="0.2">
      <c r="C152" s="48" t="str">
        <f>VLOOKUP(126,Textbausteine_102[],Hilfsgrössen!$D$2,FALSE)</f>
        <v>Assistance</v>
      </c>
      <c r="D152" s="1" t="str">
        <f>VLOOKUP(33,Textbausteine_102[],Hilfsgrössen!$D$2,FALSE)</f>
        <v>Nombre par an</v>
      </c>
      <c r="E152" s="146" t="s">
        <v>2857</v>
      </c>
      <c r="F152" s="94" t="s">
        <v>3167</v>
      </c>
      <c r="H152" s="80" t="s">
        <v>29</v>
      </c>
      <c r="I152" s="101" t="s">
        <v>29</v>
      </c>
      <c r="J152" s="101" t="s">
        <v>29</v>
      </c>
      <c r="K152" s="99">
        <v>40500</v>
      </c>
      <c r="L152" s="99">
        <v>39600</v>
      </c>
      <c r="M152" s="99">
        <v>41500</v>
      </c>
      <c r="N152" s="91">
        <v>38927</v>
      </c>
      <c r="O152" s="91">
        <v>40214</v>
      </c>
      <c r="P152" s="91">
        <v>44100</v>
      </c>
      <c r="Q152" s="91">
        <v>44440</v>
      </c>
      <c r="R152" s="91">
        <v>46990</v>
      </c>
      <c r="S152" s="91">
        <v>50792</v>
      </c>
      <c r="T152" s="9">
        <v>44229</v>
      </c>
      <c r="U152" s="9">
        <v>42292</v>
      </c>
      <c r="V152" s="9">
        <v>44788</v>
      </c>
      <c r="W152" s="9">
        <v>30007</v>
      </c>
      <c r="X152" s="247">
        <v>31134</v>
      </c>
      <c r="Y152" s="9">
        <v>34811</v>
      </c>
      <c r="Z152" s="9">
        <v>37963</v>
      </c>
      <c r="AA152" s="349"/>
    </row>
    <row r="153" spans="1:89" ht="12.6" customHeight="1" x14ac:dyDescent="0.2">
      <c r="C153" s="48"/>
      <c r="H153" s="99"/>
      <c r="I153" s="99"/>
      <c r="J153" s="99"/>
      <c r="K153" s="99"/>
      <c r="L153" s="99"/>
      <c r="M153" s="99"/>
      <c r="N153" s="91"/>
      <c r="O153" s="91"/>
      <c r="P153" s="91"/>
      <c r="Q153" s="91"/>
      <c r="R153" s="91"/>
      <c r="S153" s="91"/>
      <c r="T153" s="9"/>
      <c r="U153" s="9"/>
      <c r="V153" s="9"/>
      <c r="W153" s="9"/>
      <c r="X153" s="269"/>
      <c r="Y153" s="9"/>
      <c r="Z153" s="9"/>
    </row>
    <row r="154" spans="1:89" s="326" customFormat="1" ht="12.6" customHeight="1" x14ac:dyDescent="0.25">
      <c r="A154" s="324"/>
      <c r="B154" s="334" t="str">
        <f>VLOOKUP(261,Textbausteine_102[],Hilfsgrössen!$D$2,FALSE)</f>
        <v>1) Depuis 2012, Swiss Post International ne constitue plus un segment autonome. Les valeurs la concernant ont été répercutées sur les unités d'affaires PostMail et PostLogistics à partir du 1er janvier 2012. PostMail et PostLogistics font partie du segment Services logistiques depuis le 1er janvier 2021.</v>
      </c>
      <c r="C154" s="345"/>
      <c r="E154" s="338"/>
      <c r="F154" s="328"/>
      <c r="G154" s="329"/>
      <c r="H154" s="346"/>
      <c r="I154" s="346"/>
      <c r="J154" s="346"/>
      <c r="K154" s="346"/>
      <c r="L154" s="346"/>
      <c r="M154" s="346"/>
      <c r="N154" s="91"/>
      <c r="O154" s="91"/>
      <c r="P154" s="91"/>
      <c r="Q154" s="91"/>
      <c r="R154" s="91"/>
      <c r="S154" s="91"/>
      <c r="T154" s="328"/>
      <c r="U154" s="328"/>
      <c r="V154" s="328"/>
      <c r="W154" s="328"/>
      <c r="X154" s="328"/>
      <c r="Y154" s="328"/>
      <c r="Z154" s="328"/>
      <c r="AA154" s="341"/>
      <c r="AB154" s="328"/>
      <c r="AC154" s="328"/>
      <c r="AD154" s="328"/>
      <c r="AE154" s="328"/>
      <c r="AF154" s="328"/>
      <c r="AG154" s="328"/>
      <c r="AH154" s="328"/>
      <c r="AI154" s="328"/>
      <c r="AJ154" s="328"/>
      <c r="AK154" s="328"/>
      <c r="AL154" s="328"/>
      <c r="AM154" s="328"/>
      <c r="AN154" s="328"/>
      <c r="AO154" s="328"/>
      <c r="AP154" s="328"/>
      <c r="AQ154" s="328"/>
      <c r="AR154" s="328"/>
      <c r="AS154" s="328"/>
      <c r="AT154" s="328"/>
      <c r="AU154" s="328"/>
      <c r="AV154" s="328"/>
      <c r="AW154" s="328"/>
      <c r="AX154" s="328"/>
      <c r="AY154" s="328"/>
      <c r="AZ154" s="328"/>
      <c r="BA154" s="328"/>
      <c r="BB154" s="328"/>
      <c r="BC154" s="328"/>
      <c r="BD154" s="328"/>
      <c r="BE154" s="328"/>
      <c r="BF154" s="328"/>
      <c r="BG154" s="328"/>
      <c r="BH154" s="328"/>
      <c r="BI154" s="328"/>
      <c r="BJ154" s="328"/>
      <c r="BK154" s="328"/>
      <c r="BL154" s="328"/>
      <c r="BM154" s="328"/>
      <c r="BN154" s="328"/>
      <c r="BO154" s="328"/>
      <c r="BP154" s="328"/>
      <c r="BQ154" s="328"/>
      <c r="BR154" s="328"/>
      <c r="BS154" s="328"/>
      <c r="BT154" s="328"/>
      <c r="BU154" s="328"/>
      <c r="BV154" s="328"/>
      <c r="BW154" s="328"/>
      <c r="BX154" s="328"/>
      <c r="BY154" s="328"/>
      <c r="BZ154" s="328"/>
      <c r="CA154" s="328"/>
      <c r="CB154" s="328"/>
      <c r="CC154" s="328"/>
      <c r="CD154" s="328"/>
      <c r="CE154" s="328"/>
      <c r="CF154" s="328"/>
      <c r="CG154" s="328"/>
      <c r="CH154" s="328"/>
      <c r="CI154" s="328"/>
      <c r="CJ154" s="328"/>
      <c r="CK154" s="328"/>
    </row>
    <row r="155" spans="1:89" s="326" customFormat="1" ht="12.6" customHeight="1" x14ac:dyDescent="0.25">
      <c r="A155" s="324"/>
      <c r="B155" s="334" t="str">
        <f>VLOOKUP(262,Textbausteine_102[],Hilfsgrössen!$D$2,FALSE)</f>
        <v>2) La définition du volume des lettres a été modifiée en 2021. Ce volume inclut désormais les lettres internationales et est présenté sous cette forme pour la première fois en 2021. Pour les années 2017 à 2020, les valeurs ont été calculées rétroactivement.</v>
      </c>
      <c r="C155" s="345"/>
      <c r="E155" s="344"/>
      <c r="F155" s="328"/>
      <c r="G155" s="329"/>
      <c r="H155" s="346"/>
      <c r="I155" s="346"/>
      <c r="J155" s="346"/>
      <c r="K155" s="346"/>
      <c r="L155" s="346"/>
      <c r="M155" s="346"/>
      <c r="N155" s="91"/>
      <c r="O155" s="91"/>
      <c r="P155" s="91"/>
      <c r="Q155" s="91"/>
      <c r="R155" s="91"/>
      <c r="S155" s="91"/>
      <c r="T155" s="328"/>
      <c r="U155" s="328"/>
      <c r="V155" s="328"/>
      <c r="W155" s="328"/>
      <c r="X155" s="328"/>
      <c r="Y155" s="328"/>
      <c r="Z155" s="328"/>
      <c r="AA155" s="341"/>
      <c r="AB155" s="328"/>
      <c r="AC155" s="328"/>
      <c r="AD155" s="328"/>
      <c r="AE155" s="328"/>
      <c r="AF155" s="328"/>
      <c r="AG155" s="328"/>
      <c r="AH155" s="328"/>
      <c r="AI155" s="328"/>
      <c r="AJ155" s="328"/>
      <c r="AK155" s="328"/>
      <c r="AL155" s="328"/>
      <c r="AM155" s="328"/>
      <c r="AN155" s="328"/>
      <c r="AO155" s="328"/>
      <c r="AP155" s="328"/>
      <c r="AQ155" s="328"/>
      <c r="AR155" s="328"/>
      <c r="AS155" s="328"/>
      <c r="AT155" s="328"/>
      <c r="AU155" s="328"/>
      <c r="AV155" s="328"/>
      <c r="AW155" s="328"/>
      <c r="AX155" s="328"/>
      <c r="AY155" s="328"/>
      <c r="AZ155" s="328"/>
      <c r="BA155" s="328"/>
      <c r="BB155" s="328"/>
      <c r="BC155" s="328"/>
      <c r="BD155" s="328"/>
      <c r="BE155" s="328"/>
      <c r="BF155" s="328"/>
      <c r="BG155" s="328"/>
      <c r="BH155" s="328"/>
      <c r="BI155" s="328"/>
      <c r="BJ155" s="328"/>
      <c r="BK155" s="328"/>
      <c r="BL155" s="328"/>
      <c r="BM155" s="328"/>
      <c r="BN155" s="328"/>
      <c r="BO155" s="328"/>
      <c r="BP155" s="328"/>
      <c r="BQ155" s="328"/>
      <c r="BR155" s="328"/>
      <c r="BS155" s="328"/>
      <c r="BT155" s="328"/>
      <c r="BU155" s="328"/>
      <c r="BV155" s="328"/>
      <c r="BW155" s="328"/>
      <c r="BX155" s="328"/>
      <c r="BY155" s="328"/>
      <c r="BZ155" s="328"/>
      <c r="CA155" s="328"/>
      <c r="CB155" s="328"/>
      <c r="CC155" s="328"/>
      <c r="CD155" s="328"/>
      <c r="CE155" s="328"/>
      <c r="CF155" s="328"/>
      <c r="CG155" s="328"/>
      <c r="CH155" s="328"/>
      <c r="CI155" s="328"/>
      <c r="CJ155" s="328"/>
      <c r="CK155" s="328"/>
    </row>
    <row r="156" spans="1:89" s="326" customFormat="1" ht="12.6" customHeight="1" x14ac:dyDescent="0.25">
      <c r="A156" s="324"/>
      <c r="B156" s="334" t="str">
        <f>VLOOKUP(263,Textbausteine_102[],Hilfsgrössen!$D$2,FALSE)</f>
        <v>3) Depuis 2010, Swiss-Express et clients commerciaux uniquement; jusqu'en 2009, envois express (Swiss-Express «Lune»).</v>
      </c>
      <c r="C156" s="337"/>
      <c r="E156" s="347"/>
      <c r="F156" s="348"/>
      <c r="G156" s="329"/>
      <c r="H156" s="91"/>
      <c r="I156" s="91"/>
      <c r="J156" s="91"/>
      <c r="K156" s="91"/>
      <c r="L156" s="91"/>
      <c r="M156" s="91"/>
      <c r="N156" s="327"/>
      <c r="O156" s="327"/>
      <c r="P156" s="328"/>
      <c r="Q156" s="328"/>
      <c r="R156" s="91"/>
      <c r="S156" s="91"/>
      <c r="T156" s="328"/>
      <c r="U156" s="328"/>
      <c r="V156" s="328"/>
      <c r="W156" s="328"/>
      <c r="X156" s="328"/>
      <c r="Y156" s="328"/>
      <c r="Z156" s="328"/>
      <c r="AA156" s="341"/>
      <c r="AB156" s="328"/>
      <c r="AC156" s="328"/>
      <c r="AD156" s="328"/>
      <c r="AE156" s="328"/>
      <c r="AF156" s="328"/>
      <c r="AG156" s="328"/>
      <c r="AH156" s="328"/>
      <c r="AI156" s="328"/>
      <c r="AJ156" s="328"/>
      <c r="AK156" s="328"/>
      <c r="AL156" s="328"/>
      <c r="AM156" s="328"/>
      <c r="AN156" s="328"/>
      <c r="AO156" s="328"/>
      <c r="AP156" s="328"/>
      <c r="AQ156" s="328"/>
      <c r="AR156" s="328"/>
      <c r="AS156" s="328"/>
      <c r="AT156" s="328"/>
      <c r="AU156" s="328"/>
      <c r="AV156" s="328"/>
      <c r="AW156" s="328"/>
      <c r="AX156" s="328"/>
      <c r="AY156" s="328"/>
      <c r="AZ156" s="328"/>
      <c r="BA156" s="328"/>
      <c r="BB156" s="328"/>
      <c r="BC156" s="328"/>
      <c r="BD156" s="328"/>
      <c r="BE156" s="328"/>
      <c r="BF156" s="328"/>
      <c r="BG156" s="328"/>
      <c r="BH156" s="328"/>
      <c r="BI156" s="328"/>
      <c r="BJ156" s="328"/>
      <c r="BK156" s="328"/>
      <c r="BL156" s="328"/>
      <c r="BM156" s="328"/>
      <c r="BN156" s="328"/>
      <c r="BO156" s="328"/>
      <c r="BP156" s="328"/>
      <c r="BQ156" s="328"/>
      <c r="BR156" s="328"/>
      <c r="BS156" s="328"/>
      <c r="BT156" s="328"/>
      <c r="BU156" s="328"/>
      <c r="BV156" s="328"/>
      <c r="BW156" s="328"/>
      <c r="BX156" s="328"/>
      <c r="BY156" s="328"/>
      <c r="BZ156" s="328"/>
      <c r="CA156" s="328"/>
      <c r="CB156" s="328"/>
      <c r="CC156" s="328"/>
      <c r="CD156" s="328"/>
      <c r="CE156" s="328"/>
      <c r="CF156" s="328"/>
      <c r="CG156" s="328"/>
      <c r="CH156" s="328"/>
      <c r="CI156" s="328"/>
      <c r="CJ156" s="328"/>
      <c r="CK156" s="328"/>
    </row>
    <row r="157" spans="1:89" ht="12.6" customHeight="1" x14ac:dyDescent="0.25">
      <c r="B157" s="266" t="str">
        <f>VLOOKUP(264,Textbausteine_102[],Hilfsgrössen!$D$2,FALSE)</f>
        <v>4) RéseauPostal a modifié, sans effet sur le résultat, la présentation du chiffre d’affaires net reposant sur les contrats conclus avec des clients dans le domaine des biens commercialisés, ainsi que celle des charges liées à ces biens commercialisés.</v>
      </c>
      <c r="C157" s="266"/>
      <c r="D157" s="266"/>
      <c r="E157" s="151"/>
      <c r="F157" s="30"/>
      <c r="G157" s="266"/>
      <c r="H157" s="266"/>
      <c r="I157" s="266"/>
      <c r="J157" s="266"/>
      <c r="K157" s="266"/>
      <c r="L157" s="266"/>
      <c r="M157" s="266"/>
      <c r="N157" s="266"/>
      <c r="O157" s="266"/>
      <c r="P157" s="266"/>
      <c r="Q157" s="266"/>
      <c r="R157" s="91"/>
      <c r="S157" s="91"/>
      <c r="T157" s="9"/>
      <c r="U157" s="9"/>
      <c r="V157" s="9"/>
      <c r="W157" s="9"/>
      <c r="X157" s="269"/>
      <c r="Y157" s="9"/>
      <c r="Z157" s="9"/>
    </row>
    <row r="158" spans="1:89" s="326" customFormat="1" ht="12.6" customHeight="1" x14ac:dyDescent="0.25">
      <c r="A158" s="324"/>
      <c r="B158" s="334" t="str">
        <f>VLOOKUP(265,Textbausteine_102[],Hilfsgrössen!$D$2,FALSE)</f>
        <v>5) En 2019, l’indicateur de l’évolution du patrimoine des clients remplace celui de l’afflux de nouveaux capitaux.</v>
      </c>
      <c r="C158" s="334"/>
      <c r="D158" s="334"/>
      <c r="E158" s="335"/>
      <c r="F158" s="336"/>
      <c r="G158" s="334"/>
      <c r="H158" s="334"/>
      <c r="I158" s="334"/>
      <c r="J158" s="334"/>
      <c r="K158" s="334"/>
      <c r="L158" s="334"/>
      <c r="M158" s="334"/>
      <c r="N158" s="334"/>
      <c r="O158" s="334"/>
      <c r="P158" s="334"/>
      <c r="Q158" s="334"/>
      <c r="R158" s="91"/>
      <c r="S158" s="91"/>
      <c r="T158" s="328"/>
      <c r="U158" s="328"/>
      <c r="V158" s="328"/>
      <c r="W158" s="328"/>
      <c r="X158" s="328"/>
      <c r="Y158" s="328"/>
      <c r="Z158" s="328"/>
      <c r="AA158" s="341"/>
      <c r="AB158" s="328"/>
      <c r="AC158" s="328"/>
      <c r="AD158" s="328"/>
      <c r="AE158" s="328"/>
      <c r="AF158" s="328"/>
      <c r="AG158" s="328"/>
      <c r="AH158" s="328"/>
      <c r="AI158" s="328"/>
      <c r="AJ158" s="328"/>
      <c r="AK158" s="328"/>
      <c r="AL158" s="328"/>
      <c r="AM158" s="328"/>
      <c r="AN158" s="328"/>
      <c r="AO158" s="328"/>
      <c r="AP158" s="328"/>
      <c r="AQ158" s="328"/>
      <c r="AR158" s="328"/>
      <c r="AS158" s="328"/>
      <c r="AT158" s="328"/>
      <c r="AU158" s="328"/>
      <c r="AV158" s="328"/>
      <c r="AW158" s="328"/>
      <c r="AX158" s="328"/>
      <c r="AY158" s="328"/>
      <c r="AZ158" s="328"/>
      <c r="BA158" s="328"/>
      <c r="BB158" s="328"/>
      <c r="BC158" s="328"/>
      <c r="BD158" s="328"/>
      <c r="BE158" s="328"/>
      <c r="BF158" s="328"/>
      <c r="BG158" s="328"/>
      <c r="BH158" s="328"/>
      <c r="BI158" s="328"/>
      <c r="BJ158" s="328"/>
      <c r="BK158" s="328"/>
      <c r="BL158" s="328"/>
      <c r="BM158" s="328"/>
      <c r="BN158" s="328"/>
      <c r="BO158" s="328"/>
      <c r="BP158" s="328"/>
      <c r="BQ158" s="328"/>
      <c r="BR158" s="328"/>
      <c r="BS158" s="328"/>
      <c r="BT158" s="328"/>
      <c r="BU158" s="328"/>
      <c r="BV158" s="328"/>
      <c r="BW158" s="328"/>
      <c r="BX158" s="328"/>
      <c r="BY158" s="328"/>
      <c r="BZ158" s="328"/>
      <c r="CA158" s="328"/>
      <c r="CB158" s="328"/>
      <c r="CC158" s="328"/>
      <c r="CD158" s="328"/>
      <c r="CE158" s="328"/>
      <c r="CF158" s="328"/>
      <c r="CG158" s="328"/>
      <c r="CH158" s="328"/>
      <c r="CI158" s="328"/>
      <c r="CJ158" s="328"/>
      <c r="CK158" s="328"/>
    </row>
    <row r="159" spans="1:89" s="326" customFormat="1" ht="12.6" customHeight="1" x14ac:dyDescent="0.25">
      <c r="A159" s="324"/>
      <c r="B159" s="334" t="str">
        <f>VLOOKUP(266,Textbausteine_102[],Hilfsgrössen!$D$2,FALSE)</f>
        <v>6) La valeur de l’exercice 2018 a été ajustée.</v>
      </c>
      <c r="C159" s="334"/>
      <c r="D159" s="334"/>
      <c r="E159" s="335"/>
      <c r="F159" s="336"/>
      <c r="G159" s="334"/>
      <c r="H159" s="334"/>
      <c r="I159" s="334"/>
      <c r="J159" s="334"/>
      <c r="K159" s="334"/>
      <c r="L159" s="334"/>
      <c r="M159" s="334"/>
      <c r="N159" s="334"/>
      <c r="O159" s="334"/>
      <c r="P159" s="334"/>
      <c r="Q159" s="334"/>
      <c r="R159" s="91"/>
      <c r="S159" s="91"/>
      <c r="T159" s="328"/>
      <c r="U159" s="328"/>
      <c r="V159" s="328"/>
      <c r="W159" s="328"/>
      <c r="X159" s="328"/>
      <c r="Y159" s="328"/>
      <c r="Z159" s="328"/>
      <c r="AA159" s="341"/>
      <c r="AB159" s="328"/>
      <c r="AC159" s="328"/>
      <c r="AD159" s="328"/>
      <c r="AE159" s="328"/>
      <c r="AF159" s="328"/>
      <c r="AG159" s="328"/>
      <c r="AH159" s="328"/>
      <c r="AI159" s="328"/>
      <c r="AJ159" s="328"/>
      <c r="AK159" s="328"/>
      <c r="AL159" s="328"/>
      <c r="AM159" s="328"/>
      <c r="AN159" s="328"/>
      <c r="AO159" s="328"/>
      <c r="AP159" s="328"/>
      <c r="AQ159" s="328"/>
      <c r="AR159" s="328"/>
      <c r="AS159" s="328"/>
      <c r="AT159" s="328"/>
      <c r="AU159" s="328"/>
      <c r="AV159" s="328"/>
      <c r="AW159" s="328"/>
      <c r="AX159" s="328"/>
      <c r="AY159" s="328"/>
      <c r="AZ159" s="328"/>
      <c r="BA159" s="328"/>
      <c r="BB159" s="328"/>
      <c r="BC159" s="328"/>
      <c r="BD159" s="328"/>
      <c r="BE159" s="328"/>
      <c r="BF159" s="328"/>
      <c r="BG159" s="328"/>
      <c r="BH159" s="328"/>
      <c r="BI159" s="328"/>
      <c r="BJ159" s="328"/>
      <c r="BK159" s="328"/>
      <c r="BL159" s="328"/>
      <c r="BM159" s="328"/>
      <c r="BN159" s="328"/>
      <c r="BO159" s="328"/>
      <c r="BP159" s="328"/>
      <c r="BQ159" s="328"/>
      <c r="BR159" s="328"/>
      <c r="BS159" s="328"/>
      <c r="BT159" s="328"/>
      <c r="BU159" s="328"/>
      <c r="BV159" s="328"/>
      <c r="BW159" s="328"/>
      <c r="BX159" s="328"/>
      <c r="BY159" s="328"/>
      <c r="BZ159" s="328"/>
      <c r="CA159" s="328"/>
      <c r="CB159" s="328"/>
      <c r="CC159" s="328"/>
      <c r="CD159" s="328"/>
      <c r="CE159" s="328"/>
      <c r="CF159" s="328"/>
      <c r="CG159" s="328"/>
      <c r="CH159" s="328"/>
      <c r="CI159" s="328"/>
      <c r="CJ159" s="328"/>
      <c r="CK159" s="328"/>
    </row>
    <row r="160" spans="1:89" s="326" customFormat="1" ht="12.6" customHeight="1" x14ac:dyDescent="0.25">
      <c r="A160" s="324"/>
      <c r="B160" s="334" t="str">
        <f>VLOOKUP(267,Textbausteine_102[],Hilfsgrössen!$D$2,FALSE)</f>
        <v>7) Pour 2019, une base et une méthode de calcul modifiées ont été utilisées pour la première fois. Par conséquent, une comparaison avec les années précédentes n’est pas possible.</v>
      </c>
      <c r="C160" s="334"/>
      <c r="D160" s="334"/>
      <c r="E160" s="335"/>
      <c r="F160" s="336"/>
      <c r="G160" s="334"/>
      <c r="H160" s="334"/>
      <c r="I160" s="334"/>
      <c r="J160" s="334"/>
      <c r="K160" s="334"/>
      <c r="L160" s="334"/>
      <c r="M160" s="334"/>
      <c r="N160" s="334"/>
      <c r="O160" s="334"/>
      <c r="P160" s="334"/>
      <c r="Q160" s="334"/>
      <c r="R160" s="91"/>
      <c r="S160" s="91"/>
      <c r="T160" s="328"/>
      <c r="U160" s="328"/>
      <c r="V160" s="328"/>
      <c r="W160" s="328"/>
      <c r="X160" s="328"/>
      <c r="Y160" s="328"/>
      <c r="Z160" s="328"/>
      <c r="AA160" s="341"/>
      <c r="AB160" s="328"/>
      <c r="AC160" s="328"/>
      <c r="AD160" s="328"/>
      <c r="AE160" s="328"/>
      <c r="AF160" s="328"/>
      <c r="AG160" s="328"/>
      <c r="AH160" s="328"/>
      <c r="AI160" s="328"/>
      <c r="AJ160" s="328"/>
      <c r="AK160" s="328"/>
      <c r="AL160" s="328"/>
      <c r="AM160" s="328"/>
      <c r="AN160" s="328"/>
      <c r="AO160" s="328"/>
      <c r="AP160" s="328"/>
      <c r="AQ160" s="328"/>
      <c r="AR160" s="328"/>
      <c r="AS160" s="328"/>
      <c r="AT160" s="328"/>
      <c r="AU160" s="328"/>
      <c r="AV160" s="328"/>
      <c r="AW160" s="328"/>
      <c r="AX160" s="328"/>
      <c r="AY160" s="328"/>
      <c r="AZ160" s="328"/>
      <c r="BA160" s="328"/>
      <c r="BB160" s="328"/>
      <c r="BC160" s="328"/>
      <c r="BD160" s="328"/>
      <c r="BE160" s="328"/>
      <c r="BF160" s="328"/>
      <c r="BG160" s="328"/>
      <c r="BH160" s="328"/>
      <c r="BI160" s="328"/>
      <c r="BJ160" s="328"/>
      <c r="BK160" s="328"/>
      <c r="BL160" s="328"/>
      <c r="BM160" s="328"/>
      <c r="BN160" s="328"/>
      <c r="BO160" s="328"/>
      <c r="BP160" s="328"/>
      <c r="BQ160" s="328"/>
      <c r="BR160" s="328"/>
      <c r="BS160" s="328"/>
      <c r="BT160" s="328"/>
      <c r="BU160" s="328"/>
      <c r="BV160" s="328"/>
      <c r="BW160" s="328"/>
      <c r="BX160" s="328"/>
      <c r="BY160" s="328"/>
      <c r="BZ160" s="328"/>
      <c r="CA160" s="328"/>
      <c r="CB160" s="328"/>
      <c r="CC160" s="328"/>
      <c r="CD160" s="328"/>
      <c r="CE160" s="328"/>
      <c r="CF160" s="328"/>
      <c r="CG160" s="328"/>
      <c r="CH160" s="328"/>
      <c r="CI160" s="328"/>
      <c r="CJ160" s="328"/>
      <c r="CK160" s="328"/>
    </row>
    <row r="161" spans="1:89" s="326" customFormat="1" ht="12.6" customHeight="1" x14ac:dyDescent="0.25">
      <c r="A161" s="324"/>
      <c r="B161" s="334" t="str">
        <f>VLOOKUP(268,Textbausteine_102[],Hilfsgrössen!$D$2,FALSE)</f>
        <v>8) Le chiffre clé n’a plus été collecté à partir de 2022, car PubliBike SA a été vendue le 4 février 2022.</v>
      </c>
      <c r="C161" s="334"/>
      <c r="D161" s="334"/>
      <c r="E161" s="335"/>
      <c r="F161" s="336"/>
      <c r="G161" s="334"/>
      <c r="H161" s="334"/>
      <c r="I161" s="334"/>
      <c r="J161" s="334"/>
      <c r="K161" s="334"/>
      <c r="L161" s="334"/>
      <c r="M161" s="334"/>
      <c r="N161" s="334"/>
      <c r="O161" s="334"/>
      <c r="P161" s="334"/>
      <c r="Q161" s="334"/>
      <c r="R161" s="91"/>
      <c r="S161" s="91"/>
      <c r="T161" s="328"/>
      <c r="U161" s="328"/>
      <c r="V161" s="328"/>
      <c r="W161" s="328"/>
      <c r="X161" s="328"/>
      <c r="Y161" s="328"/>
      <c r="Z161" s="328"/>
      <c r="AA161" s="341"/>
      <c r="AB161" s="328"/>
      <c r="AC161" s="328"/>
      <c r="AD161" s="328"/>
      <c r="AE161" s="328"/>
      <c r="AF161" s="328"/>
      <c r="AG161" s="328"/>
      <c r="AH161" s="328"/>
      <c r="AI161" s="328"/>
      <c r="AJ161" s="328"/>
      <c r="AK161" s="328"/>
      <c r="AL161" s="328"/>
      <c r="AM161" s="328"/>
      <c r="AN161" s="328"/>
      <c r="AO161" s="328"/>
      <c r="AP161" s="328"/>
      <c r="AQ161" s="328"/>
      <c r="AR161" s="328"/>
      <c r="AS161" s="328"/>
      <c r="AT161" s="328"/>
      <c r="AU161" s="328"/>
      <c r="AV161" s="328"/>
      <c r="AW161" s="328"/>
      <c r="AX161" s="328"/>
      <c r="AY161" s="328"/>
      <c r="AZ161" s="328"/>
      <c r="BA161" s="328"/>
      <c r="BB161" s="328"/>
      <c r="BC161" s="328"/>
      <c r="BD161" s="328"/>
      <c r="BE161" s="328"/>
      <c r="BF161" s="328"/>
      <c r="BG161" s="328"/>
      <c r="BH161" s="328"/>
      <c r="BI161" s="328"/>
      <c r="BJ161" s="328"/>
      <c r="BK161" s="328"/>
      <c r="BL161" s="328"/>
      <c r="BM161" s="328"/>
      <c r="BN161" s="328"/>
      <c r="BO161" s="328"/>
      <c r="BP161" s="328"/>
      <c r="BQ161" s="328"/>
      <c r="BR161" s="328"/>
      <c r="BS161" s="328"/>
      <c r="BT161" s="328"/>
      <c r="BU161" s="328"/>
      <c r="BV161" s="328"/>
      <c r="BW161" s="328"/>
      <c r="BX161" s="328"/>
      <c r="BY161" s="328"/>
      <c r="BZ161" s="328"/>
      <c r="CA161" s="328"/>
      <c r="CB161" s="328"/>
      <c r="CC161" s="328"/>
      <c r="CD161" s="328"/>
      <c r="CE161" s="328"/>
      <c r="CF161" s="328"/>
      <c r="CG161" s="328"/>
      <c r="CH161" s="328"/>
      <c r="CI161" s="328"/>
      <c r="CJ161" s="328"/>
      <c r="CK161" s="328"/>
    </row>
    <row r="162" spans="1:89" s="326" customFormat="1" ht="12.75" customHeight="1" x14ac:dyDescent="0.25">
      <c r="A162" s="324"/>
      <c r="B162" s="334" t="str">
        <f>VLOOKUP(269,Textbausteine_102[],Hilfsgrössen!$D$2,FALSE)</f>
        <v>9) Nouvelle base de calcul pour 2007. Par conséquent, une comparaison avec les années précédentes n’est pas possible.</v>
      </c>
      <c r="C162" s="337"/>
      <c r="E162" s="338"/>
      <c r="F162" s="328"/>
      <c r="G162" s="329"/>
      <c r="H162" s="91"/>
      <c r="I162" s="91"/>
      <c r="J162" s="91"/>
      <c r="K162" s="91"/>
      <c r="L162" s="91"/>
      <c r="M162" s="91"/>
      <c r="N162" s="327"/>
      <c r="O162" s="327"/>
      <c r="P162" s="328"/>
      <c r="Q162" s="328"/>
      <c r="R162" s="91"/>
      <c r="S162" s="91"/>
      <c r="T162" s="328"/>
      <c r="U162" s="328"/>
      <c r="V162" s="328"/>
      <c r="W162" s="328"/>
      <c r="X162" s="328"/>
      <c r="Y162" s="328"/>
      <c r="Z162" s="328"/>
      <c r="AA162" s="341"/>
      <c r="AB162" s="328"/>
      <c r="AC162" s="328"/>
      <c r="AD162" s="328"/>
      <c r="AE162" s="328"/>
      <c r="AF162" s="328"/>
      <c r="AG162" s="328"/>
      <c r="AH162" s="328"/>
      <c r="AI162" s="328"/>
      <c r="AJ162" s="328"/>
      <c r="AK162" s="328"/>
      <c r="AL162" s="328"/>
      <c r="AM162" s="328"/>
      <c r="AN162" s="328"/>
      <c r="AO162" s="328"/>
      <c r="AP162" s="328"/>
      <c r="AQ162" s="328"/>
      <c r="AR162" s="328"/>
      <c r="AS162" s="328"/>
      <c r="AT162" s="328"/>
      <c r="AU162" s="328"/>
      <c r="AV162" s="328"/>
      <c r="AW162" s="328"/>
      <c r="AX162" s="328"/>
      <c r="AY162" s="328"/>
      <c r="AZ162" s="328"/>
      <c r="BA162" s="328"/>
      <c r="BB162" s="328"/>
      <c r="BC162" s="328"/>
      <c r="BD162" s="328"/>
      <c r="BE162" s="328"/>
      <c r="BF162" s="328"/>
      <c r="BG162" s="328"/>
      <c r="BH162" s="328"/>
      <c r="BI162" s="328"/>
      <c r="BJ162" s="328"/>
      <c r="BK162" s="328"/>
      <c r="BL162" s="328"/>
      <c r="BM162" s="328"/>
      <c r="BN162" s="328"/>
      <c r="BO162" s="328"/>
      <c r="BP162" s="328"/>
      <c r="BQ162" s="328"/>
      <c r="BR162" s="328"/>
      <c r="BS162" s="328"/>
      <c r="BT162" s="328"/>
      <c r="BU162" s="328"/>
      <c r="BV162" s="328"/>
      <c r="BW162" s="328"/>
      <c r="BX162" s="328"/>
      <c r="BY162" s="328"/>
      <c r="BZ162" s="328"/>
      <c r="CA162" s="328"/>
      <c r="CB162" s="328"/>
      <c r="CC162" s="328"/>
      <c r="CD162" s="328"/>
      <c r="CE162" s="328"/>
      <c r="CF162" s="328"/>
      <c r="CG162" s="328"/>
      <c r="CH162" s="328"/>
      <c r="CI162" s="328"/>
      <c r="CJ162" s="328"/>
      <c r="CK162" s="328"/>
    </row>
    <row r="163" spans="1:89" s="326" customFormat="1" ht="11.25" customHeight="1" x14ac:dyDescent="0.25">
      <c r="A163" s="324"/>
      <c r="B163" s="334" t="str">
        <f>VLOOKUP(270,Textbausteine_102[],Hilfsgrössen!$D$2,FALSE)</f>
        <v>10)  En 2019, un nouveau modèle de service a été introduit et le catalogue des prestations a été simplifié. La comparaison avec les valeurs de l’exercice précédent est limitée.</v>
      </c>
      <c r="C163" s="337"/>
      <c r="E163" s="338"/>
      <c r="F163" s="328"/>
      <c r="G163" s="329"/>
      <c r="H163" s="91"/>
      <c r="I163" s="91"/>
      <c r="J163" s="91"/>
      <c r="K163" s="91"/>
      <c r="L163" s="91"/>
      <c r="M163" s="91"/>
      <c r="N163" s="327"/>
      <c r="O163" s="327"/>
      <c r="P163" s="328"/>
      <c r="Q163" s="328"/>
      <c r="R163" s="91"/>
      <c r="S163" s="91"/>
      <c r="T163" s="328"/>
      <c r="U163" s="328"/>
      <c r="V163" s="328"/>
      <c r="W163" s="328"/>
      <c r="X163" s="328"/>
      <c r="Y163" s="328"/>
      <c r="Z163" s="328"/>
      <c r="AA163" s="341"/>
      <c r="AB163" s="328"/>
      <c r="AC163" s="328"/>
      <c r="AD163" s="328"/>
      <c r="AE163" s="328"/>
      <c r="AF163" s="328"/>
      <c r="AG163" s="328"/>
      <c r="AH163" s="328"/>
      <c r="AI163" s="328"/>
      <c r="AJ163" s="328"/>
      <c r="AK163" s="328"/>
      <c r="AL163" s="328"/>
      <c r="AM163" s="328"/>
      <c r="AN163" s="328"/>
      <c r="AO163" s="328"/>
      <c r="AP163" s="328"/>
      <c r="AQ163" s="328"/>
      <c r="AR163" s="328"/>
      <c r="AS163" s="328"/>
      <c r="AT163" s="328"/>
      <c r="AU163" s="328"/>
      <c r="AV163" s="328"/>
      <c r="AW163" s="328"/>
      <c r="AX163" s="328"/>
      <c r="AY163" s="328"/>
      <c r="AZ163" s="328"/>
      <c r="BA163" s="328"/>
      <c r="BB163" s="328"/>
      <c r="BC163" s="328"/>
      <c r="BD163" s="328"/>
      <c r="BE163" s="328"/>
      <c r="BF163" s="328"/>
      <c r="BG163" s="328"/>
      <c r="BH163" s="328"/>
      <c r="BI163" s="328"/>
      <c r="BJ163" s="328"/>
      <c r="BK163" s="328"/>
      <c r="BL163" s="328"/>
      <c r="BM163" s="328"/>
      <c r="BN163" s="328"/>
      <c r="BO163" s="328"/>
      <c r="BP163" s="328"/>
      <c r="BQ163" s="328"/>
      <c r="BR163" s="328"/>
      <c r="BS163" s="328"/>
      <c r="BT163" s="328"/>
      <c r="BU163" s="328"/>
      <c r="BV163" s="328"/>
      <c r="BW163" s="328"/>
      <c r="BX163" s="328"/>
      <c r="BY163" s="328"/>
      <c r="BZ163" s="328"/>
      <c r="CA163" s="328"/>
      <c r="CB163" s="328"/>
      <c r="CC163" s="328"/>
      <c r="CD163" s="328"/>
      <c r="CE163" s="328"/>
      <c r="CF163" s="328"/>
      <c r="CG163" s="328"/>
      <c r="CH163" s="328"/>
      <c r="CI163" s="328"/>
      <c r="CJ163" s="328"/>
      <c r="CK163" s="328"/>
    </row>
    <row r="164" spans="1:89" s="326" customFormat="1" ht="12.6" customHeight="1" x14ac:dyDescent="0.25">
      <c r="A164" s="324"/>
      <c r="B164" s="334" t="str">
        <f>VLOOKUP(271,Textbausteine_102[],Hilfsgrössen!$D$2,FALSE)</f>
        <v>11) En 2019, les services d’assistance ont été redéfinis techniciens de service sur site. La comparaison avec les valeurs des exercices précédents est limitée.</v>
      </c>
      <c r="C164" s="337"/>
      <c r="E164" s="338"/>
      <c r="F164" s="328"/>
      <c r="G164" s="329"/>
      <c r="H164" s="91"/>
      <c r="I164" s="91"/>
      <c r="J164" s="91"/>
      <c r="K164" s="91"/>
      <c r="L164" s="91"/>
      <c r="M164" s="91"/>
      <c r="N164" s="327"/>
      <c r="O164" s="327"/>
      <c r="P164" s="328"/>
      <c r="Q164" s="328"/>
      <c r="R164" s="91"/>
      <c r="S164" s="91"/>
      <c r="T164" s="328"/>
      <c r="U164" s="328"/>
      <c r="V164" s="328"/>
      <c r="W164" s="328"/>
      <c r="X164" s="328"/>
      <c r="Y164" s="328"/>
      <c r="Z164" s="328"/>
      <c r="AA164" s="341"/>
      <c r="AB164" s="328"/>
      <c r="AC164" s="328"/>
      <c r="AD164" s="328"/>
      <c r="AE164" s="328"/>
      <c r="AF164" s="328"/>
      <c r="AG164" s="328"/>
      <c r="AH164" s="328"/>
      <c r="AI164" s="328"/>
      <c r="AJ164" s="328"/>
      <c r="AK164" s="328"/>
      <c r="AL164" s="328"/>
      <c r="AM164" s="328"/>
      <c r="AN164" s="328"/>
      <c r="AO164" s="328"/>
      <c r="AP164" s="328"/>
      <c r="AQ164" s="328"/>
      <c r="AR164" s="328"/>
      <c r="AS164" s="328"/>
      <c r="AT164" s="328"/>
      <c r="AU164" s="328"/>
      <c r="AV164" s="328"/>
      <c r="AW164" s="328"/>
      <c r="AX164" s="328"/>
      <c r="AY164" s="328"/>
      <c r="AZ164" s="328"/>
      <c r="BA164" s="328"/>
      <c r="BB164" s="328"/>
      <c r="BC164" s="328"/>
      <c r="BD164" s="328"/>
      <c r="BE164" s="328"/>
      <c r="BF164" s="328"/>
      <c r="BG164" s="328"/>
      <c r="BH164" s="328"/>
      <c r="BI164" s="328"/>
      <c r="BJ164" s="328"/>
      <c r="BK164" s="328"/>
      <c r="BL164" s="328"/>
      <c r="BM164" s="328"/>
      <c r="BN164" s="328"/>
      <c r="BO164" s="328"/>
      <c r="BP164" s="328"/>
      <c r="BQ164" s="328"/>
      <c r="BR164" s="328"/>
      <c r="BS164" s="328"/>
      <c r="BT164" s="328"/>
      <c r="BU164" s="328"/>
      <c r="BV164" s="328"/>
      <c r="BW164" s="328"/>
      <c r="BX164" s="328"/>
      <c r="BY164" s="328"/>
      <c r="BZ164" s="328"/>
      <c r="CA164" s="328"/>
      <c r="CB164" s="328"/>
      <c r="CC164" s="328"/>
      <c r="CD164" s="328"/>
      <c r="CE164" s="328"/>
      <c r="CF164" s="328"/>
      <c r="CG164" s="328"/>
      <c r="CH164" s="328"/>
      <c r="CI164" s="328"/>
      <c r="CJ164" s="328"/>
      <c r="CK164" s="328"/>
    </row>
    <row r="165" spans="1:89" s="326" customFormat="1" ht="12.6" customHeight="1" x14ac:dyDescent="0.25">
      <c r="A165" s="324"/>
      <c r="B165" s="334" t="str">
        <f>VLOOKUP(272,Textbausteine_102[],Hilfsgrössen!$D$2,FALSE)</f>
        <v>12) Der Vorjahreswert 2019 wurde angepasst. Bei den Lebensversicherungen wird ab 2020 das gezillmerte Deckungskapital mit dem Rückkaufwert der Lebensversicherungen ersetzt.</v>
      </c>
      <c r="C165" s="337"/>
      <c r="E165" s="338"/>
      <c r="F165" s="328"/>
      <c r="G165" s="329"/>
      <c r="H165" s="91"/>
      <c r="I165" s="91"/>
      <c r="J165" s="91"/>
      <c r="K165" s="91"/>
      <c r="L165" s="91"/>
      <c r="M165" s="91"/>
      <c r="N165" s="327"/>
      <c r="O165" s="327"/>
      <c r="P165" s="328"/>
      <c r="Q165" s="328"/>
      <c r="R165" s="91"/>
      <c r="S165" s="91"/>
      <c r="T165" s="328"/>
      <c r="U165" s="328"/>
      <c r="V165" s="328"/>
      <c r="W165" s="328"/>
      <c r="X165" s="328"/>
      <c r="Y165" s="328"/>
      <c r="Z165" s="328"/>
      <c r="AA165" s="341"/>
      <c r="AB165" s="328"/>
      <c r="AC165" s="328"/>
      <c r="AD165" s="328"/>
      <c r="AE165" s="328"/>
      <c r="AF165" s="328"/>
      <c r="AG165" s="328"/>
      <c r="AH165" s="328"/>
      <c r="AI165" s="328"/>
      <c r="AJ165" s="328"/>
      <c r="AK165" s="328"/>
      <c r="AL165" s="328"/>
      <c r="AM165" s="328"/>
      <c r="AN165" s="328"/>
      <c r="AO165" s="328"/>
      <c r="AP165" s="328"/>
      <c r="AQ165" s="328"/>
      <c r="AR165" s="328"/>
      <c r="AS165" s="328"/>
      <c r="AT165" s="328"/>
      <c r="AU165" s="328"/>
      <c r="AV165" s="328"/>
      <c r="AW165" s="328"/>
      <c r="AX165" s="328"/>
      <c r="AY165" s="328"/>
      <c r="AZ165" s="328"/>
      <c r="BA165" s="328"/>
      <c r="BB165" s="328"/>
      <c r="BC165" s="328"/>
      <c r="BD165" s="328"/>
      <c r="BE165" s="328"/>
      <c r="BF165" s="328"/>
      <c r="BG165" s="328"/>
      <c r="BH165" s="328"/>
      <c r="BI165" s="328"/>
      <c r="BJ165" s="328"/>
      <c r="BK165" s="328"/>
      <c r="BL165" s="328"/>
      <c r="BM165" s="328"/>
      <c r="BN165" s="328"/>
      <c r="BO165" s="328"/>
      <c r="BP165" s="328"/>
      <c r="BQ165" s="328"/>
      <c r="BR165" s="328"/>
      <c r="BS165" s="328"/>
      <c r="BT165" s="328"/>
      <c r="BU165" s="328"/>
      <c r="BV165" s="328"/>
      <c r="BW165" s="328"/>
      <c r="BX165" s="328"/>
      <c r="BY165" s="328"/>
      <c r="BZ165" s="328"/>
      <c r="CA165" s="328"/>
      <c r="CB165" s="328"/>
      <c r="CC165" s="328"/>
      <c r="CD165" s="328"/>
      <c r="CE165" s="328"/>
      <c r="CF165" s="328"/>
      <c r="CG165" s="328"/>
      <c r="CH165" s="328"/>
      <c r="CI165" s="328"/>
      <c r="CJ165" s="328"/>
      <c r="CK165" s="328"/>
    </row>
    <row r="166" spans="1:89" s="326" customFormat="1" ht="12.6" customHeight="1" x14ac:dyDescent="0.25">
      <c r="A166" s="324"/>
      <c r="B166" s="334" t="str">
        <f>VLOOKUP(273,Textbausteine_102[],Hilfsgrössen!$D$2,FALSE)</f>
        <v>13) Ab dem Jahr 2020 werden die Fondsvolumen inkl. Drittfonds ausgewiesen.</v>
      </c>
      <c r="C166" s="337"/>
      <c r="E166" s="338"/>
      <c r="F166" s="328"/>
      <c r="G166" s="329"/>
      <c r="H166" s="91"/>
      <c r="I166" s="91"/>
      <c r="J166" s="91"/>
      <c r="K166" s="91"/>
      <c r="L166" s="91"/>
      <c r="M166" s="91"/>
      <c r="N166" s="327"/>
      <c r="O166" s="327"/>
      <c r="P166" s="328"/>
      <c r="Q166" s="328"/>
      <c r="R166" s="91"/>
      <c r="S166" s="91"/>
      <c r="T166" s="328"/>
      <c r="U166" s="328"/>
      <c r="V166" s="328"/>
      <c r="W166" s="328"/>
      <c r="X166" s="328"/>
      <c r="Y166" s="328"/>
      <c r="Z166" s="328"/>
      <c r="AA166" s="341"/>
      <c r="AB166" s="328"/>
      <c r="AC166" s="328"/>
      <c r="AD166" s="328"/>
      <c r="AE166" s="328"/>
      <c r="AF166" s="328"/>
      <c r="AG166" s="328"/>
      <c r="AH166" s="328"/>
      <c r="AI166" s="328"/>
      <c r="AJ166" s="328"/>
      <c r="AK166" s="328"/>
      <c r="AL166" s="328"/>
      <c r="AM166" s="328"/>
      <c r="AN166" s="328"/>
      <c r="AO166" s="328"/>
      <c r="AP166" s="328"/>
      <c r="AQ166" s="328"/>
      <c r="AR166" s="328"/>
      <c r="AS166" s="328"/>
      <c r="AT166" s="328"/>
      <c r="AU166" s="328"/>
      <c r="AV166" s="328"/>
      <c r="AW166" s="328"/>
      <c r="AX166" s="328"/>
      <c r="AY166" s="328"/>
      <c r="AZ166" s="328"/>
      <c r="BA166" s="328"/>
      <c r="BB166" s="328"/>
      <c r="BC166" s="328"/>
      <c r="BD166" s="328"/>
      <c r="BE166" s="328"/>
      <c r="BF166" s="328"/>
      <c r="BG166" s="328"/>
      <c r="BH166" s="328"/>
      <c r="BI166" s="328"/>
      <c r="BJ166" s="328"/>
      <c r="BK166" s="328"/>
      <c r="BL166" s="328"/>
      <c r="BM166" s="328"/>
      <c r="BN166" s="328"/>
      <c r="BO166" s="328"/>
      <c r="BP166" s="328"/>
      <c r="BQ166" s="328"/>
      <c r="BR166" s="328"/>
      <c r="BS166" s="328"/>
      <c r="BT166" s="328"/>
      <c r="BU166" s="328"/>
      <c r="BV166" s="328"/>
      <c r="BW166" s="328"/>
      <c r="BX166" s="328"/>
      <c r="BY166" s="328"/>
      <c r="BZ166" s="328"/>
      <c r="CA166" s="328"/>
      <c r="CB166" s="328"/>
      <c r="CC166" s="328"/>
      <c r="CD166" s="328"/>
      <c r="CE166" s="328"/>
      <c r="CF166" s="328"/>
      <c r="CG166" s="328"/>
      <c r="CH166" s="328"/>
      <c r="CI166" s="328"/>
      <c r="CJ166" s="328"/>
      <c r="CK166" s="328"/>
    </row>
    <row r="167" spans="1:89" s="326" customFormat="1" ht="12.6" customHeight="1" x14ac:dyDescent="0.25">
      <c r="A167" s="324"/>
      <c r="B167" s="334" t="str">
        <f>VLOOKUP(274,Textbausteine_102[],Hilfsgrössen!$D$2,FALSE)</f>
        <v>14) Der Vorjahreswert 2019 wurde angepasst. Die Zählsystematik wurde von Anzahl Sendungen auf Anzahl Packstücke umgestellt. Die Werte 2019 und 2020 sind nicht mit den Vorjahreswerten vergleichbar.</v>
      </c>
      <c r="C167" s="337"/>
      <c r="E167" s="338"/>
      <c r="F167" s="328"/>
      <c r="G167" s="329"/>
      <c r="H167" s="91"/>
      <c r="I167" s="91"/>
      <c r="J167" s="91"/>
      <c r="K167" s="91"/>
      <c r="L167" s="91"/>
      <c r="M167" s="91"/>
      <c r="N167" s="327"/>
      <c r="O167" s="327"/>
      <c r="P167" s="328"/>
      <c r="Q167" s="328"/>
      <c r="R167" s="91"/>
      <c r="S167" s="91"/>
      <c r="T167" s="328"/>
      <c r="U167" s="328"/>
      <c r="V167" s="328"/>
      <c r="W167" s="328"/>
      <c r="X167" s="328"/>
      <c r="Y167" s="328"/>
      <c r="Z167" s="328"/>
      <c r="AA167" s="341"/>
      <c r="AB167" s="328"/>
      <c r="AC167" s="328"/>
      <c r="AD167" s="328"/>
      <c r="AE167" s="328"/>
      <c r="AF167" s="328"/>
      <c r="AG167" s="328"/>
      <c r="AH167" s="328"/>
      <c r="AI167" s="328"/>
      <c r="AJ167" s="328"/>
      <c r="AK167" s="328"/>
      <c r="AL167" s="328"/>
      <c r="AM167" s="328"/>
      <c r="AN167" s="328"/>
      <c r="AO167" s="328"/>
      <c r="AP167" s="328"/>
      <c r="AQ167" s="328"/>
      <c r="AR167" s="328"/>
      <c r="AS167" s="328"/>
      <c r="AT167" s="328"/>
      <c r="AU167" s="328"/>
      <c r="AV167" s="328"/>
      <c r="AW167" s="328"/>
      <c r="AX167" s="328"/>
      <c r="AY167" s="328"/>
      <c r="AZ167" s="328"/>
      <c r="BA167" s="328"/>
      <c r="BB167" s="328"/>
      <c r="BC167" s="328"/>
      <c r="BD167" s="328"/>
      <c r="BE167" s="328"/>
      <c r="BF167" s="328"/>
      <c r="BG167" s="328"/>
      <c r="BH167" s="328"/>
      <c r="BI167" s="328"/>
      <c r="BJ167" s="328"/>
      <c r="BK167" s="328"/>
      <c r="BL167" s="328"/>
      <c r="BM167" s="328"/>
      <c r="BN167" s="328"/>
      <c r="BO167" s="328"/>
      <c r="BP167" s="328"/>
      <c r="BQ167" s="328"/>
      <c r="BR167" s="328"/>
      <c r="BS167" s="328"/>
      <c r="BT167" s="328"/>
      <c r="BU167" s="328"/>
      <c r="BV167" s="328"/>
      <c r="BW167" s="328"/>
      <c r="BX167" s="328"/>
      <c r="BY167" s="328"/>
      <c r="BZ167" s="328"/>
      <c r="CA167" s="328"/>
      <c r="CB167" s="328"/>
      <c r="CC167" s="328"/>
      <c r="CD167" s="328"/>
      <c r="CE167" s="328"/>
      <c r="CF167" s="328"/>
      <c r="CG167" s="328"/>
      <c r="CH167" s="328"/>
      <c r="CI167" s="328"/>
      <c r="CJ167" s="328"/>
      <c r="CK167" s="328"/>
    </row>
    <row r="168" spans="1:89" s="326" customFormat="1" ht="12.6" customHeight="1" x14ac:dyDescent="0.25">
      <c r="A168" s="324"/>
      <c r="B168" s="334" t="str">
        <f>VLOOKUP(275,Textbausteine_102[],Hilfsgrössen!$D$2,FALSE)</f>
        <v>15) Valeur de 2019 ajustée.</v>
      </c>
      <c r="C168" s="337"/>
      <c r="E168" s="338"/>
      <c r="F168" s="328"/>
      <c r="G168" s="329"/>
      <c r="H168" s="91"/>
      <c r="I168" s="91"/>
      <c r="J168" s="91"/>
      <c r="K168" s="91"/>
      <c r="L168" s="91"/>
      <c r="M168" s="91"/>
      <c r="N168" s="327"/>
      <c r="O168" s="327"/>
      <c r="P168" s="328"/>
      <c r="Q168" s="328"/>
      <c r="R168" s="91"/>
      <c r="S168" s="91"/>
      <c r="T168" s="328"/>
      <c r="U168" s="328"/>
      <c r="V168" s="328"/>
      <c r="W168" s="328"/>
      <c r="X168" s="328"/>
      <c r="Y168" s="328"/>
      <c r="Z168" s="328"/>
      <c r="AA168" s="341"/>
      <c r="AB168" s="328"/>
      <c r="AC168" s="328"/>
      <c r="AD168" s="328"/>
      <c r="AE168" s="328"/>
      <c r="AF168" s="328"/>
      <c r="AG168" s="328"/>
      <c r="AH168" s="328"/>
      <c r="AI168" s="328"/>
      <c r="AJ168" s="328"/>
      <c r="AK168" s="328"/>
      <c r="AL168" s="328"/>
      <c r="AM168" s="328"/>
      <c r="AN168" s="328"/>
      <c r="AO168" s="328"/>
      <c r="AP168" s="328"/>
      <c r="AQ168" s="328"/>
      <c r="AR168" s="328"/>
      <c r="AS168" s="328"/>
      <c r="AT168" s="328"/>
      <c r="AU168" s="328"/>
      <c r="AV168" s="328"/>
      <c r="AW168" s="328"/>
      <c r="AX168" s="328"/>
      <c r="AY168" s="328"/>
      <c r="AZ168" s="328"/>
      <c r="BA168" s="328"/>
      <c r="BB168" s="328"/>
      <c r="BC168" s="328"/>
      <c r="BD168" s="328"/>
      <c r="BE168" s="328"/>
      <c r="BF168" s="328"/>
      <c r="BG168" s="328"/>
      <c r="BH168" s="328"/>
      <c r="BI168" s="328"/>
      <c r="BJ168" s="328"/>
      <c r="BK168" s="328"/>
      <c r="BL168" s="328"/>
      <c r="BM168" s="328"/>
      <c r="BN168" s="328"/>
      <c r="BO168" s="328"/>
      <c r="BP168" s="328"/>
      <c r="BQ168" s="328"/>
      <c r="BR168" s="328"/>
      <c r="BS168" s="328"/>
      <c r="BT168" s="328"/>
      <c r="BU168" s="328"/>
      <c r="BV168" s="328"/>
      <c r="BW168" s="328"/>
      <c r="BX168" s="328"/>
      <c r="BY168" s="328"/>
      <c r="BZ168" s="328"/>
      <c r="CA168" s="328"/>
      <c r="CB168" s="328"/>
      <c r="CC168" s="328"/>
      <c r="CD168" s="328"/>
      <c r="CE168" s="328"/>
      <c r="CF168" s="328"/>
      <c r="CG168" s="328"/>
      <c r="CH168" s="328"/>
      <c r="CI168" s="328"/>
      <c r="CJ168" s="328"/>
      <c r="CK168" s="328"/>
    </row>
    <row r="169" spans="1:89" s="326" customFormat="1" ht="12.6" customHeight="1" x14ac:dyDescent="0.25">
      <c r="A169" s="324"/>
      <c r="B169" s="334" t="str">
        <f>VLOOKUP(276,Textbausteine_102[],Hilfsgrössen!$D$2,FALSE)</f>
        <v>16) Le segment Services de communication a été créé en 2021, ce qui explique l’absence de valeurs comparatives pour les exercices précédents.</v>
      </c>
      <c r="C169" s="337"/>
      <c r="E169" s="338"/>
      <c r="F169" s="328"/>
      <c r="G169" s="329"/>
      <c r="H169" s="91"/>
      <c r="I169" s="91"/>
      <c r="J169" s="91"/>
      <c r="K169" s="91"/>
      <c r="L169" s="91"/>
      <c r="M169" s="91"/>
      <c r="N169" s="327"/>
      <c r="O169" s="327"/>
      <c r="P169" s="328"/>
      <c r="Q169" s="328"/>
      <c r="R169" s="91"/>
      <c r="S169" s="91"/>
      <c r="T169" s="328"/>
      <c r="U169" s="328"/>
      <c r="V169" s="328"/>
      <c r="W169" s="328"/>
      <c r="X169" s="328"/>
      <c r="Y169" s="328"/>
      <c r="Z169" s="328"/>
      <c r="AA169" s="341"/>
      <c r="AB169" s="328"/>
      <c r="AC169" s="328"/>
      <c r="AD169" s="328"/>
      <c r="AE169" s="328"/>
      <c r="AF169" s="328"/>
      <c r="AG169" s="328"/>
      <c r="AH169" s="328"/>
      <c r="AI169" s="328"/>
      <c r="AJ169" s="328"/>
      <c r="AK169" s="328"/>
      <c r="AL169" s="328"/>
      <c r="AM169" s="328"/>
      <c r="AN169" s="328"/>
      <c r="AO169" s="328"/>
      <c r="AP169" s="328"/>
      <c r="AQ169" s="328"/>
      <c r="AR169" s="328"/>
      <c r="AS169" s="328"/>
      <c r="AT169" s="328"/>
      <c r="AU169" s="328"/>
      <c r="AV169" s="328"/>
      <c r="AW169" s="328"/>
      <c r="AX169" s="328"/>
      <c r="AY169" s="328"/>
      <c r="AZ169" s="328"/>
      <c r="BA169" s="328"/>
      <c r="BB169" s="328"/>
      <c r="BC169" s="328"/>
      <c r="BD169" s="328"/>
      <c r="BE169" s="328"/>
      <c r="BF169" s="328"/>
      <c r="BG169" s="328"/>
      <c r="BH169" s="328"/>
      <c r="BI169" s="328"/>
      <c r="BJ169" s="328"/>
      <c r="BK169" s="328"/>
      <c r="BL169" s="328"/>
      <c r="BM169" s="328"/>
      <c r="BN169" s="328"/>
      <c r="BO169" s="328"/>
      <c r="BP169" s="328"/>
      <c r="BQ169" s="328"/>
      <c r="BR169" s="328"/>
      <c r="BS169" s="328"/>
      <c r="BT169" s="328"/>
      <c r="BU169" s="328"/>
      <c r="BV169" s="328"/>
      <c r="BW169" s="328"/>
      <c r="BX169" s="328"/>
      <c r="BY169" s="328"/>
      <c r="BZ169" s="328"/>
      <c r="CA169" s="328"/>
      <c r="CB169" s="328"/>
      <c r="CC169" s="328"/>
      <c r="CD169" s="328"/>
      <c r="CE169" s="328"/>
      <c r="CF169" s="328"/>
      <c r="CG169" s="328"/>
      <c r="CH169" s="328"/>
      <c r="CI169" s="328"/>
      <c r="CJ169" s="328"/>
      <c r="CK169" s="328"/>
    </row>
    <row r="170" spans="1:89" s="326" customFormat="1" ht="12.6" customHeight="1" x14ac:dyDescent="0.25">
      <c r="A170" s="324"/>
      <c r="B170" s="334" t="str">
        <f>VLOOKUP(277,Textbausteine_102[],Hilfsgrössen!$D$2,FALSE)</f>
        <v xml:space="preserve">17) Le segment Services de mobilité a été créé en 2021 et CarPostal SA, Post Company Cars SA et PubliBike SA ont été réunies au sein d’une même unité d’affaires. Le 4 février 2022, PubliBike SA a été vendue. </v>
      </c>
      <c r="C170" s="337"/>
      <c r="E170" s="338"/>
      <c r="F170" s="328"/>
      <c r="G170" s="329"/>
      <c r="H170" s="91"/>
      <c r="I170" s="91"/>
      <c r="J170" s="91"/>
      <c r="K170" s="91"/>
      <c r="L170" s="91"/>
      <c r="M170" s="91"/>
      <c r="N170" s="327"/>
      <c r="O170" s="327"/>
      <c r="P170" s="328"/>
      <c r="Q170" s="328"/>
      <c r="R170" s="91"/>
      <c r="S170" s="91"/>
      <c r="T170" s="328"/>
      <c r="U170" s="328"/>
      <c r="V170" s="328"/>
      <c r="W170" s="328"/>
      <c r="X170" s="328"/>
      <c r="Y170" s="328"/>
      <c r="Z170" s="328"/>
      <c r="AA170" s="341"/>
      <c r="AB170" s="328"/>
      <c r="AC170" s="328"/>
      <c r="AD170" s="328"/>
      <c r="AE170" s="328"/>
      <c r="AF170" s="328"/>
      <c r="AG170" s="328"/>
      <c r="AH170" s="328"/>
      <c r="AI170" s="328"/>
      <c r="AJ170" s="328"/>
      <c r="AK170" s="328"/>
      <c r="AL170" s="328"/>
      <c r="AM170" s="328"/>
      <c r="AN170" s="328"/>
      <c r="AO170" s="328"/>
      <c r="AP170" s="328"/>
      <c r="AQ170" s="328"/>
      <c r="AR170" s="328"/>
      <c r="AS170" s="328"/>
      <c r="AT170" s="328"/>
      <c r="AU170" s="328"/>
      <c r="AV170" s="328"/>
      <c r="AW170" s="328"/>
      <c r="AX170" s="328"/>
      <c r="AY170" s="328"/>
      <c r="AZ170" s="328"/>
      <c r="BA170" s="328"/>
      <c r="BB170" s="328"/>
      <c r="BC170" s="328"/>
      <c r="BD170" s="328"/>
      <c r="BE170" s="328"/>
      <c r="BF170" s="328"/>
      <c r="BG170" s="328"/>
      <c r="BH170" s="328"/>
      <c r="BI170" s="328"/>
      <c r="BJ170" s="328"/>
      <c r="BK170" s="328"/>
      <c r="BL170" s="328"/>
      <c r="BM170" s="328"/>
      <c r="BN170" s="328"/>
      <c r="BO170" s="328"/>
      <c r="BP170" s="328"/>
      <c r="BQ170" s="328"/>
      <c r="BR170" s="328"/>
      <c r="BS170" s="328"/>
      <c r="BT170" s="328"/>
      <c r="BU170" s="328"/>
      <c r="BV170" s="328"/>
      <c r="BW170" s="328"/>
      <c r="BX170" s="328"/>
      <c r="BY170" s="328"/>
      <c r="BZ170" s="328"/>
      <c r="CA170" s="328"/>
      <c r="CB170" s="328"/>
      <c r="CC170" s="328"/>
      <c r="CD170" s="328"/>
      <c r="CE170" s="328"/>
      <c r="CF170" s="328"/>
      <c r="CG170" s="328"/>
      <c r="CH170" s="328"/>
      <c r="CI170" s="328"/>
      <c r="CJ170" s="328"/>
      <c r="CK170" s="328"/>
    </row>
    <row r="171" spans="1:89" s="326" customFormat="1" ht="12.6" customHeight="1" x14ac:dyDescent="0.25">
      <c r="A171" s="324"/>
      <c r="B171" s="334" t="str">
        <f>VLOOKUP(278,Textbausteine_102[],Hilfsgrössen!$D$2,FALSE)</f>
        <v>18) La définition a changé depuis 2021. Les valeurs de l’exercice 2020 ont également été ajustées pour permettre la comparaison.</v>
      </c>
      <c r="C171" s="337"/>
      <c r="E171" s="338"/>
      <c r="F171" s="328"/>
      <c r="G171" s="329"/>
      <c r="H171" s="91"/>
      <c r="I171" s="91"/>
      <c r="J171" s="91"/>
      <c r="K171" s="91"/>
      <c r="L171" s="91"/>
      <c r="M171" s="91"/>
      <c r="N171" s="327"/>
      <c r="O171" s="327"/>
      <c r="P171" s="328"/>
      <c r="Q171" s="328"/>
      <c r="R171" s="91"/>
      <c r="S171" s="91"/>
      <c r="T171" s="328"/>
      <c r="U171" s="328"/>
      <c r="V171" s="328"/>
      <c r="W171" s="328"/>
      <c r="X171" s="328"/>
      <c r="Y171" s="328"/>
      <c r="Z171" s="328"/>
      <c r="AA171" s="341"/>
      <c r="AB171" s="328"/>
      <c r="AC171" s="328"/>
      <c r="AD171" s="328"/>
      <c r="AE171" s="328"/>
      <c r="AF171" s="328"/>
      <c r="AG171" s="328"/>
      <c r="AH171" s="328"/>
      <c r="AI171" s="328"/>
      <c r="AJ171" s="328"/>
      <c r="AK171" s="328"/>
      <c r="AL171" s="328"/>
      <c r="AM171" s="328"/>
      <c r="AN171" s="328"/>
      <c r="AO171" s="328"/>
      <c r="AP171" s="328"/>
      <c r="AQ171" s="328"/>
      <c r="AR171" s="328"/>
      <c r="AS171" s="328"/>
      <c r="AT171" s="328"/>
      <c r="AU171" s="328"/>
      <c r="AV171" s="328"/>
      <c r="AW171" s="328"/>
      <c r="AX171" s="328"/>
      <c r="AY171" s="328"/>
      <c r="AZ171" s="328"/>
      <c r="BA171" s="328"/>
      <c r="BB171" s="328"/>
      <c r="BC171" s="328"/>
      <c r="BD171" s="328"/>
      <c r="BE171" s="328"/>
      <c r="BF171" s="328"/>
      <c r="BG171" s="328"/>
      <c r="BH171" s="328"/>
      <c r="BI171" s="328"/>
      <c r="BJ171" s="328"/>
      <c r="BK171" s="328"/>
      <c r="BL171" s="328"/>
      <c r="BM171" s="328"/>
      <c r="BN171" s="328"/>
      <c r="BO171" s="328"/>
      <c r="BP171" s="328"/>
      <c r="BQ171" s="328"/>
      <c r="BR171" s="328"/>
      <c r="BS171" s="328"/>
      <c r="BT171" s="328"/>
      <c r="BU171" s="328"/>
      <c r="BV171" s="328"/>
      <c r="BW171" s="328"/>
      <c r="BX171" s="328"/>
      <c r="BY171" s="328"/>
      <c r="BZ171" s="328"/>
      <c r="CA171" s="328"/>
      <c r="CB171" s="328"/>
      <c r="CC171" s="328"/>
      <c r="CD171" s="328"/>
      <c r="CE171" s="328"/>
      <c r="CF171" s="328"/>
      <c r="CG171" s="328"/>
      <c r="CH171" s="328"/>
      <c r="CI171" s="328"/>
      <c r="CJ171" s="328"/>
      <c r="CK171" s="328"/>
    </row>
    <row r="172" spans="1:89" s="326" customFormat="1" ht="12.6" customHeight="1" x14ac:dyDescent="0.25">
      <c r="A172" s="324"/>
      <c r="B172" s="334" t="str">
        <f>VLOOKUP(279,Textbausteine_102[],Hilfsgrössen!$D$2,FALSE)</f>
        <v>19) La définition du volume des colis a été modifiée en 2021. Ce volume inclut désormais les colis domestiques et internationaux, hors envois coursier et express. Les valeurs de 2017 à 2020 ont été ajustées en conséquence.</v>
      </c>
      <c r="C172" s="337"/>
      <c r="E172" s="338"/>
      <c r="F172" s="328"/>
      <c r="G172" s="329"/>
      <c r="H172" s="91"/>
      <c r="I172" s="91"/>
      <c r="J172" s="91"/>
      <c r="K172" s="91"/>
      <c r="L172" s="91"/>
      <c r="M172" s="91"/>
      <c r="N172" s="327"/>
      <c r="O172" s="327"/>
      <c r="P172" s="328"/>
      <c r="Q172" s="328"/>
      <c r="R172" s="91"/>
      <c r="S172" s="91"/>
      <c r="T172" s="328"/>
      <c r="U172" s="328"/>
      <c r="V172" s="328"/>
      <c r="W172" s="328"/>
      <c r="X172" s="328"/>
      <c r="Y172" s="328"/>
      <c r="Z172" s="328"/>
      <c r="AA172" s="341"/>
      <c r="AB172" s="328"/>
      <c r="AC172" s="328"/>
      <c r="AD172" s="328"/>
      <c r="AE172" s="328"/>
      <c r="AF172" s="328"/>
      <c r="AG172" s="328"/>
      <c r="AH172" s="328"/>
      <c r="AI172" s="328"/>
      <c r="AJ172" s="328"/>
      <c r="AK172" s="328"/>
      <c r="AL172" s="328"/>
      <c r="AM172" s="328"/>
      <c r="AN172" s="328"/>
      <c r="AO172" s="328"/>
      <c r="AP172" s="328"/>
      <c r="AQ172" s="328"/>
      <c r="AR172" s="328"/>
      <c r="AS172" s="328"/>
      <c r="AT172" s="328"/>
      <c r="AU172" s="328"/>
      <c r="AV172" s="328"/>
      <c r="AW172" s="328"/>
      <c r="AX172" s="328"/>
      <c r="AY172" s="328"/>
      <c r="AZ172" s="328"/>
      <c r="BA172" s="328"/>
      <c r="BB172" s="328"/>
      <c r="BC172" s="328"/>
      <c r="BD172" s="328"/>
      <c r="BE172" s="328"/>
      <c r="BF172" s="328"/>
      <c r="BG172" s="328"/>
      <c r="BH172" s="328"/>
      <c r="BI172" s="328"/>
      <c r="BJ172" s="328"/>
      <c r="BK172" s="328"/>
      <c r="BL172" s="328"/>
      <c r="BM172" s="328"/>
      <c r="BN172" s="328"/>
      <c r="BO172" s="328"/>
      <c r="BP172" s="328"/>
      <c r="BQ172" s="328"/>
      <c r="BR172" s="328"/>
      <c r="BS172" s="328"/>
      <c r="BT172" s="328"/>
      <c r="BU172" s="328"/>
      <c r="BV172" s="328"/>
      <c r="BW172" s="328"/>
      <c r="BX172" s="328"/>
      <c r="BY172" s="328"/>
      <c r="BZ172" s="328"/>
      <c r="CA172" s="328"/>
      <c r="CB172" s="328"/>
      <c r="CC172" s="328"/>
      <c r="CD172" s="328"/>
      <c r="CE172" s="328"/>
      <c r="CF172" s="328"/>
      <c r="CG172" s="328"/>
      <c r="CH172" s="328"/>
      <c r="CI172" s="328"/>
      <c r="CJ172" s="328"/>
      <c r="CK172" s="328"/>
    </row>
    <row r="173" spans="1:89" s="326" customFormat="1" ht="12.6" customHeight="1" x14ac:dyDescent="0.25">
      <c r="A173" s="324"/>
      <c r="B173" s="334" t="str">
        <f>VLOOKUP(280,Textbausteine_102[],Hilfsgrössen!$D$2,FALSE)</f>
        <v>20) À partir de 2018, le chiffre clé comprend les envois SameDay de notime.</v>
      </c>
      <c r="C173" s="364"/>
      <c r="E173" s="338"/>
      <c r="F173" s="328"/>
      <c r="G173" s="329"/>
      <c r="H173" s="91"/>
      <c r="I173" s="91"/>
      <c r="J173" s="91"/>
      <c r="K173" s="91"/>
      <c r="L173" s="91"/>
      <c r="M173" s="91"/>
      <c r="N173" s="327"/>
      <c r="O173" s="327"/>
      <c r="P173" s="328"/>
      <c r="Q173" s="328"/>
      <c r="R173" s="91"/>
      <c r="S173" s="91"/>
      <c r="T173" s="328"/>
      <c r="U173" s="328"/>
      <c r="V173" s="328"/>
      <c r="W173" s="328"/>
      <c r="X173" s="328"/>
      <c r="Y173" s="328"/>
      <c r="Z173" s="328"/>
      <c r="AA173" s="341"/>
      <c r="AB173" s="328"/>
      <c r="AC173" s="328"/>
      <c r="AD173" s="328"/>
      <c r="AE173" s="328"/>
      <c r="AF173" s="328"/>
      <c r="AG173" s="328"/>
      <c r="AH173" s="328"/>
      <c r="AI173" s="328"/>
      <c r="AJ173" s="328"/>
      <c r="AK173" s="328"/>
      <c r="AL173" s="328"/>
      <c r="AM173" s="328"/>
      <c r="AN173" s="328"/>
      <c r="AO173" s="328"/>
      <c r="AP173" s="328"/>
      <c r="AQ173" s="328"/>
      <c r="AR173" s="328"/>
      <c r="AS173" s="328"/>
      <c r="AT173" s="328"/>
      <c r="AU173" s="328"/>
      <c r="AV173" s="328"/>
      <c r="AW173" s="328"/>
      <c r="AX173" s="328"/>
      <c r="AY173" s="328"/>
      <c r="AZ173" s="328"/>
      <c r="BA173" s="328"/>
      <c r="BB173" s="328"/>
      <c r="BC173" s="328"/>
      <c r="BD173" s="328"/>
      <c r="BE173" s="328"/>
      <c r="BF173" s="328"/>
      <c r="BG173" s="328"/>
      <c r="BH173" s="328"/>
      <c r="BI173" s="328"/>
      <c r="BJ173" s="328"/>
      <c r="BK173" s="328"/>
      <c r="BL173" s="328"/>
      <c r="BM173" s="328"/>
      <c r="BN173" s="328"/>
      <c r="BO173" s="328"/>
      <c r="BP173" s="328"/>
      <c r="BQ173" s="328"/>
      <c r="BR173" s="328"/>
      <c r="BS173" s="328"/>
      <c r="BT173" s="328"/>
      <c r="BU173" s="328"/>
      <c r="BV173" s="328"/>
      <c r="BW173" s="328"/>
      <c r="BX173" s="328"/>
      <c r="BY173" s="328"/>
      <c r="BZ173" s="328"/>
      <c r="CA173" s="328"/>
      <c r="CB173" s="328"/>
      <c r="CC173" s="328"/>
      <c r="CD173" s="328"/>
      <c r="CE173" s="328"/>
      <c r="CF173" s="328"/>
      <c r="CG173" s="328"/>
      <c r="CH173" s="328"/>
      <c r="CI173" s="328"/>
      <c r="CJ173" s="328"/>
      <c r="CK173" s="328"/>
    </row>
    <row r="174" spans="1:89" s="326" customFormat="1" ht="12.6" customHeight="1" x14ac:dyDescent="0.25">
      <c r="A174" s="324"/>
      <c r="B174" s="334" t="str">
        <f>VLOOKUP(281,Textbausteine_102[],Hilfsgrössen!$D$2,FALSE)</f>
        <v>21) Catégorie ajoutée en 2021 et saisie pour les années à partir de 2019.</v>
      </c>
      <c r="C174" s="364"/>
      <c r="E174" s="338"/>
      <c r="F174" s="328"/>
      <c r="G174" s="329"/>
      <c r="H174" s="91"/>
      <c r="I174" s="91"/>
      <c r="J174" s="91"/>
      <c r="K174" s="91"/>
      <c r="L174" s="91"/>
      <c r="M174" s="91"/>
      <c r="N174" s="327"/>
      <c r="O174" s="327"/>
      <c r="P174" s="328"/>
      <c r="Q174" s="328"/>
      <c r="R174" s="91"/>
      <c r="S174" s="91"/>
      <c r="T174" s="328"/>
      <c r="U174" s="328"/>
      <c r="V174" s="328"/>
      <c r="W174" s="328"/>
      <c r="X174" s="328"/>
      <c r="Y174" s="328"/>
      <c r="Z174" s="328"/>
      <c r="AA174" s="341"/>
      <c r="AB174" s="328"/>
      <c r="AC174" s="328"/>
      <c r="AD174" s="328"/>
      <c r="AE174" s="328"/>
      <c r="AF174" s="328"/>
      <c r="AG174" s="328"/>
      <c r="AH174" s="328"/>
      <c r="AI174" s="328"/>
      <c r="AJ174" s="328"/>
      <c r="AK174" s="328"/>
      <c r="AL174" s="328"/>
      <c r="AM174" s="328"/>
      <c r="AN174" s="328"/>
      <c r="AO174" s="328"/>
      <c r="AP174" s="328"/>
      <c r="AQ174" s="328"/>
      <c r="AR174" s="328"/>
      <c r="AS174" s="328"/>
      <c r="AT174" s="328"/>
      <c r="AU174" s="328"/>
      <c r="AV174" s="328"/>
      <c r="AW174" s="328"/>
      <c r="AX174" s="328"/>
      <c r="AY174" s="328"/>
      <c r="AZ174" s="328"/>
      <c r="BA174" s="328"/>
      <c r="BB174" s="328"/>
      <c r="BC174" s="328"/>
      <c r="BD174" s="328"/>
      <c r="BE174" s="328"/>
      <c r="BF174" s="328"/>
      <c r="BG174" s="328"/>
      <c r="BH174" s="328"/>
      <c r="BI174" s="328"/>
      <c r="BJ174" s="328"/>
      <c r="BK174" s="328"/>
      <c r="BL174" s="328"/>
      <c r="BM174" s="328"/>
      <c r="BN174" s="328"/>
      <c r="BO174" s="328"/>
      <c r="BP174" s="328"/>
      <c r="BQ174" s="328"/>
      <c r="BR174" s="328"/>
      <c r="BS174" s="328"/>
      <c r="BT174" s="328"/>
      <c r="BU174" s="328"/>
      <c r="BV174" s="328"/>
      <c r="BW174" s="328"/>
      <c r="BX174" s="328"/>
      <c r="BY174" s="328"/>
      <c r="BZ174" s="328"/>
      <c r="CA174" s="328"/>
      <c r="CB174" s="328"/>
      <c r="CC174" s="328"/>
      <c r="CD174" s="328"/>
      <c r="CE174" s="328"/>
      <c r="CF174" s="328"/>
      <c r="CG174" s="328"/>
      <c r="CH174" s="328"/>
      <c r="CI174" s="328"/>
      <c r="CJ174" s="328"/>
      <c r="CK174" s="328"/>
    </row>
    <row r="175" spans="1:89" s="326" customFormat="1" ht="12.6" customHeight="1" x14ac:dyDescent="0.25">
      <c r="A175" s="339"/>
      <c r="B175" s="340" t="str">
        <f>VLOOKUP(282,Textbausteine_102[],Hilfsgrössen!$D$2,FALSE)</f>
        <v xml:space="preserve">22) Le segment Services logistiques est opérationnel depuis le 1er janvier 2021. Ce nouveau segment réunit les anciens segments PostMail et PostLogistics. </v>
      </c>
      <c r="C175" s="333"/>
      <c r="E175" s="338"/>
      <c r="F175" s="328"/>
      <c r="G175" s="329"/>
      <c r="H175" s="91"/>
      <c r="I175" s="91"/>
      <c r="J175" s="91"/>
      <c r="K175" s="91"/>
      <c r="L175" s="91"/>
      <c r="M175" s="91"/>
      <c r="N175" s="328"/>
      <c r="O175" s="328"/>
      <c r="P175" s="328"/>
      <c r="Q175" s="328"/>
      <c r="R175" s="91"/>
      <c r="S175" s="91"/>
      <c r="T175" s="328"/>
      <c r="U175" s="328"/>
      <c r="V175" s="328"/>
      <c r="W175" s="328"/>
      <c r="X175" s="328"/>
      <c r="Y175" s="328"/>
      <c r="Z175" s="328"/>
      <c r="AA175" s="341"/>
      <c r="AB175" s="328"/>
      <c r="AC175" s="328"/>
      <c r="AD175" s="328"/>
      <c r="AE175" s="328"/>
      <c r="AF175" s="328"/>
      <c r="AG175" s="328"/>
      <c r="AH175" s="328"/>
      <c r="AI175" s="328"/>
      <c r="AJ175" s="328"/>
      <c r="AK175" s="328"/>
      <c r="AL175" s="328"/>
      <c r="AM175" s="328"/>
      <c r="AN175" s="328"/>
      <c r="AO175" s="328"/>
      <c r="AP175" s="328"/>
      <c r="AQ175" s="328"/>
      <c r="AR175" s="328"/>
      <c r="AS175" s="328"/>
      <c r="AT175" s="328"/>
      <c r="AU175" s="328"/>
      <c r="AV175" s="328"/>
      <c r="AW175" s="328"/>
      <c r="AX175" s="328"/>
      <c r="AY175" s="328"/>
      <c r="AZ175" s="328"/>
      <c r="BA175" s="328"/>
      <c r="BB175" s="328"/>
      <c r="BC175" s="328"/>
      <c r="BD175" s="328"/>
      <c r="BE175" s="328"/>
      <c r="BF175" s="328"/>
      <c r="BG175" s="328"/>
      <c r="BH175" s="328"/>
      <c r="BI175" s="328"/>
      <c r="BJ175" s="328"/>
      <c r="BK175" s="328"/>
      <c r="BL175" s="328"/>
      <c r="BM175" s="328"/>
      <c r="BN175" s="328"/>
      <c r="BO175" s="328"/>
      <c r="BP175" s="328"/>
      <c r="BQ175" s="328"/>
      <c r="BR175" s="328"/>
      <c r="BS175" s="328"/>
      <c r="BT175" s="328"/>
      <c r="BU175" s="328"/>
      <c r="BV175" s="328"/>
      <c r="BW175" s="328"/>
      <c r="BX175" s="328"/>
      <c r="BY175" s="328"/>
      <c r="BZ175" s="328"/>
      <c r="CA175" s="328"/>
      <c r="CB175" s="328"/>
      <c r="CC175" s="328"/>
      <c r="CD175" s="328"/>
      <c r="CE175" s="328"/>
      <c r="CF175" s="328"/>
      <c r="CG175" s="328"/>
      <c r="CH175" s="328"/>
      <c r="CI175" s="328"/>
      <c r="CJ175" s="328"/>
      <c r="CK175" s="328"/>
    </row>
    <row r="176" spans="1:89" s="326" customFormat="1" ht="12.75" customHeight="1" x14ac:dyDescent="0.25">
      <c r="A176" s="339"/>
      <c r="B176" s="340" t="str">
        <f>VLOOKUP(283,Textbausteine_102[],Hilfsgrössen!$D$2,FALSE)</f>
        <v>23) Les valeurs de 2018 à 2020 ont été ajustées. La comparaison avec les valeurs de 2017 et des années antérieures est limitée.</v>
      </c>
      <c r="C176" s="333"/>
      <c r="E176" s="338"/>
      <c r="F176" s="328"/>
      <c r="G176" s="329"/>
      <c r="H176" s="91"/>
      <c r="I176" s="91"/>
      <c r="J176" s="91"/>
      <c r="K176" s="91"/>
      <c r="L176" s="91"/>
      <c r="M176" s="91"/>
      <c r="N176" s="328"/>
      <c r="O176" s="328"/>
      <c r="P176" s="328"/>
      <c r="Q176" s="328"/>
      <c r="R176" s="91"/>
      <c r="S176" s="91"/>
      <c r="T176" s="328"/>
      <c r="U176" s="328"/>
      <c r="V176" s="328"/>
      <c r="W176" s="328"/>
      <c r="X176" s="328"/>
      <c r="Y176" s="328"/>
      <c r="Z176" s="328"/>
      <c r="AA176" s="341"/>
      <c r="AB176" s="328"/>
      <c r="AC176" s="328"/>
      <c r="AD176" s="328"/>
      <c r="AE176" s="328"/>
      <c r="AF176" s="328"/>
      <c r="AG176" s="328"/>
      <c r="AH176" s="328"/>
      <c r="AI176" s="328"/>
      <c r="AJ176" s="328"/>
      <c r="AK176" s="328"/>
      <c r="AL176" s="328"/>
      <c r="AM176" s="328"/>
      <c r="AN176" s="328"/>
      <c r="AO176" s="328"/>
      <c r="AP176" s="328"/>
      <c r="AQ176" s="328"/>
      <c r="AR176" s="328"/>
      <c r="AS176" s="328"/>
      <c r="AT176" s="328"/>
      <c r="AU176" s="328"/>
      <c r="AV176" s="328"/>
      <c r="AW176" s="328"/>
      <c r="AX176" s="328"/>
      <c r="AY176" s="328"/>
      <c r="AZ176" s="328"/>
      <c r="BA176" s="328"/>
      <c r="BB176" s="328"/>
      <c r="BC176" s="328"/>
      <c r="BD176" s="328"/>
      <c r="BE176" s="328"/>
      <c r="BF176" s="328"/>
      <c r="BG176" s="328"/>
      <c r="BH176" s="328"/>
      <c r="BI176" s="328"/>
      <c r="BJ176" s="328"/>
      <c r="BK176" s="328"/>
      <c r="BL176" s="328"/>
      <c r="BM176" s="328"/>
      <c r="BN176" s="328"/>
      <c r="BO176" s="328"/>
      <c r="BP176" s="328"/>
      <c r="BQ176" s="328"/>
      <c r="BR176" s="328"/>
      <c r="BS176" s="328"/>
      <c r="BT176" s="328"/>
      <c r="BU176" s="328"/>
      <c r="BV176" s="328"/>
      <c r="BW176" s="328"/>
      <c r="BX176" s="328"/>
      <c r="BY176" s="328"/>
      <c r="BZ176" s="328"/>
      <c r="CA176" s="328"/>
      <c r="CB176" s="328"/>
      <c r="CC176" s="328"/>
      <c r="CD176" s="328"/>
      <c r="CE176" s="328"/>
      <c r="CF176" s="328"/>
      <c r="CG176" s="328"/>
      <c r="CH176" s="328"/>
      <c r="CI176" s="328"/>
      <c r="CJ176" s="328"/>
      <c r="CK176" s="328"/>
    </row>
    <row r="177" spans="1:89" s="326" customFormat="1" ht="12.6" customHeight="1" x14ac:dyDescent="0.25">
      <c r="A177" s="339"/>
      <c r="B177" s="340" t="str">
        <f>VLOOKUP(284,Textbausteine_102[],Hilfsgrössen!$D$2,FALSE)</f>
        <v>24) La valeur de l’exercice 2021 ne correspondait pas aux utilisateurs actifs et a été ajustée en conséquence.</v>
      </c>
      <c r="C177" s="333"/>
      <c r="E177" s="338"/>
      <c r="F177" s="328"/>
      <c r="G177" s="329"/>
      <c r="H177" s="91"/>
      <c r="I177" s="91"/>
      <c r="J177" s="91"/>
      <c r="K177" s="91"/>
      <c r="L177" s="91"/>
      <c r="M177" s="91"/>
      <c r="N177" s="328"/>
      <c r="O177" s="328"/>
      <c r="P177" s="328"/>
      <c r="Q177" s="328"/>
      <c r="R177" s="91"/>
      <c r="S177" s="91"/>
      <c r="T177" s="328"/>
      <c r="U177" s="328"/>
      <c r="V177" s="328"/>
      <c r="W177" s="328"/>
      <c r="X177" s="328"/>
      <c r="Y177" s="328"/>
      <c r="Z177" s="328"/>
      <c r="AA177" s="341"/>
      <c r="AB177" s="328"/>
      <c r="AC177" s="328"/>
      <c r="AD177" s="328"/>
      <c r="AE177" s="328"/>
      <c r="AF177" s="328"/>
      <c r="AG177" s="328"/>
      <c r="AH177" s="328"/>
      <c r="AI177" s="328"/>
      <c r="AJ177" s="328"/>
      <c r="AK177" s="328"/>
      <c r="AL177" s="328"/>
      <c r="AM177" s="328"/>
      <c r="AN177" s="328"/>
      <c r="AO177" s="328"/>
      <c r="AP177" s="328"/>
      <c r="AQ177" s="328"/>
      <c r="AR177" s="328"/>
      <c r="AS177" s="328"/>
      <c r="AT177" s="328"/>
      <c r="AU177" s="328"/>
      <c r="AV177" s="328"/>
      <c r="AW177" s="328"/>
      <c r="AX177" s="328"/>
      <c r="AY177" s="328"/>
      <c r="AZ177" s="328"/>
      <c r="BA177" s="328"/>
      <c r="BB177" s="328"/>
      <c r="BC177" s="328"/>
      <c r="BD177" s="328"/>
      <c r="BE177" s="328"/>
      <c r="BF177" s="328"/>
      <c r="BG177" s="328"/>
      <c r="BH177" s="328"/>
      <c r="BI177" s="328"/>
      <c r="BJ177" s="328"/>
      <c r="BK177" s="328"/>
      <c r="BL177" s="328"/>
      <c r="BM177" s="328"/>
      <c r="BN177" s="328"/>
      <c r="BO177" s="328"/>
      <c r="BP177" s="328"/>
      <c r="BQ177" s="328"/>
      <c r="BR177" s="328"/>
      <c r="BS177" s="328"/>
      <c r="BT177" s="328"/>
      <c r="BU177" s="328"/>
      <c r="BV177" s="328"/>
      <c r="BW177" s="328"/>
      <c r="BX177" s="328"/>
      <c r="BY177" s="328"/>
      <c r="BZ177" s="328"/>
      <c r="CA177" s="328"/>
      <c r="CB177" s="328"/>
      <c r="CC177" s="328"/>
      <c r="CD177" s="328"/>
      <c r="CE177" s="328"/>
      <c r="CF177" s="328"/>
      <c r="CG177" s="328"/>
      <c r="CH177" s="328"/>
      <c r="CI177" s="328"/>
      <c r="CJ177" s="328"/>
      <c r="CK177" s="328"/>
    </row>
    <row r="178" spans="1:89" s="326" customFormat="1" ht="12.6" customHeight="1" x14ac:dyDescent="0.25">
      <c r="A178" s="339"/>
      <c r="B178" s="340" t="str">
        <f>VLOOKUP(285,Textbausteine_102[],Hilfsgrössen!$D$2,FALSE)</f>
        <v>25) La valeur de l’exercice 2021 a été ajustée (arrondi).</v>
      </c>
      <c r="C178" s="333"/>
      <c r="E178" s="338"/>
      <c r="F178" s="328"/>
      <c r="G178" s="329"/>
      <c r="H178" s="91"/>
      <c r="I178" s="91"/>
      <c r="J178" s="91"/>
      <c r="K178" s="91"/>
      <c r="L178" s="91"/>
      <c r="M178" s="91"/>
      <c r="N178" s="328"/>
      <c r="O178" s="328"/>
      <c r="P178" s="328"/>
      <c r="Q178" s="328"/>
      <c r="R178" s="91"/>
      <c r="S178" s="91"/>
      <c r="T178" s="328"/>
      <c r="U178" s="328"/>
      <c r="V178" s="328"/>
      <c r="W178" s="328"/>
      <c r="X178" s="328"/>
      <c r="Y178" s="328"/>
      <c r="Z178" s="328"/>
      <c r="AA178" s="341"/>
      <c r="AB178" s="328"/>
      <c r="AC178" s="328"/>
      <c r="AD178" s="328"/>
      <c r="AE178" s="328"/>
      <c r="AF178" s="328"/>
      <c r="AG178" s="328"/>
      <c r="AH178" s="328"/>
      <c r="AI178" s="328"/>
      <c r="AJ178" s="328"/>
      <c r="AK178" s="328"/>
      <c r="AL178" s="328"/>
      <c r="AM178" s="328"/>
      <c r="AN178" s="328"/>
      <c r="AO178" s="328"/>
      <c r="AP178" s="328"/>
      <c r="AQ178" s="328"/>
      <c r="AR178" s="328"/>
      <c r="AS178" s="328"/>
      <c r="AT178" s="328"/>
      <c r="AU178" s="328"/>
      <c r="AV178" s="328"/>
      <c r="AW178" s="328"/>
      <c r="AX178" s="328"/>
      <c r="AY178" s="328"/>
      <c r="AZ178" s="328"/>
      <c r="BA178" s="328"/>
      <c r="BB178" s="328"/>
      <c r="BC178" s="328"/>
      <c r="BD178" s="328"/>
      <c r="BE178" s="328"/>
      <c r="BF178" s="328"/>
      <c r="BG178" s="328"/>
      <c r="BH178" s="328"/>
      <c r="BI178" s="328"/>
      <c r="BJ178" s="328"/>
      <c r="BK178" s="328"/>
      <c r="BL178" s="328"/>
      <c r="BM178" s="328"/>
      <c r="BN178" s="328"/>
      <c r="BO178" s="328"/>
      <c r="BP178" s="328"/>
      <c r="BQ178" s="328"/>
      <c r="BR178" s="328"/>
      <c r="BS178" s="328"/>
      <c r="BT178" s="328"/>
      <c r="BU178" s="328"/>
      <c r="BV178" s="328"/>
      <c r="BW178" s="328"/>
      <c r="BX178" s="328"/>
      <c r="BY178" s="328"/>
      <c r="BZ178" s="328"/>
      <c r="CA178" s="328"/>
      <c r="CB178" s="328"/>
      <c r="CC178" s="328"/>
      <c r="CD178" s="328"/>
      <c r="CE178" s="328"/>
      <c r="CF178" s="328"/>
      <c r="CG178" s="328"/>
      <c r="CH178" s="328"/>
      <c r="CI178" s="328"/>
      <c r="CJ178" s="328"/>
      <c r="CK178" s="328"/>
    </row>
    <row r="179" spans="1:89" s="326" customFormat="1" ht="12.6" customHeight="1" x14ac:dyDescent="0.25">
      <c r="A179" s="339"/>
      <c r="B179" s="340" t="str">
        <f>VLOOKUP(297,Textbausteine_102[],Hilfsgrössen!$D$2,FALSE)</f>
        <v>26) Le chiffre clé englobe l’ensemble des kilomètres parcourus par les véhicules de CarPostal (hors Liechtenstein).</v>
      </c>
      <c r="C179" s="333"/>
      <c r="E179" s="338"/>
      <c r="F179" s="328"/>
      <c r="G179" s="329"/>
      <c r="H179" s="91"/>
      <c r="I179" s="91"/>
      <c r="J179" s="91"/>
      <c r="K179" s="91"/>
      <c r="L179" s="91"/>
      <c r="M179" s="91"/>
      <c r="N179" s="328"/>
      <c r="O179" s="328"/>
      <c r="P179" s="328"/>
      <c r="Q179" s="328"/>
      <c r="R179" s="91"/>
      <c r="S179" s="91"/>
      <c r="T179" s="328"/>
      <c r="U179" s="328"/>
      <c r="V179" s="328"/>
      <c r="W179" s="328"/>
      <c r="X179" s="328"/>
      <c r="Y179" s="328"/>
      <c r="Z179" s="328"/>
      <c r="AA179" s="341"/>
      <c r="AB179" s="328"/>
      <c r="AC179" s="328"/>
      <c r="AD179" s="328"/>
      <c r="AE179" s="328"/>
      <c r="AF179" s="328"/>
      <c r="AG179" s="328"/>
      <c r="AH179" s="328"/>
      <c r="AI179" s="328"/>
      <c r="AJ179" s="328"/>
      <c r="AK179" s="328"/>
      <c r="AL179" s="328"/>
      <c r="AM179" s="328"/>
      <c r="AN179" s="328"/>
      <c r="AO179" s="328"/>
      <c r="AP179" s="328"/>
      <c r="AQ179" s="328"/>
      <c r="AR179" s="328"/>
      <c r="AS179" s="328"/>
      <c r="AT179" s="328"/>
      <c r="AU179" s="328"/>
      <c r="AV179" s="328"/>
      <c r="AW179" s="328"/>
      <c r="AX179" s="328"/>
      <c r="AY179" s="328"/>
      <c r="AZ179" s="328"/>
      <c r="BA179" s="328"/>
      <c r="BB179" s="328"/>
      <c r="BC179" s="328"/>
      <c r="BD179" s="328"/>
      <c r="BE179" s="328"/>
      <c r="BF179" s="328"/>
      <c r="BG179" s="328"/>
      <c r="BH179" s="328"/>
      <c r="BI179" s="328"/>
      <c r="BJ179" s="328"/>
      <c r="BK179" s="328"/>
      <c r="BL179" s="328"/>
      <c r="BM179" s="328"/>
      <c r="BN179" s="328"/>
      <c r="BO179" s="328"/>
      <c r="BP179" s="328"/>
      <c r="BQ179" s="328"/>
      <c r="BR179" s="328"/>
      <c r="BS179" s="328"/>
      <c r="BT179" s="328"/>
      <c r="BU179" s="328"/>
      <c r="BV179" s="328"/>
      <c r="BW179" s="328"/>
      <c r="BX179" s="328"/>
      <c r="BY179" s="328"/>
      <c r="BZ179" s="328"/>
      <c r="CA179" s="328"/>
      <c r="CB179" s="328"/>
      <c r="CC179" s="328"/>
      <c r="CD179" s="328"/>
      <c r="CE179" s="328"/>
      <c r="CF179" s="328"/>
      <c r="CG179" s="328"/>
      <c r="CH179" s="328"/>
      <c r="CI179" s="328"/>
      <c r="CJ179" s="328"/>
      <c r="CK179" s="328"/>
    </row>
    <row r="180" spans="1:89" s="273" customFormat="1" ht="12.6" customHeight="1" x14ac:dyDescent="0.25">
      <c r="A180" s="292"/>
      <c r="B180" s="317"/>
      <c r="C180" s="271"/>
      <c r="E180" s="265"/>
      <c r="F180" s="274"/>
      <c r="G180" s="282"/>
      <c r="H180" s="295"/>
      <c r="I180" s="295"/>
      <c r="J180" s="295"/>
      <c r="K180" s="295"/>
      <c r="L180" s="295"/>
      <c r="M180" s="295"/>
      <c r="N180" s="274"/>
      <c r="O180" s="274"/>
      <c r="P180" s="274"/>
      <c r="Q180" s="274"/>
      <c r="R180" s="295"/>
      <c r="S180" s="295"/>
      <c r="T180" s="274"/>
      <c r="U180" s="274"/>
      <c r="V180" s="274"/>
      <c r="W180" s="274"/>
      <c r="X180" s="318"/>
      <c r="Y180" s="274"/>
      <c r="Z180" s="274"/>
      <c r="AA180" s="323"/>
      <c r="AB180" s="274"/>
      <c r="AC180" s="274"/>
      <c r="AD180" s="274"/>
      <c r="AE180" s="274"/>
      <c r="AF180" s="274"/>
      <c r="AG180" s="274"/>
      <c r="AH180" s="274"/>
      <c r="AI180" s="274"/>
      <c r="AJ180" s="274"/>
      <c r="AK180" s="274"/>
      <c r="AL180" s="274"/>
      <c r="AM180" s="274"/>
      <c r="AN180" s="274"/>
      <c r="AO180" s="274"/>
      <c r="AP180" s="274"/>
      <c r="AQ180" s="274"/>
      <c r="AR180" s="274"/>
      <c r="AS180" s="274"/>
      <c r="AT180" s="274"/>
      <c r="AU180" s="274"/>
      <c r="AV180" s="274"/>
      <c r="AW180" s="274"/>
      <c r="AX180" s="274"/>
      <c r="AY180" s="274"/>
      <c r="AZ180" s="274"/>
      <c r="BA180" s="274"/>
      <c r="BB180" s="274"/>
      <c r="BC180" s="274"/>
      <c r="BD180" s="274"/>
      <c r="BE180" s="274"/>
      <c r="BF180" s="274"/>
      <c r="BG180" s="274"/>
      <c r="BH180" s="274"/>
      <c r="BI180" s="274"/>
      <c r="BJ180" s="274"/>
      <c r="BK180" s="274"/>
      <c r="BL180" s="274"/>
      <c r="BM180" s="274"/>
      <c r="BN180" s="274"/>
      <c r="BO180" s="274"/>
      <c r="BP180" s="274"/>
      <c r="BQ180" s="274"/>
      <c r="BR180" s="274"/>
      <c r="BS180" s="274"/>
      <c r="BT180" s="274"/>
      <c r="BU180" s="274"/>
      <c r="BV180" s="274"/>
      <c r="BW180" s="274"/>
      <c r="BX180" s="274"/>
      <c r="BY180" s="274"/>
      <c r="BZ180" s="274"/>
      <c r="CA180" s="274"/>
      <c r="CB180" s="274"/>
      <c r="CC180" s="274"/>
      <c r="CD180" s="274"/>
      <c r="CE180" s="274"/>
      <c r="CF180" s="274"/>
      <c r="CG180" s="274"/>
      <c r="CH180" s="274"/>
      <c r="CI180" s="274"/>
      <c r="CJ180" s="274"/>
      <c r="CK180" s="274"/>
    </row>
    <row r="181" spans="1:89" ht="12.6" customHeight="1" x14ac:dyDescent="0.25">
      <c r="B181" s="266"/>
      <c r="C181" s="13"/>
      <c r="H181" s="91"/>
      <c r="I181" s="91"/>
      <c r="J181" s="91"/>
      <c r="K181" s="91"/>
      <c r="L181" s="91"/>
      <c r="M181" s="91"/>
      <c r="N181" s="11"/>
      <c r="O181" s="11"/>
      <c r="R181" s="91"/>
      <c r="S181" s="91"/>
      <c r="T181" s="9"/>
      <c r="U181" s="9"/>
      <c r="V181" s="9"/>
      <c r="W181" s="9"/>
      <c r="X181" s="269"/>
      <c r="Y181" s="9"/>
      <c r="Z181" s="9"/>
    </row>
    <row r="182" spans="1:89" s="78" customFormat="1" ht="12.6" customHeight="1" x14ac:dyDescent="0.2">
      <c r="A182" s="43" t="s">
        <v>27</v>
      </c>
      <c r="B182" s="401" t="str">
        <f>$C$11</f>
        <v>Volume trafic des paiements</v>
      </c>
      <c r="C182" s="401"/>
      <c r="D182" s="78" t="str">
        <f>VLOOKUP(32,Textbausteine_Menu[],Hilfsgrössen!$D$2,FALSE)</f>
        <v>Unité</v>
      </c>
      <c r="E182" s="147" t="str">
        <f>VLOOKUP(33,Textbausteine_Menu[],Hilfsgrössen!$D$2,FALSE)</f>
        <v>Notes</v>
      </c>
      <c r="F182" s="28" t="str">
        <f>VLOOKUP(34,Textbausteine_Menu[],Hilfsgrössen!$D$2,FALSE)</f>
        <v>GRI</v>
      </c>
      <c r="G182" s="33"/>
      <c r="H182" s="72">
        <v>2004</v>
      </c>
      <c r="I182" s="72">
        <v>2005</v>
      </c>
      <c r="J182" s="72">
        <v>2006</v>
      </c>
      <c r="K182" s="72">
        <v>2007</v>
      </c>
      <c r="L182" s="72">
        <v>2008</v>
      </c>
      <c r="M182" s="72">
        <v>2009</v>
      </c>
      <c r="N182" s="72">
        <v>2010</v>
      </c>
      <c r="O182" s="72">
        <v>2011</v>
      </c>
      <c r="P182" s="72">
        <v>2012</v>
      </c>
      <c r="Q182" s="72">
        <v>2013</v>
      </c>
      <c r="R182" s="72">
        <v>2014</v>
      </c>
      <c r="S182" s="72">
        <v>2015</v>
      </c>
      <c r="T182" s="74">
        <v>2016</v>
      </c>
      <c r="U182" s="74">
        <v>2017</v>
      </c>
      <c r="V182" s="74">
        <v>2018</v>
      </c>
      <c r="W182" s="74">
        <v>2019</v>
      </c>
      <c r="X182" s="241">
        <v>2020</v>
      </c>
      <c r="Y182" s="74">
        <v>2021</v>
      </c>
      <c r="Z182" s="74">
        <v>2022</v>
      </c>
      <c r="AA182" s="342"/>
      <c r="AB182" s="72"/>
      <c r="AC182" s="72"/>
      <c r="AD182" s="72"/>
      <c r="AE182" s="72"/>
      <c r="AF182" s="72"/>
      <c r="AG182" s="72"/>
      <c r="AH182" s="72"/>
      <c r="AI182" s="72"/>
      <c r="AJ182" s="72"/>
      <c r="AK182" s="72"/>
      <c r="AL182" s="72"/>
      <c r="AM182" s="72"/>
      <c r="AN182" s="72"/>
      <c r="AO182" s="72"/>
      <c r="AP182" s="72"/>
      <c r="AQ182" s="72"/>
      <c r="AR182" s="72"/>
      <c r="AS182" s="72"/>
      <c r="AT182" s="72"/>
      <c r="AU182" s="72"/>
      <c r="AV182" s="72"/>
      <c r="AW182" s="72"/>
      <c r="AX182" s="72"/>
      <c r="AY182" s="72"/>
      <c r="AZ182" s="72"/>
      <c r="BA182" s="72"/>
      <c r="BB182" s="72"/>
      <c r="BC182" s="72"/>
      <c r="BD182" s="72"/>
      <c r="BE182" s="72"/>
      <c r="BF182" s="72"/>
      <c r="BG182" s="72"/>
      <c r="BH182" s="72"/>
      <c r="BI182" s="72"/>
      <c r="BJ182" s="72"/>
      <c r="BK182" s="72"/>
      <c r="BL182" s="72"/>
      <c r="BM182" s="72"/>
      <c r="BN182" s="72"/>
      <c r="BO182" s="72"/>
      <c r="BP182" s="72"/>
      <c r="BQ182" s="72"/>
      <c r="BR182" s="72"/>
      <c r="BS182" s="72"/>
      <c r="BT182" s="72"/>
      <c r="BU182" s="72"/>
      <c r="BV182" s="72"/>
      <c r="BW182" s="72"/>
      <c r="BX182" s="72"/>
      <c r="BY182" s="72"/>
      <c r="BZ182" s="72"/>
      <c r="CA182" s="72"/>
      <c r="CB182" s="72"/>
      <c r="CC182" s="72"/>
      <c r="CD182" s="72"/>
      <c r="CE182" s="72"/>
      <c r="CF182" s="72"/>
      <c r="CG182" s="72"/>
      <c r="CH182" s="72"/>
      <c r="CI182" s="72"/>
      <c r="CJ182" s="72"/>
      <c r="CK182" s="72"/>
    </row>
    <row r="183" spans="1:89" s="42" customFormat="1" ht="12.6" customHeight="1" x14ac:dyDescent="0.2">
      <c r="A183" s="57"/>
      <c r="B183" s="401"/>
      <c r="C183" s="401"/>
      <c r="E183" s="145"/>
      <c r="F183" s="28"/>
      <c r="G183" s="34"/>
      <c r="H183" s="73"/>
      <c r="I183" s="73"/>
      <c r="J183" s="73"/>
      <c r="K183" s="73"/>
      <c r="L183" s="73"/>
      <c r="M183" s="73"/>
      <c r="N183" s="73"/>
      <c r="O183" s="73"/>
      <c r="P183" s="73"/>
      <c r="Q183" s="73"/>
      <c r="R183" s="73"/>
      <c r="S183" s="73"/>
      <c r="T183" s="75"/>
      <c r="U183" s="75"/>
      <c r="V183" s="75"/>
      <c r="W183" s="75"/>
      <c r="X183" s="242"/>
      <c r="Y183" s="75"/>
      <c r="Z183" s="75"/>
      <c r="AA183" s="300"/>
      <c r="AB183" s="73"/>
      <c r="AC183" s="73"/>
      <c r="AD183" s="73"/>
      <c r="AE183" s="73"/>
      <c r="AF183" s="73"/>
      <c r="AG183" s="73"/>
      <c r="AH183" s="73"/>
      <c r="AI183" s="73"/>
      <c r="AJ183" s="73"/>
      <c r="AK183" s="73"/>
      <c r="AL183" s="73"/>
      <c r="AM183" s="73"/>
      <c r="AN183" s="73"/>
      <c r="AO183" s="73"/>
      <c r="AP183" s="73"/>
      <c r="AQ183" s="73"/>
      <c r="AR183" s="73"/>
      <c r="AS183" s="73"/>
      <c r="AT183" s="73"/>
      <c r="AU183" s="73"/>
      <c r="AV183" s="73"/>
      <c r="AW183" s="73"/>
      <c r="AX183" s="73"/>
      <c r="AY183" s="73"/>
      <c r="AZ183" s="73"/>
      <c r="BA183" s="73"/>
      <c r="BB183" s="73"/>
      <c r="BC183" s="73"/>
      <c r="BD183" s="73"/>
      <c r="BE183" s="73"/>
      <c r="BF183" s="73"/>
      <c r="BG183" s="73"/>
      <c r="BH183" s="73"/>
      <c r="BI183" s="73"/>
      <c r="BJ183" s="73"/>
      <c r="BK183" s="73"/>
      <c r="BL183" s="73"/>
      <c r="BM183" s="73"/>
      <c r="BN183" s="73"/>
      <c r="BO183" s="73"/>
      <c r="BP183" s="73"/>
      <c r="BQ183" s="73"/>
      <c r="BR183" s="73"/>
      <c r="BS183" s="73"/>
      <c r="BT183" s="73"/>
      <c r="BU183" s="73"/>
      <c r="BV183" s="73"/>
      <c r="BW183" s="73"/>
      <c r="BX183" s="73"/>
      <c r="BY183" s="73"/>
      <c r="BZ183" s="73"/>
      <c r="CA183" s="73"/>
      <c r="CB183" s="73"/>
      <c r="CC183" s="73"/>
      <c r="CD183" s="73"/>
      <c r="CE183" s="73"/>
      <c r="CF183" s="73"/>
      <c r="CG183" s="73"/>
      <c r="CH183" s="73"/>
      <c r="CI183" s="73"/>
      <c r="CJ183" s="73"/>
      <c r="CK183" s="73"/>
    </row>
    <row r="184" spans="1:89" ht="12.6" customHeight="1" x14ac:dyDescent="0.2">
      <c r="B184" s="2"/>
      <c r="E184" s="148"/>
      <c r="G184" s="33"/>
      <c r="T184" s="75"/>
      <c r="U184" s="75"/>
      <c r="V184" s="75"/>
      <c r="W184" s="75"/>
      <c r="X184" s="242"/>
      <c r="Y184" s="75"/>
      <c r="Z184" s="75"/>
    </row>
    <row r="185" spans="1:89" ht="12.6" customHeight="1" x14ac:dyDescent="0.2">
      <c r="B185" s="2" t="str">
        <f>VLOOKUP(131,Textbausteine_102[],Hilfsgrössen!$D$2,FALSE)</f>
        <v>Volume des versements et des virements</v>
      </c>
      <c r="E185" s="148"/>
      <c r="T185" s="75"/>
      <c r="U185" s="75"/>
      <c r="V185" s="75"/>
      <c r="W185" s="75"/>
      <c r="X185" s="242"/>
      <c r="Y185" s="75"/>
      <c r="Z185" s="75"/>
    </row>
    <row r="186" spans="1:89" ht="12.6" customHeight="1" x14ac:dyDescent="0.2">
      <c r="B186" s="2"/>
      <c r="C186" s="48" t="str">
        <f>VLOOKUP(132,Textbausteine_102[],Hilfsgrössen!$D$2,FALSE)</f>
        <v>Virements e-finance (canal électronique)</v>
      </c>
      <c r="D186" s="16" t="str">
        <f>VLOOKUP(28,Textbausteine_102[],Hilfsgrössen!$D$2,FALSE)</f>
        <v>Nombre</v>
      </c>
      <c r="E186" s="148" t="s">
        <v>50</v>
      </c>
      <c r="F186" s="94" t="s">
        <v>3167</v>
      </c>
      <c r="H186" s="101" t="s">
        <v>29</v>
      </c>
      <c r="I186" s="11">
        <v>322801822</v>
      </c>
      <c r="J186" s="101" t="s">
        <v>29</v>
      </c>
      <c r="K186" s="101" t="s">
        <v>29</v>
      </c>
      <c r="L186" s="101" t="s">
        <v>29</v>
      </c>
      <c r="M186" s="11">
        <v>360908857.30000001</v>
      </c>
      <c r="N186" s="11">
        <v>381329801</v>
      </c>
      <c r="O186" s="9">
        <v>393269485</v>
      </c>
      <c r="P186" s="9">
        <v>406937366</v>
      </c>
      <c r="Q186" s="9" t="s">
        <v>51</v>
      </c>
      <c r="R186" s="9">
        <v>424759782</v>
      </c>
      <c r="S186" s="9">
        <v>358745223</v>
      </c>
      <c r="T186" s="9">
        <v>370842877</v>
      </c>
      <c r="U186" s="9">
        <v>321690025</v>
      </c>
      <c r="V186" s="9">
        <v>271129120</v>
      </c>
      <c r="W186" s="9">
        <v>282961540</v>
      </c>
      <c r="X186" s="327">
        <v>598850101</v>
      </c>
      <c r="Y186" s="352">
        <v>642801211</v>
      </c>
      <c r="Z186" s="352">
        <v>656123429</v>
      </c>
    </row>
    <row r="187" spans="1:89" ht="12.6" customHeight="1" x14ac:dyDescent="0.2">
      <c r="B187" s="2"/>
      <c r="C187" s="52" t="str">
        <f>VLOOKUP(133,Textbausteine_102[],Hilfsgrössen!$D$2,FALSE)</f>
        <v>Virements EFT/POS (commerces, offices de poste, agences)</v>
      </c>
      <c r="D187" s="16" t="str">
        <f>VLOOKUP(28,Textbausteine_102[],Hilfsgrössen!$D$2,FALSE)</f>
        <v>Nombre</v>
      </c>
      <c r="E187" s="148" t="s">
        <v>52</v>
      </c>
      <c r="F187" s="94" t="s">
        <v>3167</v>
      </c>
      <c r="H187" s="101" t="s">
        <v>29</v>
      </c>
      <c r="I187" s="11">
        <v>91940458</v>
      </c>
      <c r="J187" s="101" t="s">
        <v>29</v>
      </c>
      <c r="K187" s="101" t="s">
        <v>29</v>
      </c>
      <c r="L187" s="101" t="s">
        <v>29</v>
      </c>
      <c r="M187" s="11">
        <v>124161458</v>
      </c>
      <c r="N187" s="11">
        <v>135000375</v>
      </c>
      <c r="O187" s="9">
        <v>145251716</v>
      </c>
      <c r="P187" s="9">
        <v>158543228</v>
      </c>
      <c r="Q187" s="9" t="s">
        <v>53</v>
      </c>
      <c r="R187" s="9">
        <v>185943523</v>
      </c>
      <c r="S187" s="9">
        <v>200237206</v>
      </c>
      <c r="T187" s="9">
        <v>217813986</v>
      </c>
      <c r="U187" s="9">
        <v>238009954</v>
      </c>
      <c r="V187" s="9">
        <v>263402898</v>
      </c>
      <c r="W187" s="9">
        <v>278963515</v>
      </c>
      <c r="X187" s="327">
        <v>3896867</v>
      </c>
      <c r="Y187" s="353">
        <v>4234104</v>
      </c>
      <c r="Z187" s="353">
        <v>4403387</v>
      </c>
    </row>
    <row r="188" spans="1:89" ht="12.6" customHeight="1" x14ac:dyDescent="0.2">
      <c r="B188" s="2"/>
      <c r="C188" s="8" t="str">
        <f>VLOOKUP(134,Textbausteine_102[],Hilfsgrössen!$D$2,FALSE)</f>
        <v>Virements papier</v>
      </c>
      <c r="D188" s="16" t="str">
        <f>VLOOKUP(28,Textbausteine_102[],Hilfsgrössen!$D$2,FALSE)</f>
        <v>Nombre</v>
      </c>
      <c r="E188" s="149" t="s">
        <v>54</v>
      </c>
      <c r="F188" s="94" t="s">
        <v>3167</v>
      </c>
      <c r="H188" s="101" t="s">
        <v>29</v>
      </c>
      <c r="I188" s="91">
        <v>45460085</v>
      </c>
      <c r="J188" s="101" t="s">
        <v>29</v>
      </c>
      <c r="K188" s="101" t="s">
        <v>29</v>
      </c>
      <c r="L188" s="101" t="s">
        <v>29</v>
      </c>
      <c r="M188" s="91">
        <v>32771750</v>
      </c>
      <c r="N188" s="11">
        <v>30737657</v>
      </c>
      <c r="O188" s="11">
        <v>27994032</v>
      </c>
      <c r="P188" s="9">
        <v>25958010</v>
      </c>
      <c r="Q188" s="9" t="s">
        <v>55</v>
      </c>
      <c r="R188" s="91">
        <v>24108511</v>
      </c>
      <c r="S188" s="91">
        <v>22846118</v>
      </c>
      <c r="T188" s="91">
        <v>21477787</v>
      </c>
      <c r="U188" s="91">
        <v>20008478</v>
      </c>
      <c r="V188" s="91">
        <v>18304732</v>
      </c>
      <c r="W188" s="91">
        <v>15683753</v>
      </c>
      <c r="X188" s="327">
        <v>10141375</v>
      </c>
      <c r="Y188" s="353">
        <v>8392589</v>
      </c>
      <c r="Z188" s="353">
        <v>6714752</v>
      </c>
    </row>
    <row r="189" spans="1:89" ht="12.6" customHeight="1" x14ac:dyDescent="0.2">
      <c r="B189" s="2"/>
      <c r="C189" s="8" t="str">
        <f>VLOOKUP(135,Textbausteine_102[],Hilfsgrössen!$D$2,FALSE)</f>
        <v>Virements divers</v>
      </c>
      <c r="D189" s="16" t="str">
        <f>VLOOKUP(28,Textbausteine_102[],Hilfsgrössen!$D$2,FALSE)</f>
        <v>Nombre</v>
      </c>
      <c r="F189" s="94" t="s">
        <v>3167</v>
      </c>
      <c r="H189" s="101" t="s">
        <v>29</v>
      </c>
      <c r="I189" s="91">
        <v>15555192</v>
      </c>
      <c r="J189" s="101" t="s">
        <v>29</v>
      </c>
      <c r="K189" s="101" t="s">
        <v>29</v>
      </c>
      <c r="L189" s="101" t="s">
        <v>29</v>
      </c>
      <c r="M189" s="91">
        <v>16449183</v>
      </c>
      <c r="N189" s="11">
        <v>17803281</v>
      </c>
      <c r="O189" s="11">
        <v>19133796</v>
      </c>
      <c r="P189" s="9">
        <v>21145350</v>
      </c>
      <c r="Q189" s="9" t="s">
        <v>56</v>
      </c>
      <c r="R189" s="91">
        <v>24165179</v>
      </c>
      <c r="S189" s="91">
        <v>27019428</v>
      </c>
      <c r="T189" s="91">
        <v>29525721</v>
      </c>
      <c r="U189" s="91">
        <v>33758236</v>
      </c>
      <c r="V189" s="91">
        <v>32400120</v>
      </c>
      <c r="W189" s="91">
        <v>38025901</v>
      </c>
      <c r="X189" s="327">
        <v>52880158</v>
      </c>
      <c r="Y189" s="353">
        <v>77397107</v>
      </c>
      <c r="Z189" s="353">
        <v>108779870</v>
      </c>
    </row>
    <row r="190" spans="1:89" ht="12.6" customHeight="1" x14ac:dyDescent="0.2">
      <c r="B190" s="2"/>
      <c r="C190" s="8" t="str">
        <f>VLOOKUP(136,Textbausteine_102[],Hilfsgrössen!$D$2,FALSE)</f>
        <v>Versements</v>
      </c>
      <c r="D190" s="16" t="str">
        <f>VLOOKUP(28,Textbausteine_102[],Hilfsgrössen!$D$2,FALSE)</f>
        <v>Nombre</v>
      </c>
      <c r="F190" s="94" t="s">
        <v>3167</v>
      </c>
      <c r="H190" s="101" t="s">
        <v>29</v>
      </c>
      <c r="I190" s="91">
        <v>230017755</v>
      </c>
      <c r="J190" s="101" t="s">
        <v>29</v>
      </c>
      <c r="K190" s="101" t="s">
        <v>29</v>
      </c>
      <c r="L190" s="101" t="s">
        <v>29</v>
      </c>
      <c r="M190" s="91">
        <v>207644168</v>
      </c>
      <c r="N190" s="11">
        <v>201589442</v>
      </c>
      <c r="O190" s="11">
        <v>189489680</v>
      </c>
      <c r="P190" s="9">
        <v>183094892</v>
      </c>
      <c r="Q190" s="9" t="s">
        <v>57</v>
      </c>
      <c r="R190" s="91">
        <v>171277961</v>
      </c>
      <c r="S190" s="91">
        <v>164396969</v>
      </c>
      <c r="T190" s="91">
        <v>154977357</v>
      </c>
      <c r="U190" s="91">
        <v>145691791</v>
      </c>
      <c r="V190" s="91">
        <v>138798122</v>
      </c>
      <c r="W190" s="91">
        <v>129354706</v>
      </c>
      <c r="X190" s="327">
        <v>110622835</v>
      </c>
      <c r="Y190" s="353">
        <v>96906612</v>
      </c>
      <c r="Z190" s="353">
        <v>80615886</v>
      </c>
    </row>
    <row r="191" spans="1:89" ht="12.6" customHeight="1" x14ac:dyDescent="0.2">
      <c r="B191" s="2"/>
      <c r="C191" s="1" t="str">
        <f>VLOOKUP(137,Textbausteine_102[],Hilfsgrössen!$D$2,FALSE)</f>
        <v>Montant</v>
      </c>
      <c r="D191" s="16" t="str">
        <f>VLOOKUP(28,Textbausteine_102[],Hilfsgrössen!$D$2,FALSE)</f>
        <v>Nombre</v>
      </c>
      <c r="E191" s="148"/>
      <c r="F191" s="94" t="s">
        <v>3167</v>
      </c>
      <c r="H191" s="101" t="s">
        <v>29</v>
      </c>
      <c r="I191" s="9">
        <v>705775312</v>
      </c>
      <c r="J191" s="101" t="s">
        <v>29</v>
      </c>
      <c r="K191" s="101" t="s">
        <v>29</v>
      </c>
      <c r="L191" s="101" t="s">
        <v>29</v>
      </c>
      <c r="M191" s="9">
        <v>741935416.29999995</v>
      </c>
      <c r="N191" s="9">
        <v>766460556</v>
      </c>
      <c r="O191" s="9">
        <v>775138709</v>
      </c>
      <c r="P191" s="9">
        <v>795678846</v>
      </c>
      <c r="Q191" s="9" t="s">
        <v>58</v>
      </c>
      <c r="R191" s="9">
        <v>830254956</v>
      </c>
      <c r="S191" s="9">
        <v>773244944</v>
      </c>
      <c r="T191" s="9">
        <v>794637728</v>
      </c>
      <c r="U191" s="9">
        <v>759158484</v>
      </c>
      <c r="V191" s="9">
        <v>724034992</v>
      </c>
      <c r="W191" s="9">
        <v>744989415</v>
      </c>
      <c r="X191" s="327">
        <v>771706140</v>
      </c>
      <c r="Y191" s="353">
        <f>SUM(Y186:Y190)</f>
        <v>829731623</v>
      </c>
      <c r="Z191" s="353">
        <v>856637324</v>
      </c>
    </row>
    <row r="192" spans="1:89" ht="12.6" customHeight="1" x14ac:dyDescent="0.2">
      <c r="B192" s="2"/>
      <c r="D192" s="16"/>
      <c r="E192" s="148"/>
      <c r="H192" s="101"/>
      <c r="J192" s="101"/>
      <c r="K192" s="101"/>
      <c r="L192" s="101"/>
      <c r="T192" s="9"/>
      <c r="U192" s="9"/>
      <c r="V192" s="9"/>
      <c r="W192" s="9"/>
      <c r="Y192" s="75"/>
      <c r="Z192" s="75"/>
    </row>
    <row r="193" spans="1:89" ht="12.6" customHeight="1" x14ac:dyDescent="0.2">
      <c r="B193" s="2"/>
      <c r="D193" s="16"/>
      <c r="E193" s="148"/>
      <c r="H193" s="101"/>
      <c r="J193" s="101"/>
      <c r="K193" s="101"/>
      <c r="L193" s="101"/>
      <c r="T193" s="9"/>
      <c r="U193" s="9"/>
      <c r="V193" s="9"/>
      <c r="W193" s="9"/>
      <c r="Y193" s="75"/>
      <c r="Z193" s="75"/>
    </row>
    <row r="194" spans="1:89" ht="12.6" customHeight="1" x14ac:dyDescent="0.2">
      <c r="B194" s="2"/>
      <c r="C194" s="48"/>
      <c r="D194" s="16"/>
      <c r="E194" s="148"/>
      <c r="H194" s="99"/>
      <c r="I194" s="11"/>
      <c r="J194" s="11"/>
      <c r="K194" s="11"/>
      <c r="L194" s="99"/>
      <c r="M194" s="11"/>
      <c r="N194" s="11"/>
      <c r="T194" s="75"/>
      <c r="U194" s="75"/>
      <c r="V194" s="75"/>
      <c r="W194" s="75"/>
      <c r="X194" s="242"/>
      <c r="Y194" s="75"/>
      <c r="Z194" s="75"/>
    </row>
    <row r="195" spans="1:89" ht="12.6" customHeight="1" x14ac:dyDescent="0.2">
      <c r="B195" s="2" t="str">
        <f>VLOOKUP(138,Textbausteine_102[],Hilfsgrössen!$D$2,FALSE)</f>
        <v>Volume des paiements</v>
      </c>
      <c r="C195" s="52"/>
      <c r="D195" s="16"/>
      <c r="E195" s="148"/>
      <c r="H195" s="11"/>
      <c r="I195" s="11"/>
      <c r="J195" s="11"/>
      <c r="K195" s="11"/>
      <c r="L195" s="11"/>
      <c r="M195" s="11"/>
      <c r="N195" s="11"/>
      <c r="T195" s="75"/>
      <c r="U195" s="75"/>
      <c r="V195" s="75"/>
      <c r="W195" s="75"/>
      <c r="X195" s="242"/>
      <c r="Y195" s="75"/>
      <c r="Z195" s="75"/>
    </row>
    <row r="196" spans="1:89" ht="12.6" customHeight="1" x14ac:dyDescent="0.2">
      <c r="B196" s="2"/>
      <c r="C196" s="8" t="str">
        <f>VLOOKUP(139,Textbausteine_102[],Hilfsgrössen!$D$2,FALSE)</f>
        <v>Retraits au Postomat (sans Bancomat)</v>
      </c>
      <c r="D196" s="16" t="str">
        <f>VLOOKUP(28,Textbausteine_102[],Hilfsgrössen!$D$2,FALSE)</f>
        <v>Nombre</v>
      </c>
      <c r="E196" s="149"/>
      <c r="F196" s="94" t="s">
        <v>3167</v>
      </c>
      <c r="H196" s="101" t="s">
        <v>29</v>
      </c>
      <c r="I196" s="91">
        <v>49854497</v>
      </c>
      <c r="J196" s="101" t="s">
        <v>29</v>
      </c>
      <c r="K196" s="101" t="s">
        <v>29</v>
      </c>
      <c r="L196" s="101" t="s">
        <v>29</v>
      </c>
      <c r="M196" s="91">
        <v>54496751</v>
      </c>
      <c r="N196" s="11">
        <v>56279926</v>
      </c>
      <c r="O196" s="11">
        <v>58650440</v>
      </c>
      <c r="P196" s="9">
        <v>60453795</v>
      </c>
      <c r="Q196" s="9" t="s">
        <v>59</v>
      </c>
      <c r="R196" s="91">
        <v>62148786</v>
      </c>
      <c r="S196" s="91">
        <v>60920074</v>
      </c>
      <c r="T196" s="11">
        <v>60039247</v>
      </c>
      <c r="U196" s="11">
        <v>56915120</v>
      </c>
      <c r="V196" s="11">
        <v>54880987</v>
      </c>
      <c r="W196" s="11">
        <v>49756688</v>
      </c>
      <c r="X196" s="240">
        <v>33609369</v>
      </c>
      <c r="Y196" s="75">
        <v>30701716</v>
      </c>
      <c r="Z196" s="75">
        <v>30300896</v>
      </c>
    </row>
    <row r="197" spans="1:89" ht="12.6" customHeight="1" x14ac:dyDescent="0.2">
      <c r="C197" s="8" t="str">
        <f>VLOOKUP(140,Textbausteine_102[],Hilfsgrössen!$D$2,FALSE)</f>
        <v>Paiements dans les offices de poste/agences</v>
      </c>
      <c r="D197" s="16" t="str">
        <f>VLOOKUP(28,Textbausteine_102[],Hilfsgrössen!$D$2,FALSE)</f>
        <v>Nombre</v>
      </c>
      <c r="F197" s="94" t="s">
        <v>3167</v>
      </c>
      <c r="H197" s="101" t="s">
        <v>29</v>
      </c>
      <c r="I197" s="91">
        <v>17181487</v>
      </c>
      <c r="J197" s="101" t="s">
        <v>29</v>
      </c>
      <c r="K197" s="101" t="s">
        <v>29</v>
      </c>
      <c r="L197" s="101" t="s">
        <v>29</v>
      </c>
      <c r="M197" s="91">
        <v>19582002</v>
      </c>
      <c r="N197" s="11">
        <v>19807049</v>
      </c>
      <c r="O197" s="11">
        <v>20189405</v>
      </c>
      <c r="P197" s="9">
        <v>20474785</v>
      </c>
      <c r="Q197" s="9" t="s">
        <v>60</v>
      </c>
      <c r="R197" s="91">
        <v>20778850</v>
      </c>
      <c r="S197" s="91">
        <v>20789393</v>
      </c>
      <c r="T197" s="11">
        <v>20323381</v>
      </c>
      <c r="U197" s="11">
        <v>19206313</v>
      </c>
      <c r="V197" s="11">
        <v>14035227</v>
      </c>
      <c r="W197" s="11">
        <v>11882248</v>
      </c>
      <c r="X197" s="240">
        <v>10026680</v>
      </c>
      <c r="Y197" s="75">
        <v>8847242</v>
      </c>
      <c r="Z197" s="75">
        <v>8337288</v>
      </c>
    </row>
    <row r="198" spans="1:89" ht="12.6" customHeight="1" x14ac:dyDescent="0.2">
      <c r="C198" s="8" t="str">
        <f>VLOOKUP(141,Textbausteine_102[],Hilfsgrössen!$D$2,FALSE)</f>
        <v>BPR, BPR+, BP</v>
      </c>
      <c r="D198" s="16" t="str">
        <f>VLOOKUP(28,Textbausteine_102[],Hilfsgrössen!$D$2,FALSE)</f>
        <v>Nombre</v>
      </c>
      <c r="F198" s="94" t="s">
        <v>3167</v>
      </c>
      <c r="H198" s="101" t="s">
        <v>29</v>
      </c>
      <c r="I198" s="91">
        <v>2758535</v>
      </c>
      <c r="J198" s="101" t="s">
        <v>29</v>
      </c>
      <c r="K198" s="101" t="s">
        <v>29</v>
      </c>
      <c r="L198" s="101" t="s">
        <v>29</v>
      </c>
      <c r="M198" s="91">
        <v>1507563</v>
      </c>
      <c r="N198" s="11">
        <v>1446210</v>
      </c>
      <c r="O198" s="11">
        <v>1345082</v>
      </c>
      <c r="P198" s="9">
        <v>1229361</v>
      </c>
      <c r="Q198" s="9" t="s">
        <v>61</v>
      </c>
      <c r="R198" s="91">
        <v>810380</v>
      </c>
      <c r="S198" s="91">
        <v>788918</v>
      </c>
      <c r="T198" s="11">
        <v>748768</v>
      </c>
      <c r="U198" s="11">
        <v>746482</v>
      </c>
      <c r="V198" s="11">
        <v>578458</v>
      </c>
      <c r="W198" s="11">
        <v>533353</v>
      </c>
      <c r="X198" s="240">
        <v>421405</v>
      </c>
      <c r="Y198" s="75">
        <v>361771</v>
      </c>
      <c r="Z198" s="75">
        <v>347459</v>
      </c>
    </row>
    <row r="199" spans="1:89" ht="12.6" customHeight="1" x14ac:dyDescent="0.2">
      <c r="C199" s="8" t="str">
        <f>VLOOKUP(142,Textbausteine_102[],Hilfsgrössen!$D$2,FALSE)</f>
        <v>Mandats de paiement</v>
      </c>
      <c r="D199" s="16" t="str">
        <f>VLOOKUP(28,Textbausteine_102[],Hilfsgrössen!$D$2,FALSE)</f>
        <v>Nombre</v>
      </c>
      <c r="F199" s="94" t="s">
        <v>3167</v>
      </c>
      <c r="H199" s="101" t="s">
        <v>29</v>
      </c>
      <c r="I199" s="91">
        <v>1941018</v>
      </c>
      <c r="J199" s="101" t="s">
        <v>29</v>
      </c>
      <c r="K199" s="101" t="s">
        <v>29</v>
      </c>
      <c r="L199" s="101" t="s">
        <v>29</v>
      </c>
      <c r="M199" s="91">
        <v>1182791</v>
      </c>
      <c r="N199" s="11">
        <v>1057857</v>
      </c>
      <c r="O199" s="11">
        <v>923573</v>
      </c>
      <c r="P199" s="9">
        <v>822417</v>
      </c>
      <c r="Q199" s="9" t="s">
        <v>62</v>
      </c>
      <c r="R199" s="91">
        <v>635391</v>
      </c>
      <c r="S199" s="91">
        <v>474757</v>
      </c>
      <c r="T199" s="11">
        <v>238435</v>
      </c>
      <c r="U199" s="11">
        <v>11004</v>
      </c>
      <c r="V199" s="11">
        <v>0</v>
      </c>
      <c r="W199" s="11">
        <v>0</v>
      </c>
      <c r="X199" s="240">
        <v>0</v>
      </c>
      <c r="Y199" s="75">
        <v>0</v>
      </c>
      <c r="Z199" s="75">
        <v>0</v>
      </c>
    </row>
    <row r="200" spans="1:89" ht="12.6" customHeight="1" x14ac:dyDescent="0.2">
      <c r="C200" s="8" t="str">
        <f>VLOOKUP(143,Textbausteine_102[],Hilfsgrössen!$D$2,FALSE)</f>
        <v>Chèques</v>
      </c>
      <c r="D200" s="16" t="str">
        <f>VLOOKUP(28,Textbausteine_102[],Hilfsgrössen!$D$2,FALSE)</f>
        <v>Nombre</v>
      </c>
      <c r="F200" s="94" t="s">
        <v>3167</v>
      </c>
      <c r="H200" s="101" t="s">
        <v>29</v>
      </c>
      <c r="I200" s="91">
        <v>869211</v>
      </c>
      <c r="J200" s="101" t="s">
        <v>29</v>
      </c>
      <c r="K200" s="101" t="s">
        <v>29</v>
      </c>
      <c r="L200" s="101" t="s">
        <v>29</v>
      </c>
      <c r="M200" s="91">
        <v>416872</v>
      </c>
      <c r="N200" s="11">
        <v>322228</v>
      </c>
      <c r="O200" s="11">
        <v>269651</v>
      </c>
      <c r="P200" s="9">
        <v>232385</v>
      </c>
      <c r="Q200" s="9" t="s">
        <v>63</v>
      </c>
      <c r="R200" s="91">
        <v>142095</v>
      </c>
      <c r="S200" s="91">
        <v>116628</v>
      </c>
      <c r="T200" s="11">
        <v>78845</v>
      </c>
      <c r="U200" s="11">
        <v>63230</v>
      </c>
      <c r="V200" s="11">
        <v>50785</v>
      </c>
      <c r="W200" s="11" t="s">
        <v>29</v>
      </c>
      <c r="X200" s="248" t="s">
        <v>29</v>
      </c>
      <c r="Y200" s="75" t="s">
        <v>29</v>
      </c>
      <c r="Z200" s="75" t="s">
        <v>29</v>
      </c>
    </row>
    <row r="201" spans="1:89" ht="12.6" customHeight="1" x14ac:dyDescent="0.2">
      <c r="C201" s="8" t="str">
        <f>VLOOKUP(144,Textbausteine_102[],Hilfsgrössen!$D$2,FALSE)</f>
        <v>Mandats en espèces</v>
      </c>
      <c r="D201" s="16" t="str">
        <f>VLOOKUP(28,Textbausteine_102[],Hilfsgrössen!$D$2,FALSE)</f>
        <v>Nombre</v>
      </c>
      <c r="F201" s="94" t="s">
        <v>3167</v>
      </c>
      <c r="H201" s="101" t="s">
        <v>29</v>
      </c>
      <c r="I201" s="91">
        <v>102860</v>
      </c>
      <c r="J201" s="101" t="s">
        <v>29</v>
      </c>
      <c r="K201" s="101" t="s">
        <v>29</v>
      </c>
      <c r="L201" s="101" t="s">
        <v>29</v>
      </c>
      <c r="M201" s="91">
        <v>33531</v>
      </c>
      <c r="N201" s="11">
        <v>21686</v>
      </c>
      <c r="O201" s="11">
        <v>17929</v>
      </c>
      <c r="P201" s="9">
        <v>16430</v>
      </c>
      <c r="Q201" s="9" t="s">
        <v>64</v>
      </c>
      <c r="R201" s="93" t="s">
        <v>29</v>
      </c>
      <c r="S201" s="93" t="s">
        <v>29</v>
      </c>
      <c r="T201" s="80" t="s">
        <v>29</v>
      </c>
      <c r="U201" s="80" t="s">
        <v>29</v>
      </c>
      <c r="V201" s="80" t="s">
        <v>29</v>
      </c>
      <c r="W201" s="80" t="s">
        <v>29</v>
      </c>
      <c r="X201" s="248" t="s">
        <v>29</v>
      </c>
      <c r="Y201" s="75" t="s">
        <v>29</v>
      </c>
      <c r="Z201" s="75" t="s">
        <v>29</v>
      </c>
    </row>
    <row r="202" spans="1:89" ht="12.6" customHeight="1" x14ac:dyDescent="0.2">
      <c r="C202" s="8" t="str">
        <f>VLOOKUP(145,Textbausteine_102[],Hilfsgrössen!$D$2,FALSE)</f>
        <v>Montant</v>
      </c>
      <c r="D202" s="16" t="str">
        <f>VLOOKUP(28,Textbausteine_102[],Hilfsgrössen!$D$2,FALSE)</f>
        <v>Nombre</v>
      </c>
      <c r="F202" s="94" t="s">
        <v>3167</v>
      </c>
      <c r="H202" s="101" t="s">
        <v>29</v>
      </c>
      <c r="I202" s="91">
        <v>72709613</v>
      </c>
      <c r="J202" s="101" t="s">
        <v>29</v>
      </c>
      <c r="K202" s="101" t="s">
        <v>29</v>
      </c>
      <c r="L202" s="101" t="s">
        <v>29</v>
      </c>
      <c r="M202" s="91">
        <v>77221519</v>
      </c>
      <c r="N202" s="11">
        <v>78934956</v>
      </c>
      <c r="O202" s="11">
        <v>81396080</v>
      </c>
      <c r="P202" s="9">
        <v>83229173</v>
      </c>
      <c r="Q202" s="9" t="s">
        <v>65</v>
      </c>
      <c r="R202" s="91">
        <v>84515502</v>
      </c>
      <c r="S202" s="91">
        <v>83089770</v>
      </c>
      <c r="T202" s="11">
        <v>81428676</v>
      </c>
      <c r="U202" s="11">
        <v>76942149</v>
      </c>
      <c r="V202" s="11">
        <v>69545457</v>
      </c>
      <c r="W202" s="11">
        <v>62172289</v>
      </c>
      <c r="X202" s="240">
        <v>44057454</v>
      </c>
      <c r="Y202" s="75">
        <v>39910729</v>
      </c>
      <c r="Z202" s="75">
        <v>38985643</v>
      </c>
    </row>
    <row r="203" spans="1:89" ht="12.6" customHeight="1" x14ac:dyDescent="0.2">
      <c r="C203" s="8"/>
      <c r="D203" s="16"/>
      <c r="H203" s="101"/>
      <c r="I203" s="91"/>
      <c r="J203" s="101"/>
      <c r="K203" s="101"/>
      <c r="L203" s="101"/>
      <c r="M203" s="91"/>
      <c r="N203" s="11"/>
      <c r="O203" s="11"/>
      <c r="R203" s="91"/>
      <c r="S203" s="91"/>
      <c r="Y203" s="75"/>
      <c r="Z203" s="75"/>
    </row>
    <row r="204" spans="1:89" s="326" customFormat="1" ht="12.6" customHeight="1" x14ac:dyDescent="0.25">
      <c r="A204" s="324"/>
      <c r="B204" s="340" t="str">
        <f>VLOOKUP(286,Textbausteine_102[],Hilfsgrössen!$D$2,FALSE)</f>
        <v xml:space="preserve">1) La méthode de calcul pour déterminer les virements via e-finance a été adaptée. Désormais, c’est le nombre de transactions qui est présenté, à la place du nombre d’ordres. Les valeurs des exercices 2020 et 2021 ont été ajustées. </v>
      </c>
      <c r="C204" s="341"/>
      <c r="D204" s="393"/>
      <c r="E204" s="338"/>
      <c r="F204" s="328"/>
      <c r="G204" s="329"/>
      <c r="H204" s="394"/>
      <c r="I204" s="91"/>
      <c r="J204" s="394"/>
      <c r="K204" s="394"/>
      <c r="L204" s="394"/>
      <c r="M204" s="91"/>
      <c r="N204" s="327"/>
      <c r="O204" s="327"/>
      <c r="P204" s="328"/>
      <c r="Q204" s="328"/>
      <c r="R204" s="91"/>
      <c r="S204" s="91"/>
      <c r="T204" s="327"/>
      <c r="U204" s="327"/>
      <c r="V204" s="327"/>
      <c r="W204" s="327"/>
      <c r="X204" s="327"/>
      <c r="Y204" s="353"/>
      <c r="Z204" s="353"/>
      <c r="AA204" s="341"/>
      <c r="AB204" s="328"/>
      <c r="AC204" s="328"/>
      <c r="AD204" s="328"/>
      <c r="AE204" s="328"/>
      <c r="AF204" s="328"/>
      <c r="AG204" s="328"/>
      <c r="AH204" s="328"/>
      <c r="AI204" s="328"/>
      <c r="AJ204" s="328"/>
      <c r="AK204" s="328"/>
      <c r="AL204" s="328"/>
      <c r="AM204" s="328"/>
      <c r="AN204" s="328"/>
      <c r="AO204" s="328"/>
      <c r="AP204" s="328"/>
      <c r="AQ204" s="328"/>
      <c r="AR204" s="328"/>
      <c r="AS204" s="328"/>
      <c r="AT204" s="328"/>
      <c r="AU204" s="328"/>
      <c r="AV204" s="328"/>
      <c r="AW204" s="328"/>
      <c r="AX204" s="328"/>
      <c r="AY204" s="328"/>
      <c r="AZ204" s="328"/>
      <c r="BA204" s="328"/>
      <c r="BB204" s="328"/>
      <c r="BC204" s="328"/>
      <c r="BD204" s="328"/>
      <c r="BE204" s="328"/>
      <c r="BF204" s="328"/>
      <c r="BG204" s="328"/>
      <c r="BH204" s="328"/>
      <c r="BI204" s="328"/>
      <c r="BJ204" s="328"/>
      <c r="BK204" s="328"/>
      <c r="BL204" s="328"/>
      <c r="BM204" s="328"/>
      <c r="BN204" s="328"/>
      <c r="BO204" s="328"/>
      <c r="BP204" s="328"/>
      <c r="BQ204" s="328"/>
      <c r="BR204" s="328"/>
      <c r="BS204" s="328"/>
      <c r="BT204" s="328"/>
      <c r="BU204" s="328"/>
      <c r="BV204" s="328"/>
      <c r="BW204" s="328"/>
      <c r="BX204" s="328"/>
      <c r="BY204" s="328"/>
      <c r="BZ204" s="328"/>
      <c r="CA204" s="328"/>
      <c r="CB204" s="328"/>
      <c r="CC204" s="328"/>
      <c r="CD204" s="328"/>
      <c r="CE204" s="328"/>
      <c r="CF204" s="328"/>
      <c r="CG204" s="328"/>
      <c r="CH204" s="328"/>
      <c r="CI204" s="328"/>
      <c r="CJ204" s="328"/>
      <c r="CK204" s="328"/>
    </row>
    <row r="205" spans="1:89" s="326" customFormat="1" ht="12.6" customHeight="1" x14ac:dyDescent="0.25">
      <c r="A205" s="324"/>
      <c r="B205" s="340" t="str">
        <f>VLOOKUP(287,Textbausteine_102[],Hilfsgrössen!$D$2,FALSE)</f>
        <v xml:space="preserve">2) La méthode de calcul pour déterminer les virements EFT/POS a été adaptée. Désormais, c’est le nombre de transactions (y compris transfert de capital) qui est présenté, à la place du nombre d’ordres. Les valeurs des exercices 2020 et 2021 ont été ajustées. </v>
      </c>
      <c r="C205" s="341"/>
      <c r="D205" s="393"/>
      <c r="E205" s="338"/>
      <c r="F205" s="328"/>
      <c r="G205" s="329"/>
      <c r="H205" s="394"/>
      <c r="I205" s="91"/>
      <c r="J205" s="394"/>
      <c r="K205" s="394"/>
      <c r="L205" s="394"/>
      <c r="M205" s="91"/>
      <c r="N205" s="327"/>
      <c r="O205" s="327"/>
      <c r="P205" s="328"/>
      <c r="Q205" s="328"/>
      <c r="R205" s="91"/>
      <c r="S205" s="91"/>
      <c r="T205" s="327"/>
      <c r="U205" s="327"/>
      <c r="V205" s="327"/>
      <c r="W205" s="327"/>
      <c r="X205" s="327"/>
      <c r="Y205" s="353"/>
      <c r="Z205" s="353"/>
      <c r="AA205" s="341"/>
      <c r="AB205" s="328"/>
      <c r="AC205" s="328"/>
      <c r="AD205" s="328"/>
      <c r="AE205" s="328"/>
      <c r="AF205" s="328"/>
      <c r="AG205" s="328"/>
      <c r="AH205" s="328"/>
      <c r="AI205" s="328"/>
      <c r="AJ205" s="328"/>
      <c r="AK205" s="328"/>
      <c r="AL205" s="328"/>
      <c r="AM205" s="328"/>
      <c r="AN205" s="328"/>
      <c r="AO205" s="328"/>
      <c r="AP205" s="328"/>
      <c r="AQ205" s="328"/>
      <c r="AR205" s="328"/>
      <c r="AS205" s="328"/>
      <c r="AT205" s="328"/>
      <c r="AU205" s="328"/>
      <c r="AV205" s="328"/>
      <c r="AW205" s="328"/>
      <c r="AX205" s="328"/>
      <c r="AY205" s="328"/>
      <c r="AZ205" s="328"/>
      <c r="BA205" s="328"/>
      <c r="BB205" s="328"/>
      <c r="BC205" s="328"/>
      <c r="BD205" s="328"/>
      <c r="BE205" s="328"/>
      <c r="BF205" s="328"/>
      <c r="BG205" s="328"/>
      <c r="BH205" s="328"/>
      <c r="BI205" s="328"/>
      <c r="BJ205" s="328"/>
      <c r="BK205" s="328"/>
      <c r="BL205" s="328"/>
      <c r="BM205" s="328"/>
      <c r="BN205" s="328"/>
      <c r="BO205" s="328"/>
      <c r="BP205" s="328"/>
      <c r="BQ205" s="328"/>
      <c r="BR205" s="328"/>
      <c r="BS205" s="328"/>
      <c r="BT205" s="328"/>
      <c r="BU205" s="328"/>
      <c r="BV205" s="328"/>
      <c r="BW205" s="328"/>
      <c r="BX205" s="328"/>
      <c r="BY205" s="328"/>
      <c r="BZ205" s="328"/>
      <c r="CA205" s="328"/>
      <c r="CB205" s="328"/>
      <c r="CC205" s="328"/>
      <c r="CD205" s="328"/>
      <c r="CE205" s="328"/>
      <c r="CF205" s="328"/>
      <c r="CG205" s="328"/>
      <c r="CH205" s="328"/>
      <c r="CI205" s="328"/>
      <c r="CJ205" s="328"/>
      <c r="CK205" s="328"/>
    </row>
    <row r="206" spans="1:89" s="326" customFormat="1" ht="12.6" customHeight="1" x14ac:dyDescent="0.25">
      <c r="A206" s="324"/>
      <c r="B206" s="340" t="str">
        <f>VLOOKUP(288,Textbausteine_102[],Hilfsgrössen!$D$2,FALSE)</f>
        <v xml:space="preserve">3) La méthode de calcul pour déterminer les virements papier a été adaptée. Désormais, c’est le nombre de transactions (y compris réceptions interbancaires) qui est présenté, à la place du nombre d’ordres. Les valeurs des exercices 2020 et 2021 ont été ajustées. </v>
      </c>
      <c r="C206" s="341"/>
      <c r="D206" s="393"/>
      <c r="E206" s="338"/>
      <c r="F206" s="328"/>
      <c r="G206" s="329"/>
      <c r="H206" s="394"/>
      <c r="I206" s="91"/>
      <c r="J206" s="394"/>
      <c r="K206" s="394"/>
      <c r="L206" s="394"/>
      <c r="M206" s="91"/>
      <c r="N206" s="327"/>
      <c r="O206" s="327"/>
      <c r="P206" s="328"/>
      <c r="Q206" s="328"/>
      <c r="R206" s="91"/>
      <c r="S206" s="91"/>
      <c r="T206" s="327"/>
      <c r="U206" s="327"/>
      <c r="V206" s="327"/>
      <c r="W206" s="327"/>
      <c r="X206" s="327"/>
      <c r="Y206" s="353"/>
      <c r="Z206" s="353"/>
      <c r="AA206" s="341"/>
      <c r="AB206" s="328"/>
      <c r="AC206" s="328"/>
      <c r="AD206" s="328"/>
      <c r="AE206" s="328"/>
      <c r="AF206" s="328"/>
      <c r="AG206" s="328"/>
      <c r="AH206" s="328"/>
      <c r="AI206" s="328"/>
      <c r="AJ206" s="328"/>
      <c r="AK206" s="328"/>
      <c r="AL206" s="328"/>
      <c r="AM206" s="328"/>
      <c r="AN206" s="328"/>
      <c r="AO206" s="328"/>
      <c r="AP206" s="328"/>
      <c r="AQ206" s="328"/>
      <c r="AR206" s="328"/>
      <c r="AS206" s="328"/>
      <c r="AT206" s="328"/>
      <c r="AU206" s="328"/>
      <c r="AV206" s="328"/>
      <c r="AW206" s="328"/>
      <c r="AX206" s="328"/>
      <c r="AY206" s="328"/>
      <c r="AZ206" s="328"/>
      <c r="BA206" s="328"/>
      <c r="BB206" s="328"/>
      <c r="BC206" s="328"/>
      <c r="BD206" s="328"/>
      <c r="BE206" s="328"/>
      <c r="BF206" s="328"/>
      <c r="BG206" s="328"/>
      <c r="BH206" s="328"/>
      <c r="BI206" s="328"/>
      <c r="BJ206" s="328"/>
      <c r="BK206" s="328"/>
      <c r="BL206" s="328"/>
      <c r="BM206" s="328"/>
      <c r="BN206" s="328"/>
      <c r="BO206" s="328"/>
      <c r="BP206" s="328"/>
      <c r="BQ206" s="328"/>
      <c r="BR206" s="328"/>
      <c r="BS206" s="328"/>
      <c r="BT206" s="328"/>
      <c r="BU206" s="328"/>
      <c r="BV206" s="328"/>
      <c r="BW206" s="328"/>
      <c r="BX206" s="328"/>
      <c r="BY206" s="328"/>
      <c r="BZ206" s="328"/>
      <c r="CA206" s="328"/>
      <c r="CB206" s="328"/>
      <c r="CC206" s="328"/>
      <c r="CD206" s="328"/>
      <c r="CE206" s="328"/>
      <c r="CF206" s="328"/>
      <c r="CG206" s="328"/>
      <c r="CH206" s="328"/>
      <c r="CI206" s="328"/>
      <c r="CJ206" s="328"/>
      <c r="CK206" s="328"/>
    </row>
    <row r="207" spans="1:89" ht="12.6" customHeight="1" x14ac:dyDescent="0.2">
      <c r="C207" s="13"/>
      <c r="H207" s="91"/>
      <c r="I207" s="1"/>
      <c r="J207" s="91"/>
      <c r="K207" s="91"/>
      <c r="L207" s="91"/>
      <c r="M207" s="91"/>
      <c r="N207" s="11"/>
      <c r="O207" s="11"/>
      <c r="R207" s="91"/>
      <c r="S207" s="91"/>
      <c r="T207" s="9"/>
      <c r="U207" s="9"/>
      <c r="V207" s="9"/>
      <c r="W207" s="9"/>
      <c r="X207" s="269"/>
      <c r="Y207" s="9"/>
      <c r="Z207" s="9"/>
    </row>
    <row r="208" spans="1:89" ht="12.6" customHeight="1" x14ac:dyDescent="0.2">
      <c r="C208" s="13"/>
      <c r="H208" s="91"/>
      <c r="I208" s="91"/>
      <c r="J208" s="91"/>
      <c r="K208" s="91"/>
      <c r="L208" s="91"/>
      <c r="M208" s="91"/>
      <c r="N208" s="11"/>
      <c r="O208" s="11"/>
      <c r="R208" s="91"/>
      <c r="S208" s="91"/>
      <c r="T208" s="9"/>
      <c r="U208" s="9"/>
      <c r="V208" s="9"/>
      <c r="W208" s="9"/>
      <c r="X208" s="269"/>
      <c r="Y208" s="9"/>
      <c r="Z208" s="9"/>
      <c r="AA208" s="341"/>
    </row>
    <row r="209" spans="1:89" s="78" customFormat="1" ht="12.6" customHeight="1" x14ac:dyDescent="0.2">
      <c r="A209" s="43" t="s">
        <v>27</v>
      </c>
      <c r="B209" s="401" t="str">
        <f>$C$12</f>
        <v>Effectif</v>
      </c>
      <c r="C209" s="401" t="str">
        <f>VLOOKUP(36,Textbausteine_Menu[],Hilfsgrössen!$D$2,FALSE)</f>
        <v>Groupe</v>
      </c>
      <c r="D209" s="78" t="str">
        <f>VLOOKUP(32,Textbausteine_Menu[],Hilfsgrössen!$D$2,FALSE)</f>
        <v>Unité</v>
      </c>
      <c r="E209" s="145" t="str">
        <f>VLOOKUP(33,Textbausteine_Menu[],Hilfsgrössen!$D$2,FALSE)</f>
        <v>Notes</v>
      </c>
      <c r="F209" s="28" t="str">
        <f>VLOOKUP(34,Textbausteine_Menu[],Hilfsgrössen!$D$2,FALSE)</f>
        <v>GRI</v>
      </c>
      <c r="G209" s="34"/>
      <c r="H209" s="72">
        <v>2004</v>
      </c>
      <c r="I209" s="72">
        <v>2005</v>
      </c>
      <c r="J209" s="72">
        <v>2006</v>
      </c>
      <c r="K209" s="72">
        <v>2007</v>
      </c>
      <c r="L209" s="72">
        <v>2008</v>
      </c>
      <c r="M209" s="72">
        <v>2009</v>
      </c>
      <c r="N209" s="72">
        <v>2010</v>
      </c>
      <c r="O209" s="72">
        <v>2011</v>
      </c>
      <c r="P209" s="72">
        <v>2012</v>
      </c>
      <c r="Q209" s="72">
        <v>2013</v>
      </c>
      <c r="R209" s="72">
        <v>2014</v>
      </c>
      <c r="S209" s="72">
        <v>2015</v>
      </c>
      <c r="T209" s="74">
        <v>2016</v>
      </c>
      <c r="U209" s="74">
        <v>2017</v>
      </c>
      <c r="V209" s="74">
        <v>2018</v>
      </c>
      <c r="W209" s="74">
        <v>2019</v>
      </c>
      <c r="X209" s="241">
        <v>2020</v>
      </c>
      <c r="Y209" s="74">
        <v>2021</v>
      </c>
      <c r="Z209" s="74">
        <v>2022</v>
      </c>
      <c r="AA209" s="359"/>
      <c r="AB209" s="72"/>
      <c r="AC209" s="72"/>
      <c r="AD209" s="72"/>
      <c r="AE209" s="72"/>
      <c r="AF209" s="72"/>
      <c r="AG209" s="72"/>
      <c r="AH209" s="72"/>
      <c r="AI209" s="72"/>
      <c r="AJ209" s="72"/>
      <c r="AK209" s="72"/>
      <c r="AL209" s="72"/>
      <c r="AM209" s="72"/>
      <c r="AN209" s="72"/>
      <c r="AO209" s="72"/>
      <c r="AP209" s="72"/>
      <c r="AQ209" s="72"/>
      <c r="AR209" s="72"/>
      <c r="AS209" s="72"/>
      <c r="AT209" s="72"/>
      <c r="AU209" s="72"/>
      <c r="AV209" s="72"/>
      <c r="AW209" s="72"/>
      <c r="AX209" s="72"/>
      <c r="AY209" s="72"/>
      <c r="AZ209" s="72"/>
      <c r="BA209" s="72"/>
      <c r="BB209" s="72"/>
      <c r="BC209" s="72"/>
      <c r="BD209" s="72"/>
      <c r="BE209" s="72"/>
      <c r="BF209" s="72"/>
      <c r="BG209" s="72"/>
      <c r="BH209" s="72"/>
      <c r="BI209" s="72"/>
      <c r="BJ209" s="72"/>
      <c r="BK209" s="72"/>
      <c r="BL209" s="72"/>
      <c r="BM209" s="72"/>
      <c r="BN209" s="72"/>
      <c r="BO209" s="72"/>
      <c r="BP209" s="72"/>
      <c r="BQ209" s="72"/>
      <c r="BR209" s="72"/>
      <c r="BS209" s="72"/>
      <c r="BT209" s="72"/>
      <c r="BU209" s="72"/>
      <c r="BV209" s="72"/>
      <c r="BW209" s="72"/>
      <c r="BX209" s="72"/>
      <c r="BY209" s="72"/>
      <c r="BZ209" s="72"/>
      <c r="CA209" s="72"/>
      <c r="CB209" s="72"/>
      <c r="CC209" s="72"/>
      <c r="CD209" s="72"/>
      <c r="CE209" s="72"/>
      <c r="CF209" s="72"/>
      <c r="CG209" s="72"/>
      <c r="CH209" s="72"/>
      <c r="CI209" s="72"/>
      <c r="CJ209" s="72"/>
      <c r="CK209" s="72"/>
    </row>
    <row r="210" spans="1:89" s="42" customFormat="1" ht="12.6" customHeight="1" x14ac:dyDescent="0.2">
      <c r="A210" s="57"/>
      <c r="B210" s="401" t="str">
        <f>VLOOKUP(36,Textbausteine_Menu[],Hilfsgrössen!$D$2,FALSE)</f>
        <v>Groupe</v>
      </c>
      <c r="C210" s="401" t="str">
        <f>VLOOKUP(36,Textbausteine_Menu[],Hilfsgrössen!$D$2,FALSE)</f>
        <v>Groupe</v>
      </c>
      <c r="E210" s="146"/>
      <c r="F210" s="9"/>
      <c r="G210" s="34"/>
      <c r="H210" s="73"/>
      <c r="I210" s="73"/>
      <c r="J210" s="73"/>
      <c r="K210" s="73"/>
      <c r="L210" s="73"/>
      <c r="M210" s="73"/>
      <c r="N210" s="73"/>
      <c r="O210" s="73"/>
      <c r="P210" s="73"/>
      <c r="Q210" s="73"/>
      <c r="R210" s="73"/>
      <c r="S210" s="73"/>
      <c r="T210" s="75"/>
      <c r="U210" s="75"/>
      <c r="V210" s="75"/>
      <c r="W210" s="75"/>
      <c r="X210" s="242"/>
      <c r="Y210" s="75"/>
      <c r="Z210" s="75"/>
      <c r="AA210" s="360"/>
      <c r="AB210" s="73"/>
      <c r="AC210" s="73"/>
      <c r="AD210" s="73"/>
      <c r="AE210" s="73"/>
      <c r="AF210" s="73"/>
      <c r="AG210" s="73"/>
      <c r="AH210" s="73"/>
      <c r="AI210" s="73"/>
      <c r="AJ210" s="73"/>
      <c r="AK210" s="73"/>
      <c r="AL210" s="73"/>
      <c r="AM210" s="73"/>
      <c r="AN210" s="73"/>
      <c r="AO210" s="73"/>
      <c r="AP210" s="73"/>
      <c r="AQ210" s="73"/>
      <c r="AR210" s="73"/>
      <c r="AS210" s="73"/>
      <c r="AT210" s="73"/>
      <c r="AU210" s="73"/>
      <c r="AV210" s="73"/>
      <c r="AW210" s="73"/>
      <c r="AX210" s="73"/>
      <c r="AY210" s="73"/>
      <c r="AZ210" s="73"/>
      <c r="BA210" s="73"/>
      <c r="BB210" s="73"/>
      <c r="BC210" s="73"/>
      <c r="BD210" s="73"/>
      <c r="BE210" s="73"/>
      <c r="BF210" s="73"/>
      <c r="BG210" s="73"/>
      <c r="BH210" s="73"/>
      <c r="BI210" s="73"/>
      <c r="BJ210" s="73"/>
      <c r="BK210" s="73"/>
      <c r="BL210" s="73"/>
      <c r="BM210" s="73"/>
      <c r="BN210" s="73"/>
      <c r="BO210" s="73"/>
      <c r="BP210" s="73"/>
      <c r="BQ210" s="73"/>
      <c r="BR210" s="73"/>
      <c r="BS210" s="73"/>
      <c r="BT210" s="73"/>
      <c r="BU210" s="73"/>
      <c r="BV210" s="73"/>
      <c r="BW210" s="73"/>
      <c r="BX210" s="73"/>
      <c r="BY210" s="73"/>
      <c r="BZ210" s="73"/>
      <c r="CA210" s="73"/>
      <c r="CB210" s="73"/>
      <c r="CC210" s="73"/>
      <c r="CD210" s="73"/>
      <c r="CE210" s="73"/>
      <c r="CF210" s="73"/>
      <c r="CG210" s="73"/>
      <c r="CH210" s="73"/>
      <c r="CI210" s="73"/>
      <c r="CJ210" s="73"/>
      <c r="CK210" s="73"/>
    </row>
    <row r="211" spans="1:89" ht="12.6" customHeight="1" x14ac:dyDescent="0.2">
      <c r="B211" s="2"/>
      <c r="AA211" s="341"/>
    </row>
    <row r="212" spans="1:89" ht="12.6" customHeight="1" x14ac:dyDescent="0.2">
      <c r="B212" s="2" t="str">
        <f>VLOOKUP(36,Textbausteine_Menu[],Hilfsgrössen!$D$2,FALSE)</f>
        <v>Groupe</v>
      </c>
      <c r="C212" s="2"/>
      <c r="T212" s="9"/>
      <c r="U212" s="9"/>
      <c r="V212" s="9"/>
      <c r="W212" s="9"/>
      <c r="X212" s="269"/>
      <c r="Y212" s="9"/>
      <c r="Z212" s="9"/>
      <c r="AA212" s="349"/>
    </row>
    <row r="213" spans="1:89" ht="12.6" customHeight="1" x14ac:dyDescent="0.2">
      <c r="C213" s="48" t="str">
        <f>VLOOKUP(151,Textbausteine_102[],Hilfsgrössen!$D$2,FALSE)</f>
        <v>Effectif</v>
      </c>
      <c r="D213" s="16" t="str">
        <f>VLOOKUP(34,Textbausteine_102[],Hilfsgrössen!$D$2,FALSE)</f>
        <v>Unités de personnel</v>
      </c>
      <c r="E213" s="146" t="s">
        <v>66</v>
      </c>
      <c r="F213" s="94" t="s">
        <v>3168</v>
      </c>
      <c r="H213" s="11">
        <v>42284</v>
      </c>
      <c r="I213" s="11">
        <v>41073</v>
      </c>
      <c r="J213" s="11">
        <v>42178</v>
      </c>
      <c r="K213" s="11">
        <v>43447</v>
      </c>
      <c r="L213" s="11">
        <v>44178</v>
      </c>
      <c r="M213" s="11">
        <v>44803</v>
      </c>
      <c r="N213" s="11">
        <v>45129</v>
      </c>
      <c r="O213" s="11">
        <v>44348</v>
      </c>
      <c r="P213" s="9">
        <v>44605</v>
      </c>
      <c r="Q213" s="9">
        <v>44105</v>
      </c>
      <c r="R213" s="91">
        <v>44681</v>
      </c>
      <c r="S213" s="91">
        <v>44131</v>
      </c>
      <c r="T213" s="9">
        <v>43485</v>
      </c>
      <c r="U213" s="9">
        <v>42316</v>
      </c>
      <c r="V213" s="9">
        <v>39932</v>
      </c>
      <c r="W213" s="9">
        <v>39670</v>
      </c>
      <c r="X213" s="9">
        <v>39089</v>
      </c>
      <c r="Y213" s="9">
        <v>40144</v>
      </c>
      <c r="Z213" s="9">
        <v>34072</v>
      </c>
      <c r="AA213" s="349"/>
    </row>
    <row r="214" spans="1:89" ht="12.6" customHeight="1" x14ac:dyDescent="0.2">
      <c r="C214" s="50" t="str">
        <f>VLOOKUP(154,Textbausteine_102[],Hilfsgrössen!$D$2,FALSE)</f>
        <v>Etranger</v>
      </c>
      <c r="D214" s="16" t="str">
        <f>VLOOKUP(34,Textbausteine_102[],Hilfsgrössen!$D$2,FALSE)</f>
        <v>Unités de personnel</v>
      </c>
      <c r="E214" s="146" t="s">
        <v>66</v>
      </c>
      <c r="F214" s="94" t="s">
        <v>3168</v>
      </c>
      <c r="H214" s="11">
        <v>1158</v>
      </c>
      <c r="I214" s="11">
        <v>1347</v>
      </c>
      <c r="J214" s="11">
        <v>3379</v>
      </c>
      <c r="K214" s="11">
        <v>5513</v>
      </c>
      <c r="L214" s="11">
        <v>6276</v>
      </c>
      <c r="M214" s="11">
        <v>6986</v>
      </c>
      <c r="N214" s="11">
        <v>7255</v>
      </c>
      <c r="O214" s="11">
        <v>6645</v>
      </c>
      <c r="P214" s="9">
        <v>6621</v>
      </c>
      <c r="Q214" s="9">
        <v>6779</v>
      </c>
      <c r="R214" s="91">
        <v>7627</v>
      </c>
      <c r="S214" s="91">
        <v>7449</v>
      </c>
      <c r="T214" s="9">
        <v>7195</v>
      </c>
      <c r="U214" s="9">
        <v>6971</v>
      </c>
      <c r="V214" s="9">
        <v>6123</v>
      </c>
      <c r="W214" s="9">
        <v>6272</v>
      </c>
      <c r="X214" s="9">
        <v>5788</v>
      </c>
      <c r="Y214" s="9">
        <v>6613</v>
      </c>
      <c r="Z214" s="9">
        <v>751</v>
      </c>
      <c r="AA214" s="349"/>
    </row>
    <row r="215" spans="1:89" ht="12.6" customHeight="1" x14ac:dyDescent="0.2">
      <c r="C215" s="13" t="str">
        <f>VLOOKUP(155,Textbausteine_102[],Hilfsgrössen!$D$2,FALSE)</f>
        <v>Part à l'étranger</v>
      </c>
      <c r="D215" s="16" t="str">
        <f>VLOOKUP(21,Textbausteine_102[],Hilfsgrössen!$D$2,FALSE)</f>
        <v>%</v>
      </c>
      <c r="E215" s="146" t="s">
        <v>66</v>
      </c>
      <c r="F215" s="94" t="s">
        <v>3168</v>
      </c>
      <c r="H215" s="203">
        <v>2.7</v>
      </c>
      <c r="I215" s="203">
        <v>3.3</v>
      </c>
      <c r="J215" s="203">
        <v>8</v>
      </c>
      <c r="K215" s="11">
        <v>12.7</v>
      </c>
      <c r="L215" s="11">
        <v>14.2</v>
      </c>
      <c r="M215" s="11">
        <v>15.6</v>
      </c>
      <c r="N215" s="11">
        <v>16.100000000000001</v>
      </c>
      <c r="O215" s="11">
        <v>15</v>
      </c>
      <c r="P215" s="9">
        <v>14.8</v>
      </c>
      <c r="Q215" s="9">
        <v>15.4</v>
      </c>
      <c r="R215" s="91">
        <v>17.100000000000001</v>
      </c>
      <c r="S215" s="91">
        <v>16.879673691366399</v>
      </c>
      <c r="T215" s="9">
        <v>16.5</v>
      </c>
      <c r="U215" s="9">
        <v>16.5</v>
      </c>
      <c r="V215" s="9">
        <v>15.3</v>
      </c>
      <c r="W215" s="9">
        <v>15.8</v>
      </c>
      <c r="X215" s="9">
        <v>14.8</v>
      </c>
      <c r="Y215" s="9">
        <v>16.5</v>
      </c>
      <c r="Z215" s="9">
        <v>2.2041559051420521</v>
      </c>
      <c r="AA215" s="349"/>
    </row>
    <row r="216" spans="1:89" s="8" customFormat="1" ht="12.6" customHeight="1" x14ac:dyDescent="0.2">
      <c r="A216" s="56"/>
      <c r="B216" s="1"/>
      <c r="C216" s="1"/>
      <c r="D216" s="1"/>
      <c r="E216" s="146"/>
      <c r="F216" s="9"/>
      <c r="G216" s="34"/>
      <c r="H216" s="11"/>
      <c r="I216" s="11"/>
      <c r="J216" s="11"/>
      <c r="K216" s="11"/>
      <c r="L216" s="11"/>
      <c r="M216" s="11"/>
      <c r="N216" s="11"/>
      <c r="O216" s="11"/>
      <c r="P216" s="9"/>
      <c r="Q216" s="9"/>
      <c r="R216" s="91"/>
      <c r="S216" s="91"/>
      <c r="T216" s="9"/>
      <c r="U216" s="9"/>
      <c r="V216" s="9"/>
      <c r="W216" s="9"/>
      <c r="X216" s="269"/>
      <c r="Y216" s="9"/>
      <c r="Z216" s="9"/>
      <c r="AA216" s="349"/>
      <c r="AB216" s="9"/>
      <c r="AC216" s="9"/>
      <c r="AD216" s="9"/>
      <c r="AE216" s="9"/>
      <c r="AF216" s="9"/>
      <c r="AG216" s="9"/>
      <c r="AH216" s="9"/>
      <c r="AI216" s="9"/>
      <c r="AJ216" s="9"/>
      <c r="AK216" s="9"/>
      <c r="AL216" s="9"/>
      <c r="AM216" s="9"/>
      <c r="AN216" s="9"/>
      <c r="AO216" s="9"/>
      <c r="AP216" s="9"/>
      <c r="AQ216" s="9"/>
      <c r="AR216" s="9"/>
      <c r="AS216" s="9"/>
      <c r="AT216" s="9"/>
      <c r="AU216" s="9"/>
      <c r="AV216" s="9"/>
      <c r="AW216" s="9"/>
      <c r="AX216" s="9"/>
      <c r="AY216" s="9"/>
      <c r="AZ216" s="9"/>
      <c r="BA216" s="9"/>
      <c r="BB216" s="9"/>
      <c r="BC216" s="9"/>
      <c r="BD216" s="9"/>
      <c r="BE216" s="9"/>
      <c r="BF216" s="9"/>
      <c r="BG216" s="9"/>
      <c r="BH216" s="9"/>
      <c r="BI216" s="9"/>
      <c r="BJ216" s="9"/>
      <c r="BK216" s="9"/>
      <c r="BL216" s="9"/>
      <c r="BM216" s="9"/>
      <c r="BN216" s="9"/>
      <c r="BO216" s="9"/>
      <c r="BP216" s="9"/>
      <c r="BQ216" s="9"/>
      <c r="BR216" s="9"/>
      <c r="BS216" s="9"/>
      <c r="BT216" s="9"/>
      <c r="BU216" s="9"/>
      <c r="BV216" s="9"/>
      <c r="BW216" s="9"/>
      <c r="BX216" s="9"/>
      <c r="BY216" s="9"/>
      <c r="BZ216" s="9"/>
      <c r="CA216" s="9"/>
      <c r="CB216" s="9"/>
      <c r="CC216" s="9"/>
      <c r="CD216" s="9"/>
      <c r="CE216" s="9"/>
      <c r="CF216" s="9"/>
      <c r="CG216" s="9"/>
      <c r="CH216" s="9"/>
      <c r="CI216" s="9"/>
      <c r="CJ216" s="9"/>
      <c r="CK216" s="9"/>
    </row>
    <row r="217" spans="1:89" s="8" customFormat="1" ht="12.6" customHeight="1" x14ac:dyDescent="0.2">
      <c r="A217" s="56"/>
      <c r="B217" s="1"/>
      <c r="C217" s="48" t="str">
        <f>VLOOKUP(151,Textbausteine_102[],Hilfsgrössen!$D$2,FALSE)</f>
        <v>Effectif</v>
      </c>
      <c r="D217" s="16" t="str">
        <f>VLOOKUP(35,Textbausteine_102[],Hilfsgrössen!$D$2,FALSE)</f>
        <v>Personnes</v>
      </c>
      <c r="E217" s="146" t="s">
        <v>67</v>
      </c>
      <c r="F217" s="94" t="s">
        <v>3168</v>
      </c>
      <c r="G217" s="34"/>
      <c r="H217" s="100" t="s">
        <v>29</v>
      </c>
      <c r="I217" s="100" t="s">
        <v>29</v>
      </c>
      <c r="J217" s="100" t="s">
        <v>29</v>
      </c>
      <c r="K217" s="100" t="s">
        <v>29</v>
      </c>
      <c r="L217" s="100" t="s">
        <v>29</v>
      </c>
      <c r="M217" s="81">
        <v>62090</v>
      </c>
      <c r="N217" s="81">
        <v>61428</v>
      </c>
      <c r="O217" s="81">
        <v>59612</v>
      </c>
      <c r="P217" s="91">
        <v>62058</v>
      </c>
      <c r="Q217" s="91">
        <v>61593</v>
      </c>
      <c r="R217" s="91">
        <v>62983</v>
      </c>
      <c r="S217" s="91">
        <v>62341</v>
      </c>
      <c r="T217" s="9">
        <v>61265</v>
      </c>
      <c r="U217" s="9">
        <v>59369</v>
      </c>
      <c r="V217" s="9">
        <v>58180</v>
      </c>
      <c r="W217" s="9">
        <v>55915</v>
      </c>
      <c r="X217" s="269">
        <v>54364</v>
      </c>
      <c r="Y217" s="9">
        <v>54518</v>
      </c>
      <c r="Z217" s="9">
        <v>47318</v>
      </c>
      <c r="AA217" s="341"/>
      <c r="AB217" s="9"/>
      <c r="AC217" s="9"/>
      <c r="AD217" s="9"/>
      <c r="AE217" s="9"/>
      <c r="AF217" s="9"/>
      <c r="AG217" s="9"/>
      <c r="AH217" s="9"/>
      <c r="AI217" s="9"/>
      <c r="AJ217" s="9"/>
      <c r="AK217" s="9"/>
      <c r="AL217" s="9"/>
      <c r="AM217" s="9"/>
      <c r="AN217" s="9"/>
      <c r="AO217" s="9"/>
      <c r="AP217" s="9"/>
      <c r="AQ217" s="9"/>
      <c r="AR217" s="9"/>
      <c r="AS217" s="9"/>
      <c r="AT217" s="9"/>
      <c r="AU217" s="9"/>
      <c r="AV217" s="9"/>
      <c r="AW217" s="9"/>
      <c r="AX217" s="9"/>
      <c r="AY217" s="9"/>
      <c r="AZ217" s="9"/>
      <c r="BA217" s="9"/>
      <c r="BB217" s="9"/>
      <c r="BC217" s="9"/>
      <c r="BD217" s="9"/>
      <c r="BE217" s="9"/>
      <c r="BF217" s="9"/>
      <c r="BG217" s="9"/>
      <c r="BH217" s="9"/>
      <c r="BI217" s="9"/>
      <c r="BJ217" s="9"/>
      <c r="BK217" s="9"/>
      <c r="BL217" s="9"/>
      <c r="BM217" s="9"/>
      <c r="BN217" s="9"/>
      <c r="BO217" s="9"/>
      <c r="BP217" s="9"/>
      <c r="BQ217" s="9"/>
      <c r="BR217" s="9"/>
      <c r="BS217" s="9"/>
      <c r="BT217" s="9"/>
      <c r="BU217" s="9"/>
      <c r="BV217" s="9"/>
      <c r="BW217" s="9"/>
      <c r="BX217" s="9"/>
      <c r="BY217" s="9"/>
      <c r="BZ217" s="9"/>
      <c r="CA217" s="9"/>
      <c r="CB217" s="9"/>
      <c r="CC217" s="9"/>
      <c r="CD217" s="9"/>
      <c r="CE217" s="9"/>
      <c r="CF217" s="9"/>
      <c r="CG217" s="9"/>
      <c r="CH217" s="9"/>
      <c r="CI217" s="9"/>
      <c r="CJ217" s="9"/>
      <c r="CK217" s="9"/>
    </row>
    <row r="218" spans="1:89" s="8" customFormat="1" ht="12.6" customHeight="1" x14ac:dyDescent="0.2">
      <c r="A218" s="56"/>
      <c r="B218" s="1"/>
      <c r="C218" s="50" t="str">
        <f>VLOOKUP(154,Textbausteine_102[],Hilfsgrössen!$D$2,FALSE)</f>
        <v>Etranger</v>
      </c>
      <c r="D218" s="16" t="str">
        <f>VLOOKUP(35,Textbausteine_102[],Hilfsgrössen!$D$2,FALSE)</f>
        <v>Personnes</v>
      </c>
      <c r="E218" s="146" t="s">
        <v>67</v>
      </c>
      <c r="F218" s="94" t="s">
        <v>3168</v>
      </c>
      <c r="G218" s="34"/>
      <c r="H218" s="100" t="s">
        <v>29</v>
      </c>
      <c r="I218" s="100" t="s">
        <v>29</v>
      </c>
      <c r="J218" s="100" t="s">
        <v>29</v>
      </c>
      <c r="K218" s="100" t="s">
        <v>29</v>
      </c>
      <c r="L218" s="100" t="s">
        <v>29</v>
      </c>
      <c r="M218" s="81">
        <v>8841</v>
      </c>
      <c r="N218" s="81">
        <v>7760</v>
      </c>
      <c r="O218" s="81">
        <v>7054</v>
      </c>
      <c r="P218" s="91">
        <v>7100</v>
      </c>
      <c r="Q218" s="91">
        <v>7182</v>
      </c>
      <c r="R218" s="91">
        <v>8008</v>
      </c>
      <c r="S218" s="91">
        <v>7921</v>
      </c>
      <c r="T218" s="9">
        <v>7720</v>
      </c>
      <c r="U218" s="9">
        <v>7467</v>
      </c>
      <c r="V218" s="9">
        <v>7897</v>
      </c>
      <c r="W218" s="9">
        <v>6816</v>
      </c>
      <c r="X218" s="269">
        <v>6368</v>
      </c>
      <c r="Y218" s="9">
        <v>7140</v>
      </c>
      <c r="Z218" s="9">
        <v>800</v>
      </c>
      <c r="AA218" s="349"/>
      <c r="AB218" s="9"/>
      <c r="AC218" s="9"/>
      <c r="AD218" s="9"/>
      <c r="AE218" s="9"/>
      <c r="AF218" s="9"/>
      <c r="AG218" s="9"/>
      <c r="AH218" s="9"/>
      <c r="AI218" s="9"/>
      <c r="AJ218" s="9"/>
      <c r="AK218" s="9"/>
      <c r="AL218" s="9"/>
      <c r="AM218" s="9"/>
      <c r="AN218" s="9"/>
      <c r="AO218" s="9"/>
      <c r="AP218" s="9"/>
      <c r="AQ218" s="9"/>
      <c r="AR218" s="9"/>
      <c r="AS218" s="9"/>
      <c r="AT218" s="9"/>
      <c r="AU218" s="9"/>
      <c r="AV218" s="9"/>
      <c r="AW218" s="9"/>
      <c r="AX218" s="9"/>
      <c r="AY218" s="9"/>
      <c r="AZ218" s="9"/>
      <c r="BA218" s="9"/>
      <c r="BB218" s="9"/>
      <c r="BC218" s="9"/>
      <c r="BD218" s="9"/>
      <c r="BE218" s="9"/>
      <c r="BF218" s="9"/>
      <c r="BG218" s="9"/>
      <c r="BH218" s="9"/>
      <c r="BI218" s="9"/>
      <c r="BJ218" s="9"/>
      <c r="BK218" s="9"/>
      <c r="BL218" s="9"/>
      <c r="BM218" s="9"/>
      <c r="BN218" s="9"/>
      <c r="BO218" s="9"/>
      <c r="BP218" s="9"/>
      <c r="BQ218" s="9"/>
      <c r="BR218" s="9"/>
      <c r="BS218" s="9"/>
      <c r="BT218" s="9"/>
      <c r="BU218" s="9"/>
      <c r="BV218" s="9"/>
      <c r="BW218" s="9"/>
      <c r="BX218" s="9"/>
      <c r="BY218" s="9"/>
      <c r="BZ218" s="9"/>
      <c r="CA218" s="9"/>
      <c r="CB218" s="9"/>
      <c r="CC218" s="9"/>
      <c r="CD218" s="9"/>
      <c r="CE218" s="9"/>
      <c r="CF218" s="9"/>
      <c r="CG218" s="9"/>
      <c r="CH218" s="9"/>
      <c r="CI218" s="9"/>
      <c r="CJ218" s="9"/>
      <c r="CK218" s="9"/>
    </row>
    <row r="219" spans="1:89" s="8" customFormat="1" ht="12.6" customHeight="1" x14ac:dyDescent="0.2">
      <c r="A219" s="56"/>
      <c r="B219" s="1"/>
      <c r="C219" s="13" t="str">
        <f>VLOOKUP(155,Textbausteine_102[],Hilfsgrössen!$D$2,FALSE)</f>
        <v>Part à l'étranger</v>
      </c>
      <c r="D219" s="16" t="str">
        <f>VLOOKUP(21,Textbausteine_102[],Hilfsgrössen!$D$2,FALSE)</f>
        <v>%</v>
      </c>
      <c r="E219" s="146" t="s">
        <v>67</v>
      </c>
      <c r="F219" s="94" t="s">
        <v>3168</v>
      </c>
      <c r="G219" s="34"/>
      <c r="H219" s="100" t="s">
        <v>29</v>
      </c>
      <c r="I219" s="100" t="s">
        <v>29</v>
      </c>
      <c r="J219" s="100" t="s">
        <v>29</v>
      </c>
      <c r="K219" s="100" t="s">
        <v>29</v>
      </c>
      <c r="L219" s="100" t="s">
        <v>29</v>
      </c>
      <c r="M219" s="81">
        <v>14.239007891770012</v>
      </c>
      <c r="N219" s="91">
        <v>12.63267565279677</v>
      </c>
      <c r="O219" s="91">
        <v>11.833187948735153</v>
      </c>
      <c r="P219" s="91">
        <v>11.440910116342776</v>
      </c>
      <c r="Q219" s="91">
        <v>11.660415956358678</v>
      </c>
      <c r="R219" s="91">
        <v>12.7</v>
      </c>
      <c r="S219" s="91">
        <v>12.705923870326099</v>
      </c>
      <c r="T219" s="9">
        <v>12.6</v>
      </c>
      <c r="U219" s="9">
        <v>12.6</v>
      </c>
      <c r="V219" s="9">
        <v>13.6</v>
      </c>
      <c r="W219" s="9">
        <v>12.2</v>
      </c>
      <c r="X219" s="269">
        <v>11.7</v>
      </c>
      <c r="Y219" s="9">
        <v>13.1</v>
      </c>
      <c r="Z219" s="9">
        <v>1.6906885329050256</v>
      </c>
      <c r="AA219" s="349"/>
      <c r="AB219" s="9"/>
      <c r="AC219" s="9"/>
      <c r="AD219" s="9"/>
      <c r="AE219" s="9"/>
      <c r="AF219" s="9"/>
      <c r="AG219" s="9"/>
      <c r="AH219" s="9"/>
      <c r="AI219" s="9"/>
      <c r="AJ219" s="9"/>
      <c r="AK219" s="9"/>
      <c r="AL219" s="9"/>
      <c r="AM219" s="9"/>
      <c r="AN219" s="9"/>
      <c r="AO219" s="9"/>
      <c r="AP219" s="9"/>
      <c r="AQ219" s="9"/>
      <c r="AR219" s="9"/>
      <c r="AS219" s="9"/>
      <c r="AT219" s="9"/>
      <c r="AU219" s="9"/>
      <c r="AV219" s="9"/>
      <c r="AW219" s="9"/>
      <c r="AX219" s="9"/>
      <c r="AY219" s="9"/>
      <c r="AZ219" s="9"/>
      <c r="BA219" s="9"/>
      <c r="BB219" s="9"/>
      <c r="BC219" s="9"/>
      <c r="BD219" s="9"/>
      <c r="BE219" s="9"/>
      <c r="BF219" s="9"/>
      <c r="BG219" s="9"/>
      <c r="BH219" s="9"/>
      <c r="BI219" s="9"/>
      <c r="BJ219" s="9"/>
      <c r="BK219" s="9"/>
      <c r="BL219" s="9"/>
      <c r="BM219" s="9"/>
      <c r="BN219" s="9"/>
      <c r="BO219" s="9"/>
      <c r="BP219" s="9"/>
      <c r="BQ219" s="9"/>
      <c r="BR219" s="9"/>
      <c r="BS219" s="9"/>
      <c r="BT219" s="9"/>
      <c r="BU219" s="9"/>
      <c r="BV219" s="9"/>
      <c r="BW219" s="9"/>
      <c r="BX219" s="9"/>
      <c r="BY219" s="9"/>
      <c r="BZ219" s="9"/>
      <c r="CA219" s="9"/>
      <c r="CB219" s="9"/>
      <c r="CC219" s="9"/>
      <c r="CD219" s="9"/>
      <c r="CE219" s="9"/>
      <c r="CF219" s="9"/>
      <c r="CG219" s="9"/>
      <c r="CH219" s="9"/>
      <c r="CI219" s="9"/>
      <c r="CJ219" s="9"/>
      <c r="CK219" s="9"/>
    </row>
    <row r="220" spans="1:89" s="8" customFormat="1" ht="12.6" customHeight="1" x14ac:dyDescent="0.2">
      <c r="A220" s="56"/>
      <c r="B220" s="1"/>
      <c r="C220" s="1"/>
      <c r="D220" s="1"/>
      <c r="E220" s="146"/>
      <c r="F220" s="9"/>
      <c r="G220" s="34"/>
      <c r="H220" s="81"/>
      <c r="I220" s="81"/>
      <c r="J220" s="81"/>
      <c r="K220" s="81"/>
      <c r="L220" s="81"/>
      <c r="M220" s="81"/>
      <c r="N220" s="9"/>
      <c r="O220" s="9"/>
      <c r="P220" s="9"/>
      <c r="Q220" s="9"/>
      <c r="R220" s="9"/>
      <c r="S220" s="9"/>
      <c r="T220" s="9"/>
      <c r="U220" s="9"/>
      <c r="V220" s="9"/>
      <c r="W220" s="9"/>
      <c r="X220" s="269"/>
      <c r="Y220" s="9"/>
      <c r="Z220" s="9"/>
      <c r="AA220" s="341"/>
      <c r="AB220" s="9"/>
      <c r="AC220" s="9"/>
      <c r="AD220" s="9"/>
      <c r="AE220" s="9"/>
      <c r="AF220" s="9"/>
      <c r="AG220" s="9"/>
      <c r="AH220" s="9"/>
      <c r="AI220" s="9"/>
      <c r="AJ220" s="9"/>
      <c r="AK220" s="9"/>
      <c r="AL220" s="9"/>
      <c r="AM220" s="9"/>
      <c r="AN220" s="9"/>
      <c r="AO220" s="9"/>
      <c r="AP220" s="9"/>
      <c r="AQ220" s="9"/>
      <c r="AR220" s="9"/>
      <c r="AS220" s="9"/>
      <c r="AT220" s="9"/>
      <c r="AU220" s="9"/>
      <c r="AV220" s="9"/>
      <c r="AW220" s="9"/>
      <c r="AX220" s="9"/>
      <c r="AY220" s="9"/>
      <c r="AZ220" s="9"/>
      <c r="BA220" s="9"/>
      <c r="BB220" s="9"/>
      <c r="BC220" s="9"/>
      <c r="BD220" s="9"/>
      <c r="BE220" s="9"/>
      <c r="BF220" s="9"/>
      <c r="BG220" s="9"/>
      <c r="BH220" s="9"/>
      <c r="BI220" s="9"/>
      <c r="BJ220" s="9"/>
      <c r="BK220" s="9"/>
      <c r="BL220" s="9"/>
      <c r="BM220" s="9"/>
      <c r="BN220" s="9"/>
      <c r="BO220" s="9"/>
      <c r="BP220" s="9"/>
      <c r="BQ220" s="9"/>
      <c r="BR220" s="9"/>
      <c r="BS220" s="9"/>
      <c r="BT220" s="9"/>
      <c r="BU220" s="9"/>
      <c r="BV220" s="9"/>
      <c r="BW220" s="9"/>
      <c r="BX220" s="9"/>
      <c r="BY220" s="9"/>
      <c r="BZ220" s="9"/>
      <c r="CA220" s="9"/>
      <c r="CB220" s="9"/>
      <c r="CC220" s="9"/>
      <c r="CD220" s="9"/>
      <c r="CE220" s="9"/>
      <c r="CF220" s="9"/>
      <c r="CG220" s="9"/>
      <c r="CH220" s="9"/>
      <c r="CI220" s="9"/>
      <c r="CJ220" s="9"/>
      <c r="CK220" s="9"/>
    </row>
    <row r="221" spans="1:89" s="8" customFormat="1" ht="12.6" customHeight="1" x14ac:dyDescent="0.2">
      <c r="A221" s="40"/>
      <c r="B221" s="2" t="str">
        <f>VLOOKUP(44,Textbausteine_Menu[],Hilfsgrössen!$D$2,FALSE)</f>
        <v>Segments</v>
      </c>
      <c r="D221" s="1"/>
      <c r="E221" s="146"/>
      <c r="F221" s="9"/>
      <c r="G221" s="34"/>
      <c r="N221" s="9"/>
      <c r="O221" s="9"/>
      <c r="P221" s="9"/>
      <c r="Q221" s="9"/>
      <c r="R221" s="9"/>
      <c r="S221" s="9"/>
      <c r="T221" s="9"/>
      <c r="U221" s="9"/>
      <c r="V221" s="9"/>
      <c r="W221" s="9"/>
      <c r="X221" s="269"/>
      <c r="Y221" s="9"/>
      <c r="Z221" s="9"/>
      <c r="AA221" s="341"/>
      <c r="AB221" s="9"/>
      <c r="AC221" s="9"/>
      <c r="AD221" s="9"/>
      <c r="AE221" s="9"/>
      <c r="AF221" s="9"/>
      <c r="AG221" s="9"/>
      <c r="AH221" s="9"/>
      <c r="AI221" s="9"/>
      <c r="AJ221" s="9"/>
      <c r="AK221" s="9"/>
      <c r="AL221" s="9"/>
      <c r="AM221" s="9"/>
      <c r="AN221" s="9"/>
      <c r="AO221" s="9"/>
      <c r="AP221" s="9"/>
      <c r="AQ221" s="9"/>
      <c r="AR221" s="9"/>
      <c r="AS221" s="9"/>
      <c r="AT221" s="9"/>
      <c r="AU221" s="9"/>
      <c r="AV221" s="9"/>
      <c r="AW221" s="9"/>
      <c r="AX221" s="9"/>
      <c r="AY221" s="9"/>
      <c r="AZ221" s="9"/>
      <c r="BA221" s="9"/>
      <c r="BB221" s="9"/>
      <c r="BC221" s="9"/>
      <c r="BD221" s="9"/>
      <c r="BE221" s="9"/>
      <c r="BF221" s="9"/>
      <c r="BG221" s="9"/>
      <c r="BH221" s="9"/>
      <c r="BI221" s="9"/>
      <c r="BJ221" s="9"/>
      <c r="BK221" s="9"/>
      <c r="BL221" s="9"/>
      <c r="BM221" s="9"/>
      <c r="BN221" s="9"/>
      <c r="BO221" s="9"/>
      <c r="BP221" s="9"/>
      <c r="BQ221" s="9"/>
      <c r="BR221" s="9"/>
      <c r="BS221" s="9"/>
      <c r="BT221" s="9"/>
      <c r="BU221" s="9"/>
      <c r="BV221" s="9"/>
      <c r="BW221" s="9"/>
      <c r="BX221" s="9"/>
      <c r="BY221" s="9"/>
      <c r="BZ221" s="9"/>
      <c r="CA221" s="9"/>
      <c r="CB221" s="9"/>
      <c r="CC221" s="9"/>
      <c r="CD221" s="9"/>
      <c r="CE221" s="9"/>
      <c r="CF221" s="9"/>
      <c r="CG221" s="9"/>
      <c r="CH221" s="9"/>
      <c r="CI221" s="9"/>
      <c r="CJ221" s="9"/>
      <c r="CK221" s="9"/>
    </row>
    <row r="222" spans="1:89" s="8" customFormat="1" ht="12.6" customHeight="1" x14ac:dyDescent="0.2">
      <c r="A222" s="56"/>
      <c r="B222" s="1"/>
      <c r="C222" s="48" t="str">
        <f>VLOOKUP(151,Textbausteine_102[],Hilfsgrössen!$D$2,FALSE)</f>
        <v>Effectif</v>
      </c>
      <c r="D222" s="1"/>
      <c r="E222" s="146"/>
      <c r="F222" s="9"/>
      <c r="G222" s="34"/>
      <c r="H222" s="100"/>
      <c r="I222" s="100"/>
      <c r="J222" s="100"/>
      <c r="K222" s="100"/>
      <c r="L222" s="100"/>
      <c r="M222" s="81"/>
      <c r="N222" s="91"/>
      <c r="O222" s="91"/>
      <c r="P222" s="91"/>
      <c r="Q222" s="91"/>
      <c r="R222" s="91"/>
      <c r="S222" s="91"/>
      <c r="T222" s="9"/>
      <c r="U222" s="9"/>
      <c r="V222" s="9"/>
      <c r="W222" s="9"/>
      <c r="X222" s="269"/>
      <c r="Y222" s="9"/>
      <c r="Z222" s="9"/>
      <c r="AA222" s="341"/>
      <c r="AB222" s="9"/>
      <c r="AC222" s="9"/>
      <c r="AD222" s="9"/>
      <c r="AE222" s="9"/>
      <c r="AF222" s="9"/>
      <c r="AG222" s="9"/>
      <c r="AH222" s="9"/>
      <c r="AI222" s="9"/>
      <c r="AJ222" s="9"/>
      <c r="AK222" s="9"/>
      <c r="AL222" s="9"/>
      <c r="AM222" s="9"/>
      <c r="AN222" s="9"/>
      <c r="AO222" s="9"/>
      <c r="AP222" s="9"/>
      <c r="AQ222" s="9"/>
      <c r="AR222" s="9"/>
      <c r="AS222" s="9"/>
      <c r="AT222" s="9"/>
      <c r="AU222" s="9"/>
      <c r="AV222" s="9"/>
      <c r="AW222" s="9"/>
      <c r="AX222" s="9"/>
      <c r="AY222" s="9"/>
      <c r="AZ222" s="9"/>
      <c r="BA222" s="9"/>
      <c r="BB222" s="9"/>
      <c r="BC222" s="9"/>
      <c r="BD222" s="9"/>
      <c r="BE222" s="9"/>
      <c r="BF222" s="9"/>
      <c r="BG222" s="9"/>
      <c r="BH222" s="9"/>
      <c r="BI222" s="9"/>
      <c r="BJ222" s="9"/>
      <c r="BK222" s="9"/>
      <c r="BL222" s="9"/>
      <c r="BM222" s="9"/>
      <c r="BN222" s="9"/>
      <c r="BO222" s="9"/>
      <c r="BP222" s="9"/>
      <c r="BQ222" s="9"/>
      <c r="BR222" s="9"/>
      <c r="BS222" s="9"/>
      <c r="BT222" s="9"/>
      <c r="BU222" s="9"/>
      <c r="BV222" s="9"/>
      <c r="BW222" s="9"/>
      <c r="BX222" s="9"/>
      <c r="BY222" s="9"/>
      <c r="BZ222" s="9"/>
      <c r="CA222" s="9"/>
      <c r="CB222" s="9"/>
      <c r="CC222" s="9"/>
      <c r="CD222" s="9"/>
      <c r="CE222" s="9"/>
      <c r="CF222" s="9"/>
      <c r="CG222" s="9"/>
      <c r="CH222" s="9"/>
      <c r="CI222" s="9"/>
      <c r="CJ222" s="9"/>
      <c r="CK222" s="9"/>
    </row>
    <row r="223" spans="1:89" s="8" customFormat="1" ht="12.6" customHeight="1" x14ac:dyDescent="0.2">
      <c r="A223" s="56"/>
      <c r="B223" s="1"/>
      <c r="C223" s="13" t="str">
        <f>VLOOKUP(45,Textbausteine_Menu[],Hilfsgrössen!$D$2,FALSE)</f>
        <v>Services logistiques</v>
      </c>
      <c r="D223" s="16" t="str">
        <f>VLOOKUP(34,Textbausteine_102[],Hilfsgrössen!$D$2,FALSE)</f>
        <v>Unités de personnel</v>
      </c>
      <c r="E223" s="302" t="s">
        <v>68</v>
      </c>
      <c r="F223" s="94" t="s">
        <v>3168</v>
      </c>
      <c r="G223" s="267"/>
      <c r="H223" s="100" t="s">
        <v>29</v>
      </c>
      <c r="I223" s="100" t="s">
        <v>29</v>
      </c>
      <c r="J223" s="100" t="s">
        <v>29</v>
      </c>
      <c r="K223" s="100" t="s">
        <v>29</v>
      </c>
      <c r="L223" s="100" t="s">
        <v>29</v>
      </c>
      <c r="M223" s="100" t="s">
        <v>29</v>
      </c>
      <c r="N223" s="100" t="s">
        <v>29</v>
      </c>
      <c r="O223" s="100" t="s">
        <v>29</v>
      </c>
      <c r="P223" s="100" t="s">
        <v>29</v>
      </c>
      <c r="Q223" s="100" t="s">
        <v>29</v>
      </c>
      <c r="R223" s="100" t="s">
        <v>29</v>
      </c>
      <c r="S223" s="100" t="s">
        <v>29</v>
      </c>
      <c r="T223" s="100" t="s">
        <v>29</v>
      </c>
      <c r="U223" s="100" t="s">
        <v>29</v>
      </c>
      <c r="V223" s="100" t="s">
        <v>29</v>
      </c>
      <c r="W223" s="100" t="s">
        <v>29</v>
      </c>
      <c r="X223" s="100">
        <v>19667</v>
      </c>
      <c r="Y223" s="9">
        <v>20291</v>
      </c>
      <c r="Z223" s="9">
        <v>21032</v>
      </c>
      <c r="AA223" s="349"/>
      <c r="AB223" s="9"/>
      <c r="AC223" s="9"/>
      <c r="AD223" s="9"/>
      <c r="AE223" s="9"/>
      <c r="AF223" s="9"/>
      <c r="AG223" s="9"/>
      <c r="AH223" s="9"/>
      <c r="AI223" s="9"/>
      <c r="AJ223" s="9"/>
      <c r="AK223" s="9"/>
      <c r="AL223" s="9"/>
      <c r="AM223" s="9"/>
      <c r="AN223" s="9"/>
      <c r="AO223" s="9"/>
      <c r="AP223" s="9"/>
      <c r="AQ223" s="9"/>
      <c r="AR223" s="9"/>
      <c r="AS223" s="9"/>
      <c r="AT223" s="9"/>
      <c r="AU223" s="9"/>
      <c r="AV223" s="9"/>
      <c r="AW223" s="9"/>
      <c r="AX223" s="9"/>
      <c r="AY223" s="9"/>
      <c r="AZ223" s="9"/>
      <c r="BA223" s="9"/>
      <c r="BB223" s="9"/>
      <c r="BC223" s="9"/>
      <c r="BD223" s="9"/>
      <c r="BE223" s="9"/>
      <c r="BF223" s="9"/>
      <c r="BG223" s="9"/>
      <c r="BH223" s="9"/>
      <c r="BI223" s="9"/>
      <c r="BJ223" s="9"/>
      <c r="BK223" s="9"/>
      <c r="BL223" s="9"/>
      <c r="BM223" s="9"/>
      <c r="BN223" s="9"/>
      <c r="BO223" s="9"/>
      <c r="BP223" s="9"/>
      <c r="BQ223" s="9"/>
      <c r="BR223" s="9"/>
      <c r="BS223" s="9"/>
      <c r="BT223" s="9"/>
      <c r="BU223" s="9"/>
      <c r="BV223" s="9"/>
      <c r="BW223" s="9"/>
      <c r="BX223" s="9"/>
      <c r="BY223" s="9"/>
      <c r="BZ223" s="9"/>
      <c r="CA223" s="9"/>
      <c r="CB223" s="9"/>
      <c r="CC223" s="9"/>
      <c r="CD223" s="9"/>
      <c r="CE223" s="9"/>
      <c r="CF223" s="9"/>
      <c r="CG223" s="9"/>
      <c r="CH223" s="9"/>
      <c r="CI223" s="9"/>
      <c r="CJ223" s="9"/>
      <c r="CK223" s="9"/>
    </row>
    <row r="224" spans="1:89" s="8" customFormat="1" ht="12.6" customHeight="1" x14ac:dyDescent="0.2">
      <c r="A224" s="56"/>
      <c r="B224" s="1"/>
      <c r="C224" s="13" t="str">
        <f>VLOOKUP(46,Textbausteine_Menu[],Hilfsgrössen!$D$2,FALSE)</f>
        <v>Swiss Post Solutions</v>
      </c>
      <c r="D224" s="16" t="str">
        <f>VLOOKUP(34,Textbausteine_102[],Hilfsgrössen!$D$2,FALSE)</f>
        <v>Unités de personnel</v>
      </c>
      <c r="E224" s="302" t="s">
        <v>69</v>
      </c>
      <c r="F224" s="94" t="s">
        <v>3168</v>
      </c>
      <c r="G224" s="34"/>
      <c r="H224" s="100" t="s">
        <v>29</v>
      </c>
      <c r="I224" s="100" t="s">
        <v>29</v>
      </c>
      <c r="J224" s="100" t="s">
        <v>29</v>
      </c>
      <c r="K224" s="100" t="s">
        <v>29</v>
      </c>
      <c r="L224" s="100" t="s">
        <v>29</v>
      </c>
      <c r="M224" s="81">
        <v>6878</v>
      </c>
      <c r="N224" s="91">
        <v>6992</v>
      </c>
      <c r="O224" s="91">
        <v>6407</v>
      </c>
      <c r="P224" s="91">
        <v>6502</v>
      </c>
      <c r="Q224" s="91">
        <v>6798</v>
      </c>
      <c r="R224" s="91">
        <v>7466</v>
      </c>
      <c r="S224" s="91">
        <v>7177</v>
      </c>
      <c r="T224" s="9">
        <v>6803</v>
      </c>
      <c r="U224" s="9">
        <v>6585</v>
      </c>
      <c r="V224" s="9">
        <v>6789</v>
      </c>
      <c r="W224" s="9">
        <v>6909</v>
      </c>
      <c r="X224" s="100">
        <v>6393</v>
      </c>
      <c r="Y224" s="9">
        <v>6937</v>
      </c>
      <c r="Z224" s="9" t="s">
        <v>29</v>
      </c>
      <c r="AA224" s="341"/>
      <c r="AB224" s="9"/>
      <c r="AC224" s="9"/>
      <c r="AD224" s="9"/>
      <c r="AE224" s="9"/>
      <c r="AF224" s="9"/>
      <c r="AG224" s="9"/>
      <c r="AH224" s="9"/>
      <c r="AI224" s="9"/>
      <c r="AJ224" s="9"/>
      <c r="AK224" s="9"/>
      <c r="AL224" s="9"/>
      <c r="AM224" s="9"/>
      <c r="AN224" s="9"/>
      <c r="AO224" s="9"/>
      <c r="AP224" s="9"/>
      <c r="AQ224" s="9"/>
      <c r="AR224" s="9"/>
      <c r="AS224" s="9"/>
      <c r="AT224" s="9"/>
      <c r="AU224" s="9"/>
      <c r="AV224" s="9"/>
      <c r="AW224" s="9"/>
      <c r="AX224" s="9"/>
      <c r="AY224" s="9"/>
      <c r="AZ224" s="9"/>
      <c r="BA224" s="9"/>
      <c r="BB224" s="9"/>
      <c r="BC224" s="9"/>
      <c r="BD224" s="9"/>
      <c r="BE224" s="9"/>
      <c r="BF224" s="9"/>
      <c r="BG224" s="9"/>
      <c r="BH224" s="9"/>
      <c r="BI224" s="9"/>
      <c r="BJ224" s="9"/>
      <c r="BK224" s="9"/>
      <c r="BL224" s="9"/>
      <c r="BM224" s="9"/>
      <c r="BN224" s="9"/>
      <c r="BO224" s="9"/>
      <c r="BP224" s="9"/>
      <c r="BQ224" s="9"/>
      <c r="BR224" s="9"/>
      <c r="BS224" s="9"/>
      <c r="BT224" s="9"/>
      <c r="BU224" s="9"/>
      <c r="BV224" s="9"/>
      <c r="BW224" s="9"/>
      <c r="BX224" s="9"/>
      <c r="BY224" s="9"/>
      <c r="BZ224" s="9"/>
      <c r="CA224" s="9"/>
      <c r="CB224" s="9"/>
      <c r="CC224" s="9"/>
      <c r="CD224" s="9"/>
      <c r="CE224" s="9"/>
      <c r="CF224" s="9"/>
      <c r="CG224" s="9"/>
      <c r="CH224" s="9"/>
      <c r="CI224" s="9"/>
      <c r="CJ224" s="9"/>
      <c r="CK224" s="9"/>
    </row>
    <row r="225" spans="1:89" s="8" customFormat="1" ht="12.6" customHeight="1" x14ac:dyDescent="0.2">
      <c r="A225" s="56"/>
      <c r="B225" s="1"/>
      <c r="C225" s="13" t="str">
        <f>VLOOKUP(47,Textbausteine_Menu[],Hilfsgrössen!$D$2,FALSE)</f>
        <v>RéseauPostal</v>
      </c>
      <c r="D225" s="16" t="str">
        <f>VLOOKUP(34,Textbausteine_102[],Hilfsgrössen!$D$2,FALSE)</f>
        <v>Unités de personnel</v>
      </c>
      <c r="E225" s="302" t="s">
        <v>69</v>
      </c>
      <c r="F225" s="94" t="s">
        <v>3168</v>
      </c>
      <c r="G225" s="34"/>
      <c r="H225" s="100" t="s">
        <v>29</v>
      </c>
      <c r="I225" s="100" t="s">
        <v>29</v>
      </c>
      <c r="J225" s="100" t="s">
        <v>29</v>
      </c>
      <c r="K225" s="100" t="s">
        <v>29</v>
      </c>
      <c r="L225" s="100" t="s">
        <v>29</v>
      </c>
      <c r="M225" s="81">
        <v>7091</v>
      </c>
      <c r="N225" s="91">
        <v>6928</v>
      </c>
      <c r="O225" s="91">
        <v>6827</v>
      </c>
      <c r="P225" s="91">
        <v>6724</v>
      </c>
      <c r="Q225" s="91">
        <v>6591</v>
      </c>
      <c r="R225" s="91">
        <v>6508</v>
      </c>
      <c r="S225" s="91">
        <v>6299</v>
      </c>
      <c r="T225" s="9">
        <v>6006</v>
      </c>
      <c r="U225" s="9">
        <v>5435</v>
      </c>
      <c r="V225" s="9">
        <v>4753</v>
      </c>
      <c r="W225" s="9">
        <v>4298</v>
      </c>
      <c r="X225" s="100">
        <v>3911</v>
      </c>
      <c r="Y225" s="9">
        <v>3509</v>
      </c>
      <c r="Z225" s="9">
        <v>3373</v>
      </c>
      <c r="AA225" s="349"/>
      <c r="AB225" s="9"/>
      <c r="AC225" s="9"/>
      <c r="AD225" s="9"/>
      <c r="AE225" s="9"/>
      <c r="AF225" s="9"/>
      <c r="AG225" s="9"/>
      <c r="AH225" s="9"/>
      <c r="AI225" s="9"/>
      <c r="AJ225" s="9"/>
      <c r="AK225" s="9"/>
      <c r="AL225" s="9"/>
      <c r="AM225" s="9"/>
      <c r="AN225" s="9"/>
      <c r="AO225" s="9"/>
      <c r="AP225" s="9"/>
      <c r="AQ225" s="9"/>
      <c r="AR225" s="9"/>
      <c r="AS225" s="9"/>
      <c r="AT225" s="9"/>
      <c r="AU225" s="9"/>
      <c r="AV225" s="9"/>
      <c r="AW225" s="9"/>
      <c r="AX225" s="9"/>
      <c r="AY225" s="9"/>
      <c r="AZ225" s="9"/>
      <c r="BA225" s="9"/>
      <c r="BB225" s="9"/>
      <c r="BC225" s="9"/>
      <c r="BD225" s="9"/>
      <c r="BE225" s="9"/>
      <c r="BF225" s="9"/>
      <c r="BG225" s="9"/>
      <c r="BH225" s="9"/>
      <c r="BI225" s="9"/>
      <c r="BJ225" s="9"/>
      <c r="BK225" s="9"/>
      <c r="BL225" s="9"/>
      <c r="BM225" s="9"/>
      <c r="BN225" s="9"/>
      <c r="BO225" s="9"/>
      <c r="BP225" s="9"/>
      <c r="BQ225" s="9"/>
      <c r="BR225" s="9"/>
      <c r="BS225" s="9"/>
      <c r="BT225" s="9"/>
      <c r="BU225" s="9"/>
      <c r="BV225" s="9"/>
      <c r="BW225" s="9"/>
      <c r="BX225" s="9"/>
      <c r="BY225" s="9"/>
      <c r="BZ225" s="9"/>
      <c r="CA225" s="9"/>
      <c r="CB225" s="9"/>
      <c r="CC225" s="9"/>
      <c r="CD225" s="9"/>
      <c r="CE225" s="9"/>
      <c r="CF225" s="9"/>
      <c r="CG225" s="9"/>
      <c r="CH225" s="9"/>
      <c r="CI225" s="9"/>
      <c r="CJ225" s="9"/>
      <c r="CK225" s="9"/>
    </row>
    <row r="226" spans="1:89" s="8" customFormat="1" ht="12.6" customHeight="1" x14ac:dyDescent="0.2">
      <c r="A226" s="56"/>
      <c r="B226" s="1"/>
      <c r="C226" s="13" t="str">
        <f>VLOOKUP(48,Textbausteine_Menu[],Hilfsgrössen!$D$2,FALSE)</f>
        <v>Services de communication</v>
      </c>
      <c r="D226" s="16" t="str">
        <f>VLOOKUP(34,Textbausteine_102[],Hilfsgrössen!$D$2,FALSE)</f>
        <v>Unités de personnel</v>
      </c>
      <c r="E226" s="302" t="s">
        <v>68</v>
      </c>
      <c r="F226" s="94" t="s">
        <v>3168</v>
      </c>
      <c r="G226" s="34"/>
      <c r="H226" s="100" t="s">
        <v>29</v>
      </c>
      <c r="I226" s="100" t="s">
        <v>29</v>
      </c>
      <c r="J226" s="100" t="s">
        <v>29</v>
      </c>
      <c r="K226" s="100" t="s">
        <v>29</v>
      </c>
      <c r="L226" s="100" t="s">
        <v>29</v>
      </c>
      <c r="M226" s="100" t="s">
        <v>29</v>
      </c>
      <c r="N226" s="100" t="s">
        <v>29</v>
      </c>
      <c r="O226" s="100" t="s">
        <v>29</v>
      </c>
      <c r="P226" s="100" t="s">
        <v>29</v>
      </c>
      <c r="Q226" s="100" t="s">
        <v>29</v>
      </c>
      <c r="R226" s="100" t="s">
        <v>29</v>
      </c>
      <c r="S226" s="100" t="s">
        <v>29</v>
      </c>
      <c r="T226" s="100" t="s">
        <v>29</v>
      </c>
      <c r="U226" s="100" t="s">
        <v>29</v>
      </c>
      <c r="V226" s="100" t="s">
        <v>29</v>
      </c>
      <c r="W226" s="100" t="s">
        <v>29</v>
      </c>
      <c r="X226" s="100">
        <v>146</v>
      </c>
      <c r="Y226" s="9">
        <v>247</v>
      </c>
      <c r="Z226" s="9">
        <v>474</v>
      </c>
      <c r="AA226" s="349"/>
      <c r="AB226" s="9"/>
      <c r="AC226" s="9"/>
      <c r="AD226" s="9"/>
      <c r="AE226" s="9"/>
      <c r="AF226" s="9"/>
      <c r="AG226" s="9"/>
      <c r="AH226" s="9"/>
      <c r="AI226" s="9"/>
      <c r="AJ226" s="9"/>
      <c r="AK226" s="9"/>
      <c r="AL226" s="9"/>
      <c r="AM226" s="9"/>
      <c r="AN226" s="9"/>
      <c r="AO226" s="9"/>
      <c r="AP226" s="9"/>
      <c r="AQ226" s="9"/>
      <c r="AR226" s="9"/>
      <c r="AS226" s="9"/>
      <c r="AT226" s="9"/>
      <c r="AU226" s="9"/>
      <c r="AV226" s="9"/>
      <c r="AW226" s="9"/>
      <c r="AX226" s="9"/>
      <c r="AY226" s="9"/>
      <c r="AZ226" s="9"/>
      <c r="BA226" s="9"/>
      <c r="BB226" s="9"/>
      <c r="BC226" s="9"/>
      <c r="BD226" s="9"/>
      <c r="BE226" s="9"/>
      <c r="BF226" s="9"/>
      <c r="BG226" s="9"/>
      <c r="BH226" s="9"/>
      <c r="BI226" s="9"/>
      <c r="BJ226" s="9"/>
      <c r="BK226" s="9"/>
      <c r="BL226" s="9"/>
      <c r="BM226" s="9"/>
      <c r="BN226" s="9"/>
      <c r="BO226" s="9"/>
      <c r="BP226" s="9"/>
      <c r="BQ226" s="9"/>
      <c r="BR226" s="9"/>
      <c r="BS226" s="9"/>
      <c r="BT226" s="9"/>
      <c r="BU226" s="9"/>
      <c r="BV226" s="9"/>
      <c r="BW226" s="9"/>
      <c r="BX226" s="9"/>
      <c r="BY226" s="9"/>
      <c r="BZ226" s="9"/>
      <c r="CA226" s="9"/>
      <c r="CB226" s="9"/>
      <c r="CC226" s="9"/>
      <c r="CD226" s="9"/>
      <c r="CE226" s="9"/>
      <c r="CF226" s="9"/>
      <c r="CG226" s="9"/>
      <c r="CH226" s="9"/>
      <c r="CI226" s="9"/>
      <c r="CJ226" s="9"/>
      <c r="CK226" s="9"/>
    </row>
    <row r="227" spans="1:89" s="8" customFormat="1" ht="12.6" customHeight="1" x14ac:dyDescent="0.2">
      <c r="A227" s="56"/>
      <c r="B227" s="1"/>
      <c r="C227" s="13" t="str">
        <f>VLOOKUP(49,Textbausteine_Menu[],Hilfsgrössen!$D$2,FALSE)</f>
        <v>PostFinance</v>
      </c>
      <c r="D227" s="16" t="str">
        <f>VLOOKUP(34,Textbausteine_102[],Hilfsgrössen!$D$2,FALSE)</f>
        <v>Unités de personnel</v>
      </c>
      <c r="E227" s="302" t="s">
        <v>69</v>
      </c>
      <c r="F227" s="94" t="s">
        <v>3168</v>
      </c>
      <c r="G227" s="267"/>
      <c r="H227" s="100" t="s">
        <v>29</v>
      </c>
      <c r="I227" s="100" t="s">
        <v>29</v>
      </c>
      <c r="J227" s="100" t="s">
        <v>29</v>
      </c>
      <c r="K227" s="100" t="s">
        <v>29</v>
      </c>
      <c r="L227" s="100" t="s">
        <v>29</v>
      </c>
      <c r="M227" s="81">
        <v>3042</v>
      </c>
      <c r="N227" s="91">
        <v>3265</v>
      </c>
      <c r="O227" s="91">
        <v>3425</v>
      </c>
      <c r="P227" s="91">
        <v>3479</v>
      </c>
      <c r="Q227" s="91">
        <v>3439</v>
      </c>
      <c r="R227" s="91">
        <v>3466</v>
      </c>
      <c r="S227" s="91">
        <v>3594</v>
      </c>
      <c r="T227" s="9">
        <v>3614</v>
      </c>
      <c r="U227" s="9">
        <v>3475</v>
      </c>
      <c r="V227" s="9">
        <v>3333</v>
      </c>
      <c r="W227" s="9">
        <v>3248</v>
      </c>
      <c r="X227" s="100">
        <v>3260</v>
      </c>
      <c r="Y227" s="9">
        <v>3237</v>
      </c>
      <c r="Z227" s="9">
        <v>3250</v>
      </c>
      <c r="AA227" s="349"/>
      <c r="AB227" s="9"/>
      <c r="AC227" s="9"/>
      <c r="AD227" s="9"/>
      <c r="AE227" s="9"/>
      <c r="AF227" s="9"/>
      <c r="AG227" s="9"/>
      <c r="AH227" s="9"/>
      <c r="AI227" s="9"/>
      <c r="AJ227" s="9"/>
      <c r="AK227" s="9"/>
      <c r="AL227" s="9"/>
      <c r="AM227" s="9"/>
      <c r="AN227" s="9"/>
      <c r="AO227" s="9"/>
      <c r="AP227" s="9"/>
      <c r="AQ227" s="9"/>
      <c r="AR227" s="9"/>
      <c r="AS227" s="9"/>
      <c r="AT227" s="9"/>
      <c r="AU227" s="9"/>
      <c r="AV227" s="9"/>
      <c r="AW227" s="9"/>
      <c r="AX227" s="9"/>
      <c r="AY227" s="9"/>
      <c r="AZ227" s="9"/>
      <c r="BA227" s="9"/>
      <c r="BB227" s="9"/>
      <c r="BC227" s="9"/>
      <c r="BD227" s="9"/>
      <c r="BE227" s="9"/>
      <c r="BF227" s="9"/>
      <c r="BG227" s="9"/>
      <c r="BH227" s="9"/>
      <c r="BI227" s="9"/>
      <c r="BJ227" s="9"/>
      <c r="BK227" s="9"/>
      <c r="BL227" s="9"/>
      <c r="BM227" s="9"/>
      <c r="BN227" s="9"/>
      <c r="BO227" s="9"/>
      <c r="BP227" s="9"/>
      <c r="BQ227" s="9"/>
      <c r="BR227" s="9"/>
      <c r="BS227" s="9"/>
      <c r="BT227" s="9"/>
      <c r="BU227" s="9"/>
      <c r="BV227" s="9"/>
      <c r="BW227" s="9"/>
      <c r="BX227" s="9"/>
      <c r="BY227" s="9"/>
      <c r="BZ227" s="9"/>
      <c r="CA227" s="9"/>
      <c r="CB227" s="9"/>
      <c r="CC227" s="9"/>
      <c r="CD227" s="9"/>
      <c r="CE227" s="9"/>
      <c r="CF227" s="9"/>
      <c r="CG227" s="9"/>
      <c r="CH227" s="9"/>
      <c r="CI227" s="9"/>
      <c r="CJ227" s="9"/>
      <c r="CK227" s="9"/>
    </row>
    <row r="228" spans="1:89" s="8" customFormat="1" ht="12.6" customHeight="1" x14ac:dyDescent="0.2">
      <c r="A228" s="56"/>
      <c r="B228" s="1"/>
      <c r="C228" s="13" t="str">
        <f>VLOOKUP(55,Textbausteine_Menu[],Hilfsgrössen!$D$2,FALSE)</f>
        <v>Services de mobilité</v>
      </c>
      <c r="D228" s="16" t="str">
        <f>VLOOKUP(34,Textbausteine_102[],Hilfsgrössen!$D$2,FALSE)</f>
        <v>Unités de personnel</v>
      </c>
      <c r="E228" s="302" t="s">
        <v>68</v>
      </c>
      <c r="F228" s="94" t="s">
        <v>3168</v>
      </c>
      <c r="G228" s="267"/>
      <c r="H228" s="100" t="s">
        <v>29</v>
      </c>
      <c r="I228" s="100" t="s">
        <v>29</v>
      </c>
      <c r="J228" s="100" t="s">
        <v>29</v>
      </c>
      <c r="K228" s="100" t="s">
        <v>29</v>
      </c>
      <c r="L228" s="100" t="s">
        <v>29</v>
      </c>
      <c r="M228" s="100" t="s">
        <v>29</v>
      </c>
      <c r="N228" s="100" t="s">
        <v>29</v>
      </c>
      <c r="O228" s="100" t="s">
        <v>29</v>
      </c>
      <c r="P228" s="100" t="s">
        <v>29</v>
      </c>
      <c r="Q228" s="100" t="s">
        <v>29</v>
      </c>
      <c r="R228" s="100" t="s">
        <v>29</v>
      </c>
      <c r="S228" s="100" t="s">
        <v>29</v>
      </c>
      <c r="T228" s="100" t="s">
        <v>29</v>
      </c>
      <c r="U228" s="100" t="s">
        <v>29</v>
      </c>
      <c r="V228" s="100" t="s">
        <v>29</v>
      </c>
      <c r="W228" s="100" t="s">
        <v>29</v>
      </c>
      <c r="X228" s="100">
        <v>2594</v>
      </c>
      <c r="Y228" s="9">
        <v>2764</v>
      </c>
      <c r="Z228" s="9">
        <v>2747</v>
      </c>
      <c r="AA228" s="349"/>
      <c r="AB228" s="9"/>
      <c r="AC228" s="9"/>
      <c r="AD228" s="9"/>
      <c r="AE228" s="9"/>
      <c r="AF228" s="9"/>
      <c r="AG228" s="9"/>
      <c r="AH228" s="9"/>
      <c r="AI228" s="9"/>
      <c r="AJ228" s="9"/>
      <c r="AK228" s="9"/>
      <c r="AL228" s="9"/>
      <c r="AM228" s="9"/>
      <c r="AN228" s="9"/>
      <c r="AO228" s="9"/>
      <c r="AP228" s="9"/>
      <c r="AQ228" s="9"/>
      <c r="AR228" s="9"/>
      <c r="AS228" s="9"/>
      <c r="AT228" s="9"/>
      <c r="AU228" s="9"/>
      <c r="AV228" s="9"/>
      <c r="AW228" s="9"/>
      <c r="AX228" s="9"/>
      <c r="AY228" s="9"/>
      <c r="AZ228" s="9"/>
      <c r="BA228" s="9"/>
      <c r="BB228" s="9"/>
      <c r="BC228" s="9"/>
      <c r="BD228" s="9"/>
      <c r="BE228" s="9"/>
      <c r="BF228" s="9"/>
      <c r="BG228" s="9"/>
      <c r="BH228" s="9"/>
      <c r="BI228" s="9"/>
      <c r="BJ228" s="9"/>
      <c r="BK228" s="9"/>
      <c r="BL228" s="9"/>
      <c r="BM228" s="9"/>
      <c r="BN228" s="9"/>
      <c r="BO228" s="9"/>
      <c r="BP228" s="9"/>
      <c r="BQ228" s="9"/>
      <c r="BR228" s="9"/>
      <c r="BS228" s="9"/>
      <c r="BT228" s="9"/>
      <c r="BU228" s="9"/>
      <c r="BV228" s="9"/>
      <c r="BW228" s="9"/>
      <c r="BX228" s="9"/>
      <c r="BY228" s="9"/>
      <c r="BZ228" s="9"/>
      <c r="CA228" s="9"/>
      <c r="CB228" s="9"/>
      <c r="CC228" s="9"/>
      <c r="CD228" s="9"/>
      <c r="CE228" s="9"/>
      <c r="CF228" s="9"/>
      <c r="CG228" s="9"/>
      <c r="CH228" s="9"/>
      <c r="CI228" s="9"/>
      <c r="CJ228" s="9"/>
      <c r="CK228" s="9"/>
    </row>
    <row r="229" spans="1:89" s="8" customFormat="1" ht="12.6" customHeight="1" x14ac:dyDescent="0.2">
      <c r="A229" s="56"/>
      <c r="B229" s="1"/>
      <c r="C229" s="13" t="str">
        <f>VLOOKUP(51,Textbausteine_Menu[],Hilfsgrössen!$D$2,FALSE)</f>
        <v>Fonctions et management</v>
      </c>
      <c r="D229" s="16" t="str">
        <f>VLOOKUP(34,Textbausteine_102[],Hilfsgrössen!$D$2,FALSE)</f>
        <v>Unités de personnel</v>
      </c>
      <c r="E229" s="302" t="s">
        <v>68</v>
      </c>
      <c r="F229" s="94" t="s">
        <v>3168</v>
      </c>
      <c r="G229" s="34"/>
      <c r="H229" s="100" t="s">
        <v>29</v>
      </c>
      <c r="I229" s="100" t="s">
        <v>29</v>
      </c>
      <c r="J229" s="100" t="s">
        <v>29</v>
      </c>
      <c r="K229" s="100" t="s">
        <v>29</v>
      </c>
      <c r="L229" s="100" t="s">
        <v>29</v>
      </c>
      <c r="M229" s="100" t="s">
        <v>29</v>
      </c>
      <c r="N229" s="100" t="s">
        <v>29</v>
      </c>
      <c r="O229" s="100" t="s">
        <v>29</v>
      </c>
      <c r="P229" s="100" t="s">
        <v>29</v>
      </c>
      <c r="Q229" s="100" t="s">
        <v>29</v>
      </c>
      <c r="R229" s="100" t="s">
        <v>29</v>
      </c>
      <c r="S229" s="100" t="s">
        <v>29</v>
      </c>
      <c r="T229" s="100" t="s">
        <v>29</v>
      </c>
      <c r="U229" s="100" t="s">
        <v>29</v>
      </c>
      <c r="V229" s="100" t="s">
        <v>29</v>
      </c>
      <c r="W229" s="100" t="s">
        <v>29</v>
      </c>
      <c r="X229" s="100">
        <v>3118</v>
      </c>
      <c r="Y229" s="9">
        <v>3159</v>
      </c>
      <c r="Z229" s="9">
        <v>3196</v>
      </c>
      <c r="AA229" s="349"/>
      <c r="AB229" s="9"/>
      <c r="AC229" s="9"/>
      <c r="AD229" s="9"/>
      <c r="AE229" s="9"/>
      <c r="AF229" s="9"/>
      <c r="AG229" s="9"/>
      <c r="AH229" s="9"/>
      <c r="AI229" s="9"/>
      <c r="AJ229" s="9"/>
      <c r="AK229" s="9"/>
      <c r="AL229" s="9"/>
      <c r="AM229" s="9"/>
      <c r="AN229" s="9"/>
      <c r="AO229" s="9"/>
      <c r="AP229" s="9"/>
      <c r="AQ229" s="9"/>
      <c r="AR229" s="9"/>
      <c r="AS229" s="9"/>
      <c r="AT229" s="9"/>
      <c r="AU229" s="9"/>
      <c r="AV229" s="9"/>
      <c r="AW229" s="9"/>
      <c r="AX229" s="9"/>
      <c r="AY229" s="9"/>
      <c r="AZ229" s="9"/>
      <c r="BA229" s="9"/>
      <c r="BB229" s="9"/>
      <c r="BC229" s="9"/>
      <c r="BD229" s="9"/>
      <c r="BE229" s="9"/>
      <c r="BF229" s="9"/>
      <c r="BG229" s="9"/>
      <c r="BH229" s="9"/>
      <c r="BI229" s="9"/>
      <c r="BJ229" s="9"/>
      <c r="BK229" s="9"/>
      <c r="BL229" s="9"/>
      <c r="BM229" s="9"/>
      <c r="BN229" s="9"/>
      <c r="BO229" s="9"/>
      <c r="BP229" s="9"/>
      <c r="BQ229" s="9"/>
      <c r="BR229" s="9"/>
      <c r="BS229" s="9"/>
      <c r="BT229" s="9"/>
      <c r="BU229" s="9"/>
      <c r="BV229" s="9"/>
      <c r="BW229" s="9"/>
      <c r="BX229" s="9"/>
      <c r="BY229" s="9"/>
      <c r="BZ229" s="9"/>
      <c r="CA229" s="9"/>
      <c r="CB229" s="9"/>
      <c r="CC229" s="9"/>
      <c r="CD229" s="9"/>
      <c r="CE229" s="9"/>
      <c r="CF229" s="9"/>
      <c r="CG229" s="9"/>
      <c r="CH229" s="9"/>
      <c r="CI229" s="9"/>
      <c r="CJ229" s="9"/>
      <c r="CK229" s="9"/>
    </row>
    <row r="230" spans="1:89" s="8" customFormat="1" ht="12.6" customHeight="1" x14ac:dyDescent="0.2">
      <c r="A230" s="56"/>
      <c r="B230" s="1"/>
      <c r="C230" s="1"/>
      <c r="D230" s="1"/>
      <c r="E230" s="148"/>
      <c r="F230" s="9"/>
      <c r="G230" s="34"/>
      <c r="H230" s="81"/>
      <c r="I230" s="81"/>
      <c r="J230" s="81"/>
      <c r="K230" s="81"/>
      <c r="L230" s="81"/>
      <c r="M230" s="81"/>
      <c r="N230" s="91"/>
      <c r="O230" s="91"/>
      <c r="P230" s="91"/>
      <c r="Q230" s="91"/>
      <c r="R230" s="91"/>
      <c r="S230" s="91"/>
      <c r="T230" s="9"/>
      <c r="U230" s="9"/>
      <c r="V230" s="9"/>
      <c r="W230" s="9"/>
      <c r="X230" s="269"/>
      <c r="Y230" s="9"/>
      <c r="Z230" s="9"/>
      <c r="AA230" s="341"/>
      <c r="AB230" s="9"/>
      <c r="AC230" s="9"/>
      <c r="AD230" s="9"/>
      <c r="AE230" s="9"/>
      <c r="AF230" s="9"/>
      <c r="AG230" s="9"/>
      <c r="AH230" s="9"/>
      <c r="AI230" s="9"/>
      <c r="AJ230" s="9"/>
      <c r="AK230" s="9"/>
      <c r="AL230" s="9"/>
      <c r="AM230" s="9"/>
      <c r="AN230" s="9"/>
      <c r="AO230" s="9"/>
      <c r="AP230" s="9"/>
      <c r="AQ230" s="9"/>
      <c r="AR230" s="9"/>
      <c r="AS230" s="9"/>
      <c r="AT230" s="9"/>
      <c r="AU230" s="9"/>
      <c r="AV230" s="9"/>
      <c r="AW230" s="9"/>
      <c r="AX230" s="9"/>
      <c r="AY230" s="9"/>
      <c r="AZ230" s="9"/>
      <c r="BA230" s="9"/>
      <c r="BB230" s="9"/>
      <c r="BC230" s="9"/>
      <c r="BD230" s="9"/>
      <c r="BE230" s="9"/>
      <c r="BF230" s="9"/>
      <c r="BG230" s="9"/>
      <c r="BH230" s="9"/>
      <c r="BI230" s="9"/>
      <c r="BJ230" s="9"/>
      <c r="BK230" s="9"/>
      <c r="BL230" s="9"/>
      <c r="BM230" s="9"/>
      <c r="BN230" s="9"/>
      <c r="BO230" s="9"/>
      <c r="BP230" s="9"/>
      <c r="BQ230" s="9"/>
      <c r="BR230" s="9"/>
      <c r="BS230" s="9"/>
      <c r="BT230" s="9"/>
      <c r="BU230" s="9"/>
      <c r="BV230" s="9"/>
      <c r="BW230" s="9"/>
      <c r="BX230" s="9"/>
      <c r="BY230" s="9"/>
      <c r="BZ230" s="9"/>
      <c r="CA230" s="9"/>
      <c r="CB230" s="9"/>
      <c r="CC230" s="9"/>
      <c r="CD230" s="9"/>
      <c r="CE230" s="9"/>
      <c r="CF230" s="9"/>
      <c r="CG230" s="9"/>
      <c r="CH230" s="9"/>
      <c r="CI230" s="9"/>
      <c r="CJ230" s="9"/>
      <c r="CK230" s="9"/>
    </row>
    <row r="231" spans="1:89" s="8" customFormat="1" ht="12.6" customHeight="1" x14ac:dyDescent="0.2">
      <c r="A231" s="56"/>
      <c r="B231" s="1"/>
      <c r="C231" s="48" t="str">
        <f>VLOOKUP(151,Textbausteine_102[],Hilfsgrössen!$D$2,FALSE)</f>
        <v>Effectif</v>
      </c>
      <c r="D231" s="1"/>
      <c r="E231" s="146"/>
      <c r="F231" s="11"/>
      <c r="G231" s="267"/>
      <c r="H231" s="100"/>
      <c r="I231" s="100"/>
      <c r="J231" s="100"/>
      <c r="K231" s="100"/>
      <c r="L231" s="100"/>
      <c r="M231" s="81"/>
      <c r="N231" s="91"/>
      <c r="O231" s="91"/>
      <c r="P231" s="91"/>
      <c r="Q231" s="91"/>
      <c r="R231" s="91"/>
      <c r="S231" s="91"/>
      <c r="T231" s="9"/>
      <c r="U231" s="9"/>
      <c r="V231" s="9"/>
      <c r="W231" s="9"/>
      <c r="X231" s="269"/>
      <c r="Y231" s="9"/>
      <c r="Z231" s="9"/>
      <c r="AA231" s="341"/>
      <c r="AB231" s="9"/>
      <c r="AC231" s="9"/>
      <c r="AD231" s="9"/>
      <c r="AE231" s="9"/>
      <c r="AF231" s="9"/>
      <c r="AG231" s="9"/>
      <c r="AH231" s="9"/>
      <c r="AI231" s="9"/>
      <c r="AJ231" s="9"/>
      <c r="AK231" s="9"/>
      <c r="AL231" s="9"/>
      <c r="AM231" s="9"/>
      <c r="AN231" s="9"/>
      <c r="AO231" s="9"/>
      <c r="AP231" s="9"/>
      <c r="AQ231" s="9"/>
      <c r="AR231" s="9"/>
      <c r="AS231" s="9"/>
      <c r="AT231" s="9"/>
      <c r="AU231" s="9"/>
      <c r="AV231" s="9"/>
      <c r="AW231" s="9"/>
      <c r="AX231" s="9"/>
      <c r="AY231" s="9"/>
      <c r="AZ231" s="9"/>
      <c r="BA231" s="9"/>
      <c r="BB231" s="9"/>
      <c r="BC231" s="9"/>
      <c r="BD231" s="9"/>
      <c r="BE231" s="9"/>
      <c r="BF231" s="9"/>
      <c r="BG231" s="9"/>
      <c r="BH231" s="9"/>
      <c r="BI231" s="9"/>
      <c r="BJ231" s="9"/>
      <c r="BK231" s="9"/>
      <c r="BL231" s="9"/>
      <c r="BM231" s="9"/>
      <c r="BN231" s="9"/>
      <c r="BO231" s="9"/>
      <c r="BP231" s="9"/>
      <c r="BQ231" s="9"/>
      <c r="BR231" s="9"/>
      <c r="BS231" s="9"/>
      <c r="BT231" s="9"/>
      <c r="BU231" s="9"/>
      <c r="BV231" s="9"/>
      <c r="BW231" s="9"/>
      <c r="BX231" s="9"/>
      <c r="BY231" s="9"/>
      <c r="BZ231" s="9"/>
      <c r="CA231" s="9"/>
      <c r="CB231" s="9"/>
      <c r="CC231" s="9"/>
      <c r="CD231" s="9"/>
      <c r="CE231" s="9"/>
      <c r="CF231" s="9"/>
      <c r="CG231" s="9"/>
      <c r="CH231" s="9"/>
      <c r="CI231" s="9"/>
      <c r="CJ231" s="9"/>
      <c r="CK231" s="9"/>
    </row>
    <row r="232" spans="1:89" s="8" customFormat="1" ht="12.6" customHeight="1" x14ac:dyDescent="0.2">
      <c r="A232" s="56"/>
      <c r="B232" s="1"/>
      <c r="C232" s="13" t="str">
        <f>VLOOKUP(45,Textbausteine_Menu[],Hilfsgrössen!$D$2,FALSE)</f>
        <v>Services logistiques</v>
      </c>
      <c r="D232" s="16" t="str">
        <f>VLOOKUP(35,Textbausteine_102[],Hilfsgrössen!$D$2,FALSE)</f>
        <v>Personnes</v>
      </c>
      <c r="E232" s="302" t="s">
        <v>68</v>
      </c>
      <c r="F232" s="94" t="s">
        <v>3168</v>
      </c>
      <c r="G232" s="267"/>
      <c r="H232" s="100" t="s">
        <v>29</v>
      </c>
      <c r="I232" s="100" t="s">
        <v>29</v>
      </c>
      <c r="J232" s="100" t="s">
        <v>29</v>
      </c>
      <c r="K232" s="100" t="s">
        <v>29</v>
      </c>
      <c r="L232" s="100" t="s">
        <v>29</v>
      </c>
      <c r="M232" s="100" t="s">
        <v>29</v>
      </c>
      <c r="N232" s="100" t="s">
        <v>29</v>
      </c>
      <c r="O232" s="100" t="s">
        <v>29</v>
      </c>
      <c r="P232" s="100" t="s">
        <v>29</v>
      </c>
      <c r="Q232" s="100" t="s">
        <v>29</v>
      </c>
      <c r="R232" s="100" t="s">
        <v>29</v>
      </c>
      <c r="S232" s="100" t="s">
        <v>29</v>
      </c>
      <c r="T232" s="100" t="s">
        <v>29</v>
      </c>
      <c r="U232" s="100" t="s">
        <v>29</v>
      </c>
      <c r="V232" s="100" t="s">
        <v>29</v>
      </c>
      <c r="W232" s="100" t="s">
        <v>29</v>
      </c>
      <c r="X232" s="296">
        <v>31256</v>
      </c>
      <c r="Y232" s="9">
        <v>31254</v>
      </c>
      <c r="Z232" s="9">
        <v>31581</v>
      </c>
      <c r="AA232" s="349"/>
      <c r="AB232" s="9"/>
      <c r="AC232" s="9"/>
      <c r="AD232" s="9"/>
      <c r="AE232" s="9"/>
      <c r="AF232" s="9"/>
      <c r="AG232" s="9"/>
      <c r="AH232" s="9"/>
      <c r="AI232" s="9"/>
      <c r="AJ232" s="9"/>
      <c r="AK232" s="9"/>
      <c r="AL232" s="9"/>
      <c r="AM232" s="9"/>
      <c r="AN232" s="9"/>
      <c r="AO232" s="9"/>
      <c r="AP232" s="9"/>
      <c r="AQ232" s="9"/>
      <c r="AR232" s="9"/>
      <c r="AS232" s="9"/>
      <c r="AT232" s="9"/>
      <c r="AU232" s="9"/>
      <c r="AV232" s="9"/>
      <c r="AW232" s="9"/>
      <c r="AX232" s="9"/>
      <c r="AY232" s="9"/>
      <c r="AZ232" s="9"/>
      <c r="BA232" s="9"/>
      <c r="BB232" s="9"/>
      <c r="BC232" s="9"/>
      <c r="BD232" s="9"/>
      <c r="BE232" s="9"/>
      <c r="BF232" s="9"/>
      <c r="BG232" s="9"/>
      <c r="BH232" s="9"/>
      <c r="BI232" s="9"/>
      <c r="BJ232" s="9"/>
      <c r="BK232" s="9"/>
      <c r="BL232" s="9"/>
      <c r="BM232" s="9"/>
      <c r="BN232" s="9"/>
      <c r="BO232" s="9"/>
      <c r="BP232" s="9"/>
      <c r="BQ232" s="9"/>
      <c r="BR232" s="9"/>
      <c r="BS232" s="9"/>
      <c r="BT232" s="9"/>
      <c r="BU232" s="9"/>
      <c r="BV232" s="9"/>
      <c r="BW232" s="9"/>
      <c r="BX232" s="9"/>
      <c r="BY232" s="9"/>
      <c r="BZ232" s="9"/>
      <c r="CA232" s="9"/>
      <c r="CB232" s="9"/>
      <c r="CC232" s="9"/>
      <c r="CD232" s="9"/>
      <c r="CE232" s="9"/>
      <c r="CF232" s="9"/>
      <c r="CG232" s="9"/>
      <c r="CH232" s="9"/>
      <c r="CI232" s="9"/>
      <c r="CJ232" s="9"/>
      <c r="CK232" s="9"/>
    </row>
    <row r="233" spans="1:89" s="8" customFormat="1" ht="12.6" customHeight="1" x14ac:dyDescent="0.2">
      <c r="A233" s="56"/>
      <c r="B233" s="1"/>
      <c r="C233" s="13" t="str">
        <f>VLOOKUP(46,Textbausteine_Menu[],Hilfsgrössen!$D$2,FALSE)</f>
        <v>Swiss Post Solutions</v>
      </c>
      <c r="D233" s="16" t="str">
        <f>VLOOKUP(35,Textbausteine_102[],Hilfsgrössen!$D$2,FALSE)</f>
        <v>Personnes</v>
      </c>
      <c r="E233" s="302" t="s">
        <v>69</v>
      </c>
      <c r="F233" s="94" t="s">
        <v>3168</v>
      </c>
      <c r="G233" s="34"/>
      <c r="H233" s="100" t="s">
        <v>29</v>
      </c>
      <c r="I233" s="100" t="s">
        <v>29</v>
      </c>
      <c r="J233" s="100" t="s">
        <v>29</v>
      </c>
      <c r="K233" s="100" t="s">
        <v>29</v>
      </c>
      <c r="L233" s="100" t="s">
        <v>29</v>
      </c>
      <c r="M233" s="81">
        <v>7623</v>
      </c>
      <c r="N233" s="91">
        <v>7534</v>
      </c>
      <c r="O233" s="91">
        <v>6861</v>
      </c>
      <c r="P233" s="91">
        <v>7014</v>
      </c>
      <c r="Q233" s="91">
        <v>7252</v>
      </c>
      <c r="R233" s="91">
        <v>7893</v>
      </c>
      <c r="S233" s="91">
        <v>7685</v>
      </c>
      <c r="T233" s="9">
        <v>7298</v>
      </c>
      <c r="U233" s="9">
        <v>7053</v>
      </c>
      <c r="V233" s="9">
        <v>7402</v>
      </c>
      <c r="W233" s="9">
        <v>7537</v>
      </c>
      <c r="X233" s="296">
        <v>7110</v>
      </c>
      <c r="Y233" s="9">
        <v>7574</v>
      </c>
      <c r="Z233" s="9" t="s">
        <v>29</v>
      </c>
      <c r="AA233" s="349"/>
      <c r="AB233" s="9"/>
      <c r="AC233" s="9"/>
      <c r="AD233" s="9"/>
      <c r="AE233" s="9"/>
      <c r="AF233" s="9"/>
      <c r="AG233" s="9"/>
      <c r="AH233" s="9"/>
      <c r="AI233" s="9"/>
      <c r="AJ233" s="9"/>
      <c r="AK233" s="9"/>
      <c r="AL233" s="9"/>
      <c r="AM233" s="9"/>
      <c r="AN233" s="9"/>
      <c r="AO233" s="9"/>
      <c r="AP233" s="9"/>
      <c r="AQ233" s="9"/>
      <c r="AR233" s="9"/>
      <c r="AS233" s="9"/>
      <c r="AT233" s="9"/>
      <c r="AU233" s="9"/>
      <c r="AV233" s="9"/>
      <c r="AW233" s="9"/>
      <c r="AX233" s="9"/>
      <c r="AY233" s="9"/>
      <c r="AZ233" s="9"/>
      <c r="BA233" s="9"/>
      <c r="BB233" s="9"/>
      <c r="BC233" s="9"/>
      <c r="BD233" s="9"/>
      <c r="BE233" s="9"/>
      <c r="BF233" s="9"/>
      <c r="BG233" s="9"/>
      <c r="BH233" s="9"/>
      <c r="BI233" s="9"/>
      <c r="BJ233" s="9"/>
      <c r="BK233" s="9"/>
      <c r="BL233" s="9"/>
      <c r="BM233" s="9"/>
      <c r="BN233" s="9"/>
      <c r="BO233" s="9"/>
      <c r="BP233" s="9"/>
      <c r="BQ233" s="9"/>
      <c r="BR233" s="9"/>
      <c r="BS233" s="9"/>
      <c r="BT233" s="9"/>
      <c r="BU233" s="9"/>
      <c r="BV233" s="9"/>
      <c r="BW233" s="9"/>
      <c r="BX233" s="9"/>
      <c r="BY233" s="9"/>
      <c r="BZ233" s="9"/>
      <c r="CA233" s="9"/>
      <c r="CB233" s="9"/>
      <c r="CC233" s="9"/>
      <c r="CD233" s="9"/>
      <c r="CE233" s="9"/>
      <c r="CF233" s="9"/>
      <c r="CG233" s="9"/>
      <c r="CH233" s="9"/>
      <c r="CI233" s="9"/>
      <c r="CJ233" s="9"/>
      <c r="CK233" s="9"/>
    </row>
    <row r="234" spans="1:89" s="8" customFormat="1" ht="12.6" customHeight="1" x14ac:dyDescent="0.2">
      <c r="A234" s="56"/>
      <c r="B234" s="1"/>
      <c r="C234" s="13" t="str">
        <f>VLOOKUP(47,Textbausteine_Menu[],Hilfsgrössen!$D$2,FALSE)</f>
        <v>RéseauPostal</v>
      </c>
      <c r="D234" s="16" t="str">
        <f>VLOOKUP(35,Textbausteine_102[],Hilfsgrössen!$D$2,FALSE)</f>
        <v>Personnes</v>
      </c>
      <c r="E234" s="302" t="s">
        <v>69</v>
      </c>
      <c r="F234" s="94" t="s">
        <v>3168</v>
      </c>
      <c r="G234" s="34"/>
      <c r="H234" s="100" t="s">
        <v>29</v>
      </c>
      <c r="I234" s="100" t="s">
        <v>29</v>
      </c>
      <c r="J234" s="100" t="s">
        <v>29</v>
      </c>
      <c r="K234" s="100" t="s">
        <v>29</v>
      </c>
      <c r="L234" s="100" t="s">
        <v>29</v>
      </c>
      <c r="M234" s="81">
        <v>10770</v>
      </c>
      <c r="N234" s="91">
        <v>10177</v>
      </c>
      <c r="O234" s="91">
        <v>9960</v>
      </c>
      <c r="P234" s="91">
        <v>9726</v>
      </c>
      <c r="Q234" s="91">
        <v>9433</v>
      </c>
      <c r="R234" s="91">
        <v>9207</v>
      </c>
      <c r="S234" s="91">
        <v>8838</v>
      </c>
      <c r="T234" s="9">
        <v>8415</v>
      </c>
      <c r="U234" s="9">
        <v>7618</v>
      </c>
      <c r="V234" s="9">
        <v>6652</v>
      </c>
      <c r="W234" s="9">
        <v>5972</v>
      </c>
      <c r="X234" s="296">
        <v>5399</v>
      </c>
      <c r="Y234" s="9">
        <v>4817</v>
      </c>
      <c r="Z234" s="9">
        <v>4575</v>
      </c>
      <c r="AA234" s="349"/>
      <c r="AB234" s="9"/>
      <c r="AC234" s="9"/>
      <c r="AD234" s="9"/>
      <c r="AE234" s="9"/>
      <c r="AF234" s="9"/>
      <c r="AG234" s="9"/>
      <c r="AH234" s="9"/>
      <c r="AI234" s="9"/>
      <c r="AJ234" s="9"/>
      <c r="AK234" s="9"/>
      <c r="AL234" s="9"/>
      <c r="AM234" s="9"/>
      <c r="AN234" s="9"/>
      <c r="AO234" s="9"/>
      <c r="AP234" s="9"/>
      <c r="AQ234" s="9"/>
      <c r="AR234" s="9"/>
      <c r="AS234" s="9"/>
      <c r="AT234" s="9"/>
      <c r="AU234" s="9"/>
      <c r="AV234" s="9"/>
      <c r="AW234" s="9"/>
      <c r="AX234" s="9"/>
      <c r="AY234" s="9"/>
      <c r="AZ234" s="9"/>
      <c r="BA234" s="9"/>
      <c r="BB234" s="9"/>
      <c r="BC234" s="9"/>
      <c r="BD234" s="9"/>
      <c r="BE234" s="9"/>
      <c r="BF234" s="9"/>
      <c r="BG234" s="9"/>
      <c r="BH234" s="9"/>
      <c r="BI234" s="9"/>
      <c r="BJ234" s="9"/>
      <c r="BK234" s="9"/>
      <c r="BL234" s="9"/>
      <c r="BM234" s="9"/>
      <c r="BN234" s="9"/>
      <c r="BO234" s="9"/>
      <c r="BP234" s="9"/>
      <c r="BQ234" s="9"/>
      <c r="BR234" s="9"/>
      <c r="BS234" s="9"/>
      <c r="BT234" s="9"/>
      <c r="BU234" s="9"/>
      <c r="BV234" s="9"/>
      <c r="BW234" s="9"/>
      <c r="BX234" s="9"/>
      <c r="BY234" s="9"/>
      <c r="BZ234" s="9"/>
      <c r="CA234" s="9"/>
      <c r="CB234" s="9"/>
      <c r="CC234" s="9"/>
      <c r="CD234" s="9"/>
      <c r="CE234" s="9"/>
      <c r="CF234" s="9"/>
      <c r="CG234" s="9"/>
      <c r="CH234" s="9"/>
      <c r="CI234" s="9"/>
      <c r="CJ234" s="9"/>
      <c r="CK234" s="9"/>
    </row>
    <row r="235" spans="1:89" s="8" customFormat="1" ht="12.75" x14ac:dyDescent="0.2">
      <c r="A235" s="56"/>
      <c r="B235" s="1"/>
      <c r="C235" s="13" t="str">
        <f>VLOOKUP(48,Textbausteine_Menu[],Hilfsgrössen!$D$2,FALSE)</f>
        <v>Services de communication</v>
      </c>
      <c r="D235" s="16" t="str">
        <f>VLOOKUP(35,Textbausteine_102[],Hilfsgrössen!$D$2,FALSE)</f>
        <v>Personnes</v>
      </c>
      <c r="E235" s="302" t="s">
        <v>68</v>
      </c>
      <c r="F235" s="94" t="s">
        <v>3168</v>
      </c>
      <c r="G235" s="34"/>
      <c r="H235" s="100" t="s">
        <v>29</v>
      </c>
      <c r="I235" s="100" t="s">
        <v>29</v>
      </c>
      <c r="J235" s="100" t="s">
        <v>29</v>
      </c>
      <c r="K235" s="100" t="s">
        <v>29</v>
      </c>
      <c r="L235" s="100" t="s">
        <v>29</v>
      </c>
      <c r="M235" s="100" t="s">
        <v>29</v>
      </c>
      <c r="N235" s="100" t="s">
        <v>29</v>
      </c>
      <c r="O235" s="100" t="s">
        <v>29</v>
      </c>
      <c r="P235" s="100" t="s">
        <v>29</v>
      </c>
      <c r="Q235" s="100" t="s">
        <v>29</v>
      </c>
      <c r="R235" s="100" t="s">
        <v>29</v>
      </c>
      <c r="S235" s="100" t="s">
        <v>29</v>
      </c>
      <c r="T235" s="100" t="s">
        <v>29</v>
      </c>
      <c r="U235" s="100" t="s">
        <v>29</v>
      </c>
      <c r="V235" s="100" t="s">
        <v>29</v>
      </c>
      <c r="W235" s="100" t="s">
        <v>29</v>
      </c>
      <c r="X235" s="296">
        <v>158</v>
      </c>
      <c r="Y235" s="9">
        <v>266</v>
      </c>
      <c r="Z235" s="9">
        <v>510</v>
      </c>
      <c r="AA235" s="349"/>
      <c r="AB235" s="9"/>
      <c r="AC235" s="9"/>
      <c r="AD235" s="9"/>
      <c r="AE235" s="9"/>
      <c r="AF235" s="9"/>
      <c r="AG235" s="9"/>
      <c r="AH235" s="9"/>
      <c r="AI235" s="9"/>
      <c r="AJ235" s="9"/>
      <c r="AK235" s="9"/>
      <c r="AL235" s="9"/>
      <c r="AM235" s="9"/>
      <c r="AN235" s="9"/>
      <c r="AO235" s="9"/>
      <c r="AP235" s="9"/>
      <c r="AQ235" s="9"/>
      <c r="AR235" s="9"/>
      <c r="AS235" s="9"/>
      <c r="AT235" s="9"/>
      <c r="AU235" s="9"/>
      <c r="AV235" s="9"/>
      <c r="AW235" s="9"/>
      <c r="AX235" s="9"/>
      <c r="AY235" s="9"/>
      <c r="AZ235" s="9"/>
      <c r="BA235" s="9"/>
      <c r="BB235" s="9"/>
      <c r="BC235" s="9"/>
      <c r="BD235" s="9"/>
      <c r="BE235" s="9"/>
      <c r="BF235" s="9"/>
      <c r="BG235" s="9"/>
      <c r="BH235" s="9"/>
      <c r="BI235" s="9"/>
      <c r="BJ235" s="9"/>
      <c r="BK235" s="9"/>
      <c r="BL235" s="9"/>
      <c r="BM235" s="9"/>
      <c r="BN235" s="9"/>
      <c r="BO235" s="9"/>
      <c r="BP235" s="9"/>
      <c r="BQ235" s="9"/>
      <c r="BR235" s="9"/>
      <c r="BS235" s="9"/>
      <c r="BT235" s="9"/>
      <c r="BU235" s="9"/>
      <c r="BV235" s="9"/>
      <c r="BW235" s="9"/>
      <c r="BX235" s="9"/>
      <c r="BY235" s="9"/>
      <c r="BZ235" s="9"/>
      <c r="CA235" s="9"/>
      <c r="CB235" s="9"/>
      <c r="CC235" s="9"/>
      <c r="CD235" s="9"/>
      <c r="CE235" s="9"/>
      <c r="CF235" s="9"/>
      <c r="CG235" s="9"/>
      <c r="CH235" s="9"/>
      <c r="CI235" s="9"/>
      <c r="CJ235" s="9"/>
      <c r="CK235" s="9"/>
    </row>
    <row r="236" spans="1:89" s="8" customFormat="1" ht="12.6" customHeight="1" x14ac:dyDescent="0.2">
      <c r="A236" s="56"/>
      <c r="B236" s="1"/>
      <c r="C236" s="13" t="str">
        <f>VLOOKUP(49,Textbausteine_Menu[],Hilfsgrössen!$D$2,FALSE)</f>
        <v>PostFinance</v>
      </c>
      <c r="D236" s="16" t="str">
        <f>VLOOKUP(35,Textbausteine_102[],Hilfsgrössen!$D$2,FALSE)</f>
        <v>Personnes</v>
      </c>
      <c r="E236" s="302" t="s">
        <v>69</v>
      </c>
      <c r="F236" s="94" t="s">
        <v>3168</v>
      </c>
      <c r="G236" s="34"/>
      <c r="H236" s="100" t="s">
        <v>29</v>
      </c>
      <c r="I236" s="100" t="s">
        <v>29</v>
      </c>
      <c r="J236" s="100" t="s">
        <v>29</v>
      </c>
      <c r="K236" s="100" t="s">
        <v>29</v>
      </c>
      <c r="L236" s="100" t="s">
        <v>29</v>
      </c>
      <c r="M236" s="81">
        <v>3478</v>
      </c>
      <c r="N236" s="91">
        <v>3732</v>
      </c>
      <c r="O236" s="91">
        <v>3920</v>
      </c>
      <c r="P236" s="91">
        <v>3983</v>
      </c>
      <c r="Q236" s="91">
        <v>3938</v>
      </c>
      <c r="R236" s="91">
        <v>3967</v>
      </c>
      <c r="S236" s="91">
        <v>4111</v>
      </c>
      <c r="T236" s="9">
        <v>4116</v>
      </c>
      <c r="U236" s="9">
        <v>3951</v>
      </c>
      <c r="V236" s="9">
        <v>3754</v>
      </c>
      <c r="W236" s="9">
        <v>3648</v>
      </c>
      <c r="X236" s="296">
        <v>3660</v>
      </c>
      <c r="Y236" s="9">
        <v>3633</v>
      </c>
      <c r="Z236" s="9">
        <v>3655</v>
      </c>
      <c r="AA236" s="349"/>
      <c r="AB236" s="9"/>
      <c r="AC236" s="9"/>
      <c r="AD236" s="9"/>
      <c r="AE236" s="9"/>
      <c r="AF236" s="9"/>
      <c r="AG236" s="9"/>
      <c r="AH236" s="9"/>
      <c r="AI236" s="9"/>
      <c r="AJ236" s="9"/>
      <c r="AK236" s="9"/>
      <c r="AL236" s="9"/>
      <c r="AM236" s="9"/>
      <c r="AN236" s="9"/>
      <c r="AO236" s="9"/>
      <c r="AP236" s="9"/>
      <c r="AQ236" s="9"/>
      <c r="AR236" s="9"/>
      <c r="AS236" s="9"/>
      <c r="AT236" s="9"/>
      <c r="AU236" s="9"/>
      <c r="AV236" s="9"/>
      <c r="AW236" s="9"/>
      <c r="AX236" s="9"/>
      <c r="AY236" s="9"/>
      <c r="AZ236" s="9"/>
      <c r="BA236" s="9"/>
      <c r="BB236" s="9"/>
      <c r="BC236" s="9"/>
      <c r="BD236" s="9"/>
      <c r="BE236" s="9"/>
      <c r="BF236" s="9"/>
      <c r="BG236" s="9"/>
      <c r="BH236" s="9"/>
      <c r="BI236" s="9"/>
      <c r="BJ236" s="9"/>
      <c r="BK236" s="9"/>
      <c r="BL236" s="9"/>
      <c r="BM236" s="9"/>
      <c r="BN236" s="9"/>
      <c r="BO236" s="9"/>
      <c r="BP236" s="9"/>
      <c r="BQ236" s="9"/>
      <c r="BR236" s="9"/>
      <c r="BS236" s="9"/>
      <c r="BT236" s="9"/>
      <c r="BU236" s="9"/>
      <c r="BV236" s="9"/>
      <c r="BW236" s="9"/>
      <c r="BX236" s="9"/>
      <c r="BY236" s="9"/>
      <c r="BZ236" s="9"/>
      <c r="CA236" s="9"/>
      <c r="CB236" s="9"/>
      <c r="CC236" s="9"/>
      <c r="CD236" s="9"/>
      <c r="CE236" s="9"/>
      <c r="CF236" s="9"/>
      <c r="CG236" s="9"/>
      <c r="CH236" s="9"/>
      <c r="CI236" s="9"/>
      <c r="CJ236" s="9"/>
      <c r="CK236" s="9"/>
    </row>
    <row r="237" spans="1:89" s="8" customFormat="1" ht="12.6" customHeight="1" x14ac:dyDescent="0.2">
      <c r="A237" s="56"/>
      <c r="B237" s="1"/>
      <c r="C237" s="13" t="str">
        <f>VLOOKUP(55,Textbausteine_Menu[],Hilfsgrössen!$D$2,FALSE)</f>
        <v>Services de mobilité</v>
      </c>
      <c r="D237" s="16" t="str">
        <f>VLOOKUP(35,Textbausteine_102[],Hilfsgrössen!$D$2,FALSE)</f>
        <v>Personnes</v>
      </c>
      <c r="E237" s="302" t="s">
        <v>68</v>
      </c>
      <c r="F237" s="94" t="s">
        <v>3168</v>
      </c>
      <c r="G237" s="34"/>
      <c r="H237" s="100" t="s">
        <v>29</v>
      </c>
      <c r="I237" s="100" t="s">
        <v>29</v>
      </c>
      <c r="J237" s="100" t="s">
        <v>29</v>
      </c>
      <c r="K237" s="100" t="s">
        <v>29</v>
      </c>
      <c r="L237" s="100" t="s">
        <v>29</v>
      </c>
      <c r="M237" s="100" t="s">
        <v>29</v>
      </c>
      <c r="N237" s="100" t="s">
        <v>29</v>
      </c>
      <c r="O237" s="100" t="s">
        <v>29</v>
      </c>
      <c r="P237" s="100" t="s">
        <v>29</v>
      </c>
      <c r="Q237" s="100" t="s">
        <v>29</v>
      </c>
      <c r="R237" s="100" t="s">
        <v>29</v>
      </c>
      <c r="S237" s="100" t="s">
        <v>29</v>
      </c>
      <c r="T237" s="100" t="s">
        <v>29</v>
      </c>
      <c r="U237" s="100" t="s">
        <v>29</v>
      </c>
      <c r="V237" s="100" t="s">
        <v>29</v>
      </c>
      <c r="W237" s="100" t="s">
        <v>29</v>
      </c>
      <c r="X237" s="296">
        <v>3063</v>
      </c>
      <c r="Y237" s="9">
        <v>3233</v>
      </c>
      <c r="Z237" s="9">
        <v>3221</v>
      </c>
      <c r="AA237" s="349"/>
      <c r="AB237" s="9"/>
      <c r="AC237" s="9"/>
      <c r="AD237" s="9"/>
      <c r="AE237" s="9"/>
      <c r="AF237" s="9"/>
      <c r="AG237" s="9"/>
      <c r="AH237" s="9"/>
      <c r="AI237" s="9"/>
      <c r="AJ237" s="9"/>
      <c r="AK237" s="9"/>
      <c r="AL237" s="9"/>
      <c r="AM237" s="9"/>
      <c r="AN237" s="9"/>
      <c r="AO237" s="9"/>
      <c r="AP237" s="9"/>
      <c r="AQ237" s="9"/>
      <c r="AR237" s="9"/>
      <c r="AS237" s="9"/>
      <c r="AT237" s="9"/>
      <c r="AU237" s="9"/>
      <c r="AV237" s="9"/>
      <c r="AW237" s="9"/>
      <c r="AX237" s="9"/>
      <c r="AY237" s="9"/>
      <c r="AZ237" s="9"/>
      <c r="BA237" s="9"/>
      <c r="BB237" s="9"/>
      <c r="BC237" s="9"/>
      <c r="BD237" s="9"/>
      <c r="BE237" s="9"/>
      <c r="BF237" s="9"/>
      <c r="BG237" s="9"/>
      <c r="BH237" s="9"/>
      <c r="BI237" s="9"/>
      <c r="BJ237" s="9"/>
      <c r="BK237" s="9"/>
      <c r="BL237" s="9"/>
      <c r="BM237" s="9"/>
      <c r="BN237" s="9"/>
      <c r="BO237" s="9"/>
      <c r="BP237" s="9"/>
      <c r="BQ237" s="9"/>
      <c r="BR237" s="9"/>
      <c r="BS237" s="9"/>
      <c r="BT237" s="9"/>
      <c r="BU237" s="9"/>
      <c r="BV237" s="9"/>
      <c r="BW237" s="9"/>
      <c r="BX237" s="9"/>
      <c r="BY237" s="9"/>
      <c r="BZ237" s="9"/>
      <c r="CA237" s="9"/>
      <c r="CB237" s="9"/>
      <c r="CC237" s="9"/>
      <c r="CD237" s="9"/>
      <c r="CE237" s="9"/>
      <c r="CF237" s="9"/>
      <c r="CG237" s="9"/>
      <c r="CH237" s="9"/>
      <c r="CI237" s="9"/>
      <c r="CJ237" s="9"/>
      <c r="CK237" s="9"/>
    </row>
    <row r="238" spans="1:89" s="8" customFormat="1" ht="12.6" customHeight="1" x14ac:dyDescent="0.2">
      <c r="A238" s="56"/>
      <c r="B238" s="1"/>
      <c r="C238" s="13" t="str">
        <f>VLOOKUP(51,Textbausteine_Menu[],Hilfsgrössen!$D$2,FALSE)</f>
        <v>Fonctions et management</v>
      </c>
      <c r="D238" s="16" t="str">
        <f>VLOOKUP(35,Textbausteine_102[],Hilfsgrössen!$D$2,FALSE)</f>
        <v>Personnes</v>
      </c>
      <c r="E238" s="302" t="s">
        <v>68</v>
      </c>
      <c r="F238" s="94" t="s">
        <v>3168</v>
      </c>
      <c r="G238" s="267"/>
      <c r="H238" s="100" t="s">
        <v>29</v>
      </c>
      <c r="I238" s="100" t="s">
        <v>29</v>
      </c>
      <c r="J238" s="100" t="s">
        <v>29</v>
      </c>
      <c r="K238" s="100" t="s">
        <v>29</v>
      </c>
      <c r="L238" s="100" t="s">
        <v>29</v>
      </c>
      <c r="M238" s="100" t="s">
        <v>29</v>
      </c>
      <c r="N238" s="100" t="s">
        <v>29</v>
      </c>
      <c r="O238" s="100" t="s">
        <v>29</v>
      </c>
      <c r="P238" s="100" t="s">
        <v>29</v>
      </c>
      <c r="Q238" s="100" t="s">
        <v>29</v>
      </c>
      <c r="R238" s="100" t="s">
        <v>29</v>
      </c>
      <c r="S238" s="100" t="s">
        <v>29</v>
      </c>
      <c r="T238" s="100" t="s">
        <v>29</v>
      </c>
      <c r="U238" s="100" t="s">
        <v>29</v>
      </c>
      <c r="V238" s="100" t="s">
        <v>29</v>
      </c>
      <c r="W238" s="100" t="s">
        <v>29</v>
      </c>
      <c r="X238" s="296">
        <v>3718</v>
      </c>
      <c r="Y238" s="9">
        <v>3741</v>
      </c>
      <c r="Z238" s="9">
        <v>3776</v>
      </c>
      <c r="AA238" s="349"/>
      <c r="AB238" s="9"/>
      <c r="AC238" s="9"/>
      <c r="AD238" s="9"/>
      <c r="AE238" s="9"/>
      <c r="AF238" s="9"/>
      <c r="AG238" s="9"/>
      <c r="AH238" s="9"/>
      <c r="AI238" s="9"/>
      <c r="AJ238" s="9"/>
      <c r="AK238" s="9"/>
      <c r="AL238" s="9"/>
      <c r="AM238" s="9"/>
      <c r="AN238" s="9"/>
      <c r="AO238" s="9"/>
      <c r="AP238" s="9"/>
      <c r="AQ238" s="9"/>
      <c r="AR238" s="9"/>
      <c r="AS238" s="9"/>
      <c r="AT238" s="9"/>
      <c r="AU238" s="9"/>
      <c r="AV238" s="9"/>
      <c r="AW238" s="9"/>
      <c r="AX238" s="9"/>
      <c r="AY238" s="9"/>
      <c r="AZ238" s="9"/>
      <c r="BA238" s="9"/>
      <c r="BB238" s="9"/>
      <c r="BC238" s="9"/>
      <c r="BD238" s="9"/>
      <c r="BE238" s="9"/>
      <c r="BF238" s="9"/>
      <c r="BG238" s="9"/>
      <c r="BH238" s="9"/>
      <c r="BI238" s="9"/>
      <c r="BJ238" s="9"/>
      <c r="BK238" s="9"/>
      <c r="BL238" s="9"/>
      <c r="BM238" s="9"/>
      <c r="BN238" s="9"/>
      <c r="BO238" s="9"/>
      <c r="BP238" s="9"/>
      <c r="BQ238" s="9"/>
      <c r="BR238" s="9"/>
      <c r="BS238" s="9"/>
      <c r="BT238" s="9"/>
      <c r="BU238" s="9"/>
      <c r="BV238" s="9"/>
      <c r="BW238" s="9"/>
      <c r="BX238" s="9"/>
      <c r="BY238" s="9"/>
      <c r="BZ238" s="9"/>
      <c r="CA238" s="9"/>
      <c r="CB238" s="9"/>
      <c r="CC238" s="9"/>
      <c r="CD238" s="9"/>
      <c r="CE238" s="9"/>
      <c r="CF238" s="9"/>
      <c r="CG238" s="9"/>
      <c r="CH238" s="9"/>
      <c r="CI238" s="9"/>
      <c r="CJ238" s="9"/>
      <c r="CK238" s="9"/>
    </row>
    <row r="239" spans="1:89" s="8" customFormat="1" ht="12.6" customHeight="1" x14ac:dyDescent="0.2">
      <c r="A239" s="56"/>
      <c r="B239" s="1"/>
      <c r="C239" s="13"/>
      <c r="D239" s="16"/>
      <c r="E239" s="302"/>
      <c r="F239" s="11"/>
      <c r="G239" s="267"/>
      <c r="H239" s="100"/>
      <c r="I239" s="100"/>
      <c r="J239" s="100"/>
      <c r="K239" s="100"/>
      <c r="L239" s="100"/>
      <c r="M239" s="100"/>
      <c r="N239" s="100"/>
      <c r="O239" s="100"/>
      <c r="P239" s="100"/>
      <c r="Q239" s="100"/>
      <c r="R239" s="100"/>
      <c r="S239" s="100"/>
      <c r="T239" s="100"/>
      <c r="U239" s="100"/>
      <c r="V239" s="100"/>
      <c r="W239" s="100"/>
      <c r="X239" s="296"/>
      <c r="Y239" s="9"/>
      <c r="Z239" s="9"/>
      <c r="AA239" s="341"/>
      <c r="AB239" s="9"/>
      <c r="AC239" s="9"/>
      <c r="AD239" s="9"/>
      <c r="AE239" s="9"/>
      <c r="AF239" s="9"/>
      <c r="AG239" s="9"/>
      <c r="AH239" s="9"/>
      <c r="AI239" s="9"/>
      <c r="AJ239" s="9"/>
      <c r="AK239" s="9"/>
      <c r="AL239" s="9"/>
      <c r="AM239" s="9"/>
      <c r="AN239" s="9"/>
      <c r="AO239" s="9"/>
      <c r="AP239" s="9"/>
      <c r="AQ239" s="9"/>
      <c r="AR239" s="9"/>
      <c r="AS239" s="9"/>
      <c r="AT239" s="9"/>
      <c r="AU239" s="9"/>
      <c r="AV239" s="9"/>
      <c r="AW239" s="9"/>
      <c r="AX239" s="9"/>
      <c r="AY239" s="9"/>
      <c r="AZ239" s="9"/>
      <c r="BA239" s="9"/>
      <c r="BB239" s="9"/>
      <c r="BC239" s="9"/>
      <c r="BD239" s="9"/>
      <c r="BE239" s="9"/>
      <c r="BF239" s="9"/>
      <c r="BG239" s="9"/>
      <c r="BH239" s="9"/>
      <c r="BI239" s="9"/>
      <c r="BJ239" s="9"/>
      <c r="BK239" s="9"/>
      <c r="BL239" s="9"/>
      <c r="BM239" s="9"/>
      <c r="BN239" s="9"/>
      <c r="BO239" s="9"/>
      <c r="BP239" s="9"/>
      <c r="BQ239" s="9"/>
      <c r="BR239" s="9"/>
      <c r="BS239" s="9"/>
      <c r="BT239" s="9"/>
      <c r="BU239" s="9"/>
      <c r="BV239" s="9"/>
      <c r="BW239" s="9"/>
      <c r="BX239" s="9"/>
      <c r="BY239" s="9"/>
      <c r="BZ239" s="9"/>
      <c r="CA239" s="9"/>
      <c r="CB239" s="9"/>
      <c r="CC239" s="9"/>
      <c r="CD239" s="9"/>
      <c r="CE239" s="9"/>
      <c r="CF239" s="9"/>
      <c r="CG239" s="9"/>
      <c r="CH239" s="9"/>
      <c r="CI239" s="9"/>
      <c r="CJ239" s="9"/>
      <c r="CK239" s="9"/>
    </row>
    <row r="240" spans="1:89" s="8" customFormat="1" ht="12.6" customHeight="1" x14ac:dyDescent="0.25">
      <c r="A240" s="56"/>
      <c r="B240" s="1"/>
      <c r="C240" s="266"/>
      <c r="D240" s="16"/>
      <c r="E240" s="302"/>
      <c r="F240" s="11"/>
      <c r="G240" s="267"/>
      <c r="H240" s="100"/>
      <c r="I240" s="100"/>
      <c r="J240" s="100"/>
      <c r="K240" s="100"/>
      <c r="L240" s="100"/>
      <c r="M240" s="100"/>
      <c r="N240" s="100"/>
      <c r="O240" s="100"/>
      <c r="P240" s="100"/>
      <c r="Q240" s="100"/>
      <c r="R240" s="100"/>
      <c r="S240" s="100"/>
      <c r="T240" s="100"/>
      <c r="U240" s="100"/>
      <c r="V240" s="100"/>
      <c r="W240" s="100"/>
      <c r="X240" s="296"/>
      <c r="Y240" s="9"/>
      <c r="Z240" s="9"/>
      <c r="AA240" s="341"/>
      <c r="AB240" s="9"/>
      <c r="AC240" s="9"/>
      <c r="AD240" s="9"/>
      <c r="AE240" s="9"/>
      <c r="AF240" s="9"/>
      <c r="AG240" s="9"/>
      <c r="AH240" s="9"/>
      <c r="AI240" s="9"/>
      <c r="AJ240" s="9"/>
      <c r="AK240" s="9"/>
      <c r="AL240" s="9"/>
      <c r="AM240" s="9"/>
      <c r="AN240" s="9"/>
      <c r="AO240" s="9"/>
      <c r="AP240" s="9"/>
      <c r="AQ240" s="9"/>
      <c r="AR240" s="9"/>
      <c r="AS240" s="9"/>
      <c r="AT240" s="9"/>
      <c r="AU240" s="9"/>
      <c r="AV240" s="9"/>
      <c r="AW240" s="9"/>
      <c r="AX240" s="9"/>
      <c r="AY240" s="9"/>
      <c r="AZ240" s="9"/>
      <c r="BA240" s="9"/>
      <c r="BB240" s="9"/>
      <c r="BC240" s="9"/>
      <c r="BD240" s="9"/>
      <c r="BE240" s="9"/>
      <c r="BF240" s="9"/>
      <c r="BG240" s="9"/>
      <c r="BH240" s="9"/>
      <c r="BI240" s="9"/>
      <c r="BJ240" s="9"/>
      <c r="BK240" s="9"/>
      <c r="BL240" s="9"/>
      <c r="BM240" s="9"/>
      <c r="BN240" s="9"/>
      <c r="BO240" s="9"/>
      <c r="BP240" s="9"/>
      <c r="BQ240" s="9"/>
      <c r="BR240" s="9"/>
      <c r="BS240" s="9"/>
      <c r="BT240" s="9"/>
      <c r="BU240" s="9"/>
      <c r="BV240" s="9"/>
      <c r="BW240" s="9"/>
      <c r="BX240" s="9"/>
      <c r="BY240" s="9"/>
      <c r="BZ240" s="9"/>
      <c r="CA240" s="9"/>
      <c r="CB240" s="9"/>
      <c r="CC240" s="9"/>
      <c r="CD240" s="9"/>
      <c r="CE240" s="9"/>
      <c r="CF240" s="9"/>
      <c r="CG240" s="9"/>
      <c r="CH240" s="9"/>
      <c r="CI240" s="9"/>
      <c r="CJ240" s="9"/>
      <c r="CK240" s="9"/>
    </row>
    <row r="241" spans="1:89" s="8" customFormat="1" ht="12.6" customHeight="1" x14ac:dyDescent="0.25">
      <c r="A241" s="56"/>
      <c r="B241" s="1"/>
      <c r="C241" s="266" t="str">
        <f>VLOOKUP(289,Textbausteine_102[#Data],Hilfsgrössen!$D$2,FALSE)</f>
        <v>1) Sans les apprentis</v>
      </c>
      <c r="D241" s="16"/>
      <c r="E241" s="302"/>
      <c r="F241" s="11"/>
      <c r="G241" s="267"/>
      <c r="H241" s="100"/>
      <c r="I241" s="100"/>
      <c r="J241" s="100"/>
      <c r="K241" s="100"/>
      <c r="L241" s="100"/>
      <c r="M241" s="100"/>
      <c r="N241" s="100"/>
      <c r="O241" s="100"/>
      <c r="P241" s="100"/>
      <c r="Q241" s="100"/>
      <c r="R241" s="100"/>
      <c r="S241" s="100"/>
      <c r="T241" s="100"/>
      <c r="U241" s="100"/>
      <c r="V241" s="100"/>
      <c r="W241" s="100"/>
      <c r="X241" s="296"/>
      <c r="Y241" s="9"/>
      <c r="Z241" s="9"/>
      <c r="AA241" s="341"/>
      <c r="AB241" s="9"/>
      <c r="AC241" s="9"/>
      <c r="AD241" s="9"/>
      <c r="AE241" s="9"/>
      <c r="AF241" s="9"/>
      <c r="AG241" s="9"/>
      <c r="AH241" s="9"/>
      <c r="AI241" s="9"/>
      <c r="AJ241" s="9"/>
      <c r="AK241" s="9"/>
      <c r="AL241" s="9"/>
      <c r="AM241" s="9"/>
      <c r="AN241" s="9"/>
      <c r="AO241" s="9"/>
      <c r="AP241" s="9"/>
      <c r="AQ241" s="9"/>
      <c r="AR241" s="9"/>
      <c r="AS241" s="9"/>
      <c r="AT241" s="9"/>
      <c r="AU241" s="9"/>
      <c r="AV241" s="9"/>
      <c r="AW241" s="9"/>
      <c r="AX241" s="9"/>
      <c r="AY241" s="9"/>
      <c r="AZ241" s="9"/>
      <c r="BA241" s="9"/>
      <c r="BB241" s="9"/>
      <c r="BC241" s="9"/>
      <c r="BD241" s="9"/>
      <c r="BE241" s="9"/>
      <c r="BF241" s="9"/>
      <c r="BG241" s="9"/>
      <c r="BH241" s="9"/>
      <c r="BI241" s="9"/>
      <c r="BJ241" s="9"/>
      <c r="BK241" s="9"/>
      <c r="BL241" s="9"/>
      <c r="BM241" s="9"/>
      <c r="BN241" s="9"/>
      <c r="BO241" s="9"/>
      <c r="BP241" s="9"/>
      <c r="BQ241" s="9"/>
      <c r="BR241" s="9"/>
      <c r="BS241" s="9"/>
      <c r="BT241" s="9"/>
      <c r="BU241" s="9"/>
      <c r="BV241" s="9"/>
      <c r="BW241" s="9"/>
      <c r="BX241" s="9"/>
      <c r="BY241" s="9"/>
      <c r="BZ241" s="9"/>
      <c r="CA241" s="9"/>
      <c r="CB241" s="9"/>
      <c r="CC241" s="9"/>
      <c r="CD241" s="9"/>
      <c r="CE241" s="9"/>
      <c r="CF241" s="9"/>
      <c r="CG241" s="9"/>
      <c r="CH241" s="9"/>
      <c r="CI241" s="9"/>
      <c r="CJ241" s="9"/>
      <c r="CK241" s="9"/>
    </row>
    <row r="242" spans="1:89" s="8" customFormat="1" ht="12.6" customHeight="1" x14ac:dyDescent="0.25">
      <c r="A242" s="56"/>
      <c r="B242" s="1"/>
      <c r="C242" s="266" t="str">
        <f>VLOOKUP(290,Textbausteine_102[],Hilfsgrössen!$D$2,FALSE)</f>
        <v>2) Une unité de personnel correspond à un poste à plein temps.</v>
      </c>
      <c r="D242" s="16"/>
      <c r="E242" s="302"/>
      <c r="F242" s="11"/>
      <c r="G242" s="267"/>
      <c r="H242" s="100"/>
      <c r="I242" s="100"/>
      <c r="J242" s="100"/>
      <c r="K242" s="100"/>
      <c r="L242" s="100"/>
      <c r="M242" s="100"/>
      <c r="N242" s="100"/>
      <c r="O242" s="100"/>
      <c r="P242" s="100"/>
      <c r="Q242" s="100"/>
      <c r="R242" s="100"/>
      <c r="S242" s="100"/>
      <c r="T242" s="100"/>
      <c r="U242" s="100"/>
      <c r="V242" s="100"/>
      <c r="W242" s="100"/>
      <c r="X242" s="296"/>
      <c r="Y242" s="9"/>
      <c r="Z242" s="9"/>
      <c r="AA242" s="341"/>
      <c r="AB242" s="9"/>
      <c r="AC242" s="9"/>
      <c r="AD242" s="9"/>
      <c r="AE242" s="9"/>
      <c r="AF242" s="9"/>
      <c r="AG242" s="9"/>
      <c r="AH242" s="9"/>
      <c r="AI242" s="9"/>
      <c r="AJ242" s="9"/>
      <c r="AK242" s="9"/>
      <c r="AL242" s="9"/>
      <c r="AM242" s="9"/>
      <c r="AN242" s="9"/>
      <c r="AO242" s="9"/>
      <c r="AP242" s="9"/>
      <c r="AQ242" s="9"/>
      <c r="AR242" s="9"/>
      <c r="AS242" s="9"/>
      <c r="AT242" s="9"/>
      <c r="AU242" s="9"/>
      <c r="AV242" s="9"/>
      <c r="AW242" s="9"/>
      <c r="AX242" s="9"/>
      <c r="AY242" s="9"/>
      <c r="AZ242" s="9"/>
      <c r="BA242" s="9"/>
      <c r="BB242" s="9"/>
      <c r="BC242" s="9"/>
      <c r="BD242" s="9"/>
      <c r="BE242" s="9"/>
      <c r="BF242" s="9"/>
      <c r="BG242" s="9"/>
      <c r="BH242" s="9"/>
      <c r="BI242" s="9"/>
      <c r="BJ242" s="9"/>
      <c r="BK242" s="9"/>
      <c r="BL242" s="9"/>
      <c r="BM242" s="9"/>
      <c r="BN242" s="9"/>
      <c r="BO242" s="9"/>
      <c r="BP242" s="9"/>
      <c r="BQ242" s="9"/>
      <c r="BR242" s="9"/>
      <c r="BS242" s="9"/>
      <c r="BT242" s="9"/>
      <c r="BU242" s="9"/>
      <c r="BV242" s="9"/>
      <c r="BW242" s="9"/>
      <c r="BX242" s="9"/>
      <c r="BY242" s="9"/>
      <c r="BZ242" s="9"/>
      <c r="CA242" s="9"/>
      <c r="CB242" s="9"/>
      <c r="CC242" s="9"/>
      <c r="CD242" s="9"/>
      <c r="CE242" s="9"/>
      <c r="CF242" s="9"/>
      <c r="CG242" s="9"/>
      <c r="CH242" s="9"/>
      <c r="CI242" s="9"/>
      <c r="CJ242" s="9"/>
      <c r="CK242" s="9"/>
    </row>
    <row r="243" spans="1:89" s="8" customFormat="1" ht="12.6" customHeight="1" x14ac:dyDescent="0.25">
      <c r="A243" s="56"/>
      <c r="B243" s="1"/>
      <c r="C243" s="266" t="str">
        <f>VLOOKUP(291,Textbausteine_102[],Hilfsgrössen!$D$2,FALSE)</f>
        <v>3) Valeurs annuelles moyennes</v>
      </c>
      <c r="D243" s="16"/>
      <c r="E243" s="302"/>
      <c r="F243" s="11"/>
      <c r="G243" s="267"/>
      <c r="H243" s="100"/>
      <c r="I243" s="100"/>
      <c r="J243" s="100"/>
      <c r="K243" s="100"/>
      <c r="L243" s="100"/>
      <c r="M243" s="100"/>
      <c r="N243" s="100"/>
      <c r="O243" s="100"/>
      <c r="P243" s="100"/>
      <c r="Q243" s="100"/>
      <c r="R243" s="100"/>
      <c r="S243" s="100"/>
      <c r="T243" s="100"/>
      <c r="U243" s="100"/>
      <c r="V243" s="100"/>
      <c r="W243" s="100"/>
      <c r="X243" s="296"/>
      <c r="Y243" s="9"/>
      <c r="Z243" s="9"/>
      <c r="AA243" s="341"/>
      <c r="AB243" s="9"/>
      <c r="AC243" s="9"/>
      <c r="AD243" s="9"/>
      <c r="AE243" s="9"/>
      <c r="AF243" s="9"/>
      <c r="AG243" s="9"/>
      <c r="AH243" s="9"/>
      <c r="AI243" s="9"/>
      <c r="AJ243" s="9"/>
      <c r="AK243" s="9"/>
      <c r="AL243" s="9"/>
      <c r="AM243" s="9"/>
      <c r="AN243" s="9"/>
      <c r="AO243" s="9"/>
      <c r="AP243" s="9"/>
      <c r="AQ243" s="9"/>
      <c r="AR243" s="9"/>
      <c r="AS243" s="9"/>
      <c r="AT243" s="9"/>
      <c r="AU243" s="9"/>
      <c r="AV243" s="9"/>
      <c r="AW243" s="9"/>
      <c r="AX243" s="9"/>
      <c r="AY243" s="9"/>
      <c r="AZ243" s="9"/>
      <c r="BA243" s="9"/>
      <c r="BB243" s="9"/>
      <c r="BC243" s="9"/>
      <c r="BD243" s="9"/>
      <c r="BE243" s="9"/>
      <c r="BF243" s="9"/>
      <c r="BG243" s="9"/>
      <c r="BH243" s="9"/>
      <c r="BI243" s="9"/>
      <c r="BJ243" s="9"/>
      <c r="BK243" s="9"/>
      <c r="BL243" s="9"/>
      <c r="BM243" s="9"/>
      <c r="BN243" s="9"/>
      <c r="BO243" s="9"/>
      <c r="BP243" s="9"/>
      <c r="BQ243" s="9"/>
      <c r="BR243" s="9"/>
      <c r="BS243" s="9"/>
      <c r="BT243" s="9"/>
      <c r="BU243" s="9"/>
      <c r="BV243" s="9"/>
      <c r="BW243" s="9"/>
      <c r="BX243" s="9"/>
      <c r="BY243" s="9"/>
      <c r="BZ243" s="9"/>
      <c r="CA243" s="9"/>
      <c r="CB243" s="9"/>
      <c r="CC243" s="9"/>
      <c r="CD243" s="9"/>
      <c r="CE243" s="9"/>
      <c r="CF243" s="9"/>
      <c r="CG243" s="9"/>
      <c r="CH243" s="9"/>
      <c r="CI243" s="9"/>
      <c r="CJ243" s="9"/>
      <c r="CK243" s="9"/>
    </row>
    <row r="244" spans="1:89" s="8" customFormat="1" ht="12.6" customHeight="1" x14ac:dyDescent="0.25">
      <c r="A244" s="56"/>
      <c r="B244" s="1"/>
      <c r="C244" s="266" t="str">
        <f>VLOOKUP(292,Textbausteine_102[],Hilfsgrössen!$D$2,FALSE)</f>
        <v>4) Dans le segment PostMail (désormais rattaché au segment Services logistiques depuis le 1er janvier 2021), le calcul de l’effectif moyen en équivalents plein temps (hors apprentis) de deux filiales a été remanié, ce qui a entraîné l’ajustement de la valeur de 2018. Dans le segment CarPostal (désormais rattaché au segment Services de mobilité depuis le 1er janvier 2021), la valeur de 2018 a été ajustée suite à la classification du groupe CarPostal France comme groupe sortant détenu en vue de la vente et activité abandonnée.</v>
      </c>
      <c r="D244" s="16"/>
      <c r="E244" s="302"/>
      <c r="F244" s="11"/>
      <c r="G244" s="267"/>
      <c r="H244" s="100"/>
      <c r="I244" s="100"/>
      <c r="J244" s="100"/>
      <c r="K244" s="100"/>
      <c r="L244" s="100"/>
      <c r="M244" s="100"/>
      <c r="N244" s="100"/>
      <c r="O244" s="100"/>
      <c r="P244" s="100"/>
      <c r="Q244" s="100"/>
      <c r="R244" s="100"/>
      <c r="S244" s="100"/>
      <c r="T244" s="100"/>
      <c r="U244" s="100"/>
      <c r="V244" s="100"/>
      <c r="W244" s="100"/>
      <c r="X244" s="296"/>
      <c r="Y244" s="9"/>
      <c r="Z244" s="9"/>
      <c r="AA244" s="341"/>
      <c r="AB244" s="9"/>
      <c r="AC244" s="9"/>
      <c r="AD244" s="9"/>
      <c r="AE244" s="9"/>
      <c r="AF244" s="9"/>
      <c r="AG244" s="9"/>
      <c r="AH244" s="9"/>
      <c r="AI244" s="9"/>
      <c r="AJ244" s="9"/>
      <c r="AK244" s="9"/>
      <c r="AL244" s="9"/>
      <c r="AM244" s="9"/>
      <c r="AN244" s="9"/>
      <c r="AO244" s="9"/>
      <c r="AP244" s="9"/>
      <c r="AQ244" s="9"/>
      <c r="AR244" s="9"/>
      <c r="AS244" s="9"/>
      <c r="AT244" s="9"/>
      <c r="AU244" s="9"/>
      <c r="AV244" s="9"/>
      <c r="AW244" s="9"/>
      <c r="AX244" s="9"/>
      <c r="AY244" s="9"/>
      <c r="AZ244" s="9"/>
      <c r="BA244" s="9"/>
      <c r="BB244" s="9"/>
      <c r="BC244" s="9"/>
      <c r="BD244" s="9"/>
      <c r="BE244" s="9"/>
      <c r="BF244" s="9"/>
      <c r="BG244" s="9"/>
      <c r="BH244" s="9"/>
      <c r="BI244" s="9"/>
      <c r="BJ244" s="9"/>
      <c r="BK244" s="9"/>
      <c r="BL244" s="9"/>
      <c r="BM244" s="9"/>
      <c r="BN244" s="9"/>
      <c r="BO244" s="9"/>
      <c r="BP244" s="9"/>
      <c r="BQ244" s="9"/>
      <c r="BR244" s="9"/>
      <c r="BS244" s="9"/>
      <c r="BT244" s="9"/>
      <c r="BU244" s="9"/>
      <c r="BV244" s="9"/>
      <c r="BW244" s="9"/>
      <c r="BX244" s="9"/>
      <c r="BY244" s="9"/>
      <c r="BZ244" s="9"/>
      <c r="CA244" s="9"/>
      <c r="CB244" s="9"/>
      <c r="CC244" s="9"/>
      <c r="CD244" s="9"/>
      <c r="CE244" s="9"/>
      <c r="CF244" s="9"/>
      <c r="CG244" s="9"/>
      <c r="CH244" s="9"/>
      <c r="CI244" s="9"/>
      <c r="CJ244" s="9"/>
      <c r="CK244" s="9"/>
    </row>
    <row r="245" spans="1:89" s="341" customFormat="1" ht="12.6" customHeight="1" x14ac:dyDescent="0.25">
      <c r="A245" s="324"/>
      <c r="B245" s="326"/>
      <c r="C245" s="334" t="str">
        <f>VLOOKUP(293,Textbausteine_102[],Hilfsgrössen!$D$2,FALSE)</f>
        <v xml:space="preserve">5) Lors de l’exercice 2021, l’effectif intègre également les valeurs du segment Swiss Post Solutions qui a été classé comme destiné à la vente depuis mi-décembre 2021. L’effectif des unités de personnel (hors SPS) s’élève à 33 207 pour l’exercice 2021 (ex. préc.: 32 696). L’effectif des unités de personnel à l’étranger (hors SPS) s’élève à 400 pour l’exercice 2021 (ex. préc.: 215). Le nombre de collaborateurs du groupe (hors SPS) s’élève à 46 944 pour l’année 2021 (ex. préc.: 47 254). Le nombre de collaborateurs du groupe à l’étranger (hors SPS) s’élève à 429 pour l’année 2021 (ex. préc.: 240).  Le groupe SPS a été vendu le 30 mars 2022.  Par conséquent, les valeurs sont indiquées sans SPS à partir de 2022. </v>
      </c>
      <c r="D245" s="393"/>
      <c r="E245" s="343"/>
      <c r="F245" s="327"/>
      <c r="G245" s="377"/>
      <c r="H245" s="100"/>
      <c r="I245" s="100"/>
      <c r="J245" s="100"/>
      <c r="K245" s="100"/>
      <c r="L245" s="100"/>
      <c r="M245" s="100"/>
      <c r="N245" s="100"/>
      <c r="O245" s="100"/>
      <c r="P245" s="100"/>
      <c r="Q245" s="100"/>
      <c r="R245" s="100"/>
      <c r="S245" s="100"/>
      <c r="T245" s="100"/>
      <c r="U245" s="100"/>
      <c r="V245" s="100"/>
      <c r="W245" s="100"/>
      <c r="X245" s="296"/>
      <c r="Y245" s="328"/>
      <c r="Z245" s="328"/>
      <c r="AB245" s="328"/>
      <c r="AC245" s="328"/>
      <c r="AD245" s="328"/>
      <c r="AE245" s="328"/>
      <c r="AF245" s="328"/>
      <c r="AG245" s="328"/>
      <c r="AH245" s="328"/>
      <c r="AI245" s="328"/>
      <c r="AJ245" s="328"/>
      <c r="AK245" s="328"/>
      <c r="AL245" s="328"/>
      <c r="AM245" s="328"/>
      <c r="AN245" s="328"/>
      <c r="AO245" s="328"/>
      <c r="AP245" s="328"/>
      <c r="AQ245" s="328"/>
      <c r="AR245" s="328"/>
      <c r="AS245" s="328"/>
      <c r="AT245" s="328"/>
      <c r="AU245" s="328"/>
      <c r="AV245" s="328"/>
      <c r="AW245" s="328"/>
      <c r="AX245" s="328"/>
      <c r="AY245" s="328"/>
      <c r="AZ245" s="328"/>
      <c r="BA245" s="328"/>
      <c r="BB245" s="328"/>
      <c r="BC245" s="328"/>
      <c r="BD245" s="328"/>
      <c r="BE245" s="328"/>
      <c r="BF245" s="328"/>
      <c r="BG245" s="328"/>
      <c r="BH245" s="328"/>
      <c r="BI245" s="328"/>
      <c r="BJ245" s="328"/>
      <c r="BK245" s="328"/>
      <c r="BL245" s="328"/>
      <c r="BM245" s="328"/>
      <c r="BN245" s="328"/>
      <c r="BO245" s="328"/>
      <c r="BP245" s="328"/>
      <c r="BQ245" s="328"/>
      <c r="BR245" s="328"/>
      <c r="BS245" s="328"/>
      <c r="BT245" s="328"/>
      <c r="BU245" s="328"/>
      <c r="BV245" s="328"/>
      <c r="BW245" s="328"/>
      <c r="BX245" s="328"/>
      <c r="BY245" s="328"/>
      <c r="BZ245" s="328"/>
      <c r="CA245" s="328"/>
      <c r="CB245" s="328"/>
      <c r="CC245" s="328"/>
      <c r="CD245" s="328"/>
      <c r="CE245" s="328"/>
      <c r="CF245" s="328"/>
      <c r="CG245" s="328"/>
      <c r="CH245" s="328"/>
      <c r="CI245" s="328"/>
      <c r="CJ245" s="328"/>
      <c r="CK245" s="328"/>
    </row>
    <row r="246" spans="1:89" s="8" customFormat="1" ht="12.6" customHeight="1" x14ac:dyDescent="0.25">
      <c r="A246" s="56"/>
      <c r="B246" s="1"/>
      <c r="C246" s="266" t="str">
        <f>VLOOKUP(294,Textbausteine_102[],Hilfsgrössen!$D$2,FALSE)</f>
        <v>6) Les segments Services logistiques, Services de communication et Services de mobilité existent depuis le 1er janvier 2021. Les fonctions et le management ont également été nouvellement créés (désignés comme autres jusqu’en 2020). Il n’existe aucune valeur de comparaison pour les exercices de 2019 et antérieurs.</v>
      </c>
      <c r="D246" s="16"/>
      <c r="E246" s="302"/>
      <c r="F246" s="11"/>
      <c r="G246" s="267"/>
      <c r="H246" s="100"/>
      <c r="I246" s="100"/>
      <c r="J246" s="100"/>
      <c r="K246" s="100"/>
      <c r="L246" s="100"/>
      <c r="M246" s="100"/>
      <c r="N246" s="100"/>
      <c r="O246" s="100"/>
      <c r="P246" s="100"/>
      <c r="Q246" s="100"/>
      <c r="R246" s="100"/>
      <c r="S246" s="100"/>
      <c r="T246" s="100"/>
      <c r="U246" s="100"/>
      <c r="V246" s="100"/>
      <c r="W246" s="100"/>
      <c r="X246" s="296"/>
      <c r="Y246" s="9"/>
      <c r="Z246" s="9"/>
      <c r="AA246" s="341"/>
      <c r="AB246" s="9"/>
      <c r="AC246" s="9"/>
      <c r="AD246" s="9"/>
      <c r="AE246" s="9"/>
      <c r="AF246" s="9"/>
      <c r="AG246" s="9"/>
      <c r="AH246" s="9"/>
      <c r="AI246" s="9"/>
      <c r="AJ246" s="9"/>
      <c r="AK246" s="9"/>
      <c r="AL246" s="9"/>
      <c r="AM246" s="9"/>
      <c r="AN246" s="9"/>
      <c r="AO246" s="9"/>
      <c r="AP246" s="9"/>
      <c r="AQ246" s="9"/>
      <c r="AR246" s="9"/>
      <c r="AS246" s="9"/>
      <c r="AT246" s="9"/>
      <c r="AU246" s="9"/>
      <c r="AV246" s="9"/>
      <c r="AW246" s="9"/>
      <c r="AX246" s="9"/>
      <c r="AY246" s="9"/>
      <c r="AZ246" s="9"/>
      <c r="BA246" s="9"/>
      <c r="BB246" s="9"/>
      <c r="BC246" s="9"/>
      <c r="BD246" s="9"/>
      <c r="BE246" s="9"/>
      <c r="BF246" s="9"/>
      <c r="BG246" s="9"/>
      <c r="BH246" s="9"/>
      <c r="BI246" s="9"/>
      <c r="BJ246" s="9"/>
      <c r="BK246" s="9"/>
      <c r="BL246" s="9"/>
      <c r="BM246" s="9"/>
      <c r="BN246" s="9"/>
      <c r="BO246" s="9"/>
      <c r="BP246" s="9"/>
      <c r="BQ246" s="9"/>
      <c r="BR246" s="9"/>
      <c r="BS246" s="9"/>
      <c r="BT246" s="9"/>
      <c r="BU246" s="9"/>
      <c r="BV246" s="9"/>
      <c r="BW246" s="9"/>
      <c r="BX246" s="9"/>
      <c r="BY246" s="9"/>
      <c r="BZ246" s="9"/>
      <c r="CA246" s="9"/>
      <c r="CB246" s="9"/>
      <c r="CC246" s="9"/>
      <c r="CD246" s="9"/>
      <c r="CE246" s="9"/>
      <c r="CF246" s="9"/>
      <c r="CG246" s="9"/>
      <c r="CH246" s="9"/>
      <c r="CI246" s="9"/>
      <c r="CJ246" s="9"/>
      <c r="CK246" s="9"/>
    </row>
    <row r="247" spans="1:89" s="8" customFormat="1" ht="12.6" customHeight="1" x14ac:dyDescent="0.2">
      <c r="A247" s="56"/>
      <c r="B247" s="1"/>
      <c r="C247" s="1"/>
      <c r="D247" s="1"/>
      <c r="E247" s="146"/>
      <c r="F247" s="9"/>
      <c r="G247" s="34"/>
      <c r="H247" s="11"/>
      <c r="I247" s="11"/>
      <c r="J247" s="11"/>
      <c r="K247" s="11"/>
      <c r="L247" s="11"/>
      <c r="M247" s="11"/>
      <c r="N247" s="9"/>
      <c r="O247" s="9"/>
      <c r="P247" s="9"/>
      <c r="Q247" s="9"/>
      <c r="R247" s="9"/>
      <c r="S247" s="9"/>
      <c r="T247" s="9"/>
      <c r="U247" s="9"/>
      <c r="V247" s="9"/>
      <c r="W247" s="9"/>
      <c r="X247" s="269"/>
      <c r="Y247" s="9"/>
      <c r="Z247" s="9"/>
      <c r="AA247" s="341"/>
      <c r="AB247" s="9"/>
      <c r="AC247" s="9"/>
      <c r="AD247" s="9"/>
      <c r="AE247" s="9"/>
      <c r="AF247" s="9"/>
      <c r="AG247" s="9"/>
      <c r="AH247" s="9"/>
      <c r="AI247" s="9"/>
      <c r="AJ247" s="9"/>
      <c r="AK247" s="9"/>
      <c r="AL247" s="9"/>
      <c r="AM247" s="9"/>
      <c r="AN247" s="9"/>
      <c r="AO247" s="9"/>
      <c r="AP247" s="9"/>
      <c r="AQ247" s="9"/>
      <c r="AR247" s="9"/>
      <c r="AS247" s="9"/>
      <c r="AT247" s="9"/>
      <c r="AU247" s="9"/>
      <c r="AV247" s="9"/>
      <c r="AW247" s="9"/>
      <c r="AX247" s="9"/>
      <c r="AY247" s="9"/>
      <c r="AZ247" s="9"/>
      <c r="BA247" s="9"/>
      <c r="BB247" s="9"/>
      <c r="BC247" s="9"/>
      <c r="BD247" s="9"/>
      <c r="BE247" s="9"/>
      <c r="BF247" s="9"/>
      <c r="BG247" s="9"/>
      <c r="BH247" s="9"/>
      <c r="BI247" s="9"/>
      <c r="BJ247" s="9"/>
      <c r="BK247" s="9"/>
      <c r="BL247" s="9"/>
      <c r="BM247" s="9"/>
      <c r="BN247" s="9"/>
      <c r="BO247" s="9"/>
      <c r="BP247" s="9"/>
      <c r="BQ247" s="9"/>
      <c r="BR247" s="9"/>
      <c r="BS247" s="9"/>
      <c r="BT247" s="9"/>
      <c r="BU247" s="9"/>
      <c r="BV247" s="9"/>
      <c r="BW247" s="9"/>
      <c r="BX247" s="9"/>
      <c r="BY247" s="9"/>
      <c r="BZ247" s="9"/>
      <c r="CA247" s="9"/>
      <c r="CB247" s="9"/>
      <c r="CC247" s="9"/>
      <c r="CD247" s="9"/>
      <c r="CE247" s="9"/>
      <c r="CF247" s="9"/>
      <c r="CG247" s="9"/>
      <c r="CH247" s="9"/>
      <c r="CI247" s="9"/>
      <c r="CJ247" s="9"/>
      <c r="CK247" s="9"/>
    </row>
    <row r="248" spans="1:89" s="78" customFormat="1" ht="12.6" customHeight="1" x14ac:dyDescent="0.2">
      <c r="A248" s="43" t="s">
        <v>27</v>
      </c>
      <c r="B248" s="401" t="str">
        <f>$C$13</f>
        <v>Répartition des sexes</v>
      </c>
      <c r="C248" s="401"/>
      <c r="D248" s="78" t="str">
        <f>VLOOKUP(32,Textbausteine_Menu[],Hilfsgrössen!$D$2,FALSE)</f>
        <v>Unité</v>
      </c>
      <c r="E248" s="147" t="str">
        <f>VLOOKUP(33,Textbausteine_Menu[],Hilfsgrössen!$D$2,FALSE)</f>
        <v>Notes</v>
      </c>
      <c r="F248" s="28" t="str">
        <f>VLOOKUP(34,Textbausteine_Menu[],Hilfsgrössen!$D$2,FALSE)</f>
        <v>GRI</v>
      </c>
      <c r="G248" s="33"/>
      <c r="H248" s="72">
        <v>2004</v>
      </c>
      <c r="I248" s="72">
        <v>2005</v>
      </c>
      <c r="J248" s="72">
        <v>2006</v>
      </c>
      <c r="K248" s="72">
        <v>2007</v>
      </c>
      <c r="L248" s="72">
        <v>2008</v>
      </c>
      <c r="M248" s="72">
        <v>2009</v>
      </c>
      <c r="N248" s="72">
        <v>2010</v>
      </c>
      <c r="O248" s="72">
        <v>2011</v>
      </c>
      <c r="P248" s="72">
        <v>2012</v>
      </c>
      <c r="Q248" s="72">
        <v>2013</v>
      </c>
      <c r="R248" s="72">
        <v>2014</v>
      </c>
      <c r="S248" s="72">
        <v>2015</v>
      </c>
      <c r="T248" s="74">
        <v>2016</v>
      </c>
      <c r="U248" s="74">
        <v>2017</v>
      </c>
      <c r="V248" s="74">
        <v>2018</v>
      </c>
      <c r="W248" s="74">
        <v>2019</v>
      </c>
      <c r="X248" s="241">
        <v>2020</v>
      </c>
      <c r="Y248" s="74">
        <v>2021</v>
      </c>
      <c r="Z248" s="74">
        <v>2022</v>
      </c>
      <c r="AA248" s="359"/>
      <c r="AB248" s="72"/>
      <c r="AC248" s="72"/>
      <c r="AD248" s="72"/>
      <c r="AE248" s="72"/>
      <c r="AF248" s="72"/>
      <c r="AG248" s="72"/>
      <c r="AH248" s="72"/>
      <c r="AI248" s="72"/>
      <c r="AJ248" s="72"/>
      <c r="AK248" s="72"/>
      <c r="AL248" s="72"/>
      <c r="AM248" s="72"/>
      <c r="AN248" s="72"/>
      <c r="AO248" s="72"/>
      <c r="AP248" s="72"/>
      <c r="AQ248" s="72"/>
      <c r="AR248" s="72"/>
      <c r="AS248" s="72"/>
      <c r="AT248" s="72"/>
      <c r="AU248" s="72"/>
      <c r="AV248" s="72"/>
      <c r="AW248" s="72"/>
      <c r="AX248" s="72"/>
      <c r="AY248" s="72"/>
      <c r="AZ248" s="72"/>
      <c r="BA248" s="72"/>
      <c r="BB248" s="72"/>
      <c r="BC248" s="72"/>
      <c r="BD248" s="72"/>
      <c r="BE248" s="72"/>
      <c r="BF248" s="72"/>
      <c r="BG248" s="72"/>
      <c r="BH248" s="72"/>
      <c r="BI248" s="72"/>
      <c r="BJ248" s="72"/>
      <c r="BK248" s="72"/>
      <c r="BL248" s="72"/>
      <c r="BM248" s="72"/>
      <c r="BN248" s="72"/>
      <c r="BO248" s="72"/>
      <c r="BP248" s="72"/>
      <c r="BQ248" s="72"/>
      <c r="BR248" s="72"/>
      <c r="BS248" s="72"/>
      <c r="BT248" s="72"/>
      <c r="BU248" s="72"/>
      <c r="BV248" s="72"/>
      <c r="BW248" s="72"/>
      <c r="BX248" s="72"/>
      <c r="BY248" s="72"/>
      <c r="BZ248" s="72"/>
      <c r="CA248" s="72"/>
      <c r="CB248" s="72"/>
      <c r="CC248" s="72"/>
      <c r="CD248" s="72"/>
      <c r="CE248" s="72"/>
      <c r="CF248" s="72"/>
      <c r="CG248" s="72"/>
      <c r="CH248" s="72"/>
      <c r="CI248" s="72"/>
      <c r="CJ248" s="72"/>
      <c r="CK248" s="72"/>
    </row>
    <row r="249" spans="1:89" s="42" customFormat="1" ht="12.6" customHeight="1" x14ac:dyDescent="0.2">
      <c r="A249" s="57"/>
      <c r="B249" s="401"/>
      <c r="C249" s="401"/>
      <c r="E249" s="145"/>
      <c r="F249" s="28"/>
      <c r="G249" s="34"/>
      <c r="H249" s="73"/>
      <c r="I249" s="73"/>
      <c r="J249" s="73"/>
      <c r="K249" s="73"/>
      <c r="L249" s="73"/>
      <c r="M249" s="73"/>
      <c r="N249" s="73"/>
      <c r="O249" s="73"/>
      <c r="P249" s="73"/>
      <c r="Q249" s="73"/>
      <c r="R249" s="73"/>
      <c r="S249" s="73"/>
      <c r="T249" s="75"/>
      <c r="U249" s="75"/>
      <c r="V249" s="75"/>
      <c r="W249" s="75"/>
      <c r="X249" s="242"/>
      <c r="Y249" s="75"/>
      <c r="Z249" s="75"/>
      <c r="AA249" s="360"/>
      <c r="AB249" s="73"/>
      <c r="AC249" s="73"/>
      <c r="AD249" s="73"/>
      <c r="AE249" s="73"/>
      <c r="AF249" s="73"/>
      <c r="AG249" s="73"/>
      <c r="AH249" s="73"/>
      <c r="AI249" s="73"/>
      <c r="AJ249" s="73"/>
      <c r="AK249" s="73"/>
      <c r="AL249" s="73"/>
      <c r="AM249" s="73"/>
      <c r="AN249" s="73"/>
      <c r="AO249" s="73"/>
      <c r="AP249" s="73"/>
      <c r="AQ249" s="73"/>
      <c r="AR249" s="73"/>
      <c r="AS249" s="73"/>
      <c r="AT249" s="73"/>
      <c r="AU249" s="73"/>
      <c r="AV249" s="73"/>
      <c r="AW249" s="73"/>
      <c r="AX249" s="73"/>
      <c r="AY249" s="73"/>
      <c r="AZ249" s="73"/>
      <c r="BA249" s="73"/>
      <c r="BB249" s="73"/>
      <c r="BC249" s="73"/>
      <c r="BD249" s="73"/>
      <c r="BE249" s="73"/>
      <c r="BF249" s="73"/>
      <c r="BG249" s="73"/>
      <c r="BH249" s="73"/>
      <c r="BI249" s="73"/>
      <c r="BJ249" s="73"/>
      <c r="BK249" s="73"/>
      <c r="BL249" s="73"/>
      <c r="BM249" s="73"/>
      <c r="BN249" s="73"/>
      <c r="BO249" s="73"/>
      <c r="BP249" s="73"/>
      <c r="BQ249" s="73"/>
      <c r="BR249" s="73"/>
      <c r="BS249" s="73"/>
      <c r="BT249" s="73"/>
      <c r="BU249" s="73"/>
      <c r="BV249" s="73"/>
      <c r="BW249" s="73"/>
      <c r="BX249" s="73"/>
      <c r="BY249" s="73"/>
      <c r="BZ249" s="73"/>
      <c r="CA249" s="73"/>
      <c r="CB249" s="73"/>
      <c r="CC249" s="73"/>
      <c r="CD249" s="73"/>
      <c r="CE249" s="73"/>
      <c r="CF249" s="73"/>
      <c r="CG249" s="73"/>
      <c r="CH249" s="73"/>
      <c r="CI249" s="73"/>
      <c r="CJ249" s="73"/>
      <c r="CK249" s="73"/>
    </row>
    <row r="250" spans="1:89" ht="12.6" customHeight="1" x14ac:dyDescent="0.2">
      <c r="B250" s="2"/>
      <c r="E250" s="148"/>
      <c r="G250" s="33"/>
      <c r="AA250" s="341"/>
    </row>
    <row r="251" spans="1:89" ht="12.6" customHeight="1" x14ac:dyDescent="0.2">
      <c r="B251" s="2" t="str">
        <f>VLOOKUP(37,Textbausteine_Menu[],Hilfsgrössen!$D$2,FALSE)</f>
        <v>Groupe Suisse</v>
      </c>
      <c r="C251" s="2"/>
      <c r="E251" s="148"/>
      <c r="T251" s="9"/>
      <c r="U251" s="9"/>
      <c r="V251" s="9"/>
      <c r="W251" s="9"/>
      <c r="X251" s="269"/>
      <c r="Y251" s="9"/>
      <c r="Z251" s="9"/>
      <c r="AA251" s="341"/>
    </row>
    <row r="252" spans="1:89" ht="12.6" customHeight="1" x14ac:dyDescent="0.2">
      <c r="C252" s="48" t="str">
        <f>VLOOKUP(181,Textbausteine_102[],Hilfsgrössen!$D$2,FALSE)</f>
        <v>Hommes</v>
      </c>
      <c r="D252" s="16" t="str">
        <f>VLOOKUP(37,Textbausteine_102[],Hilfsgrössen!$D$2,FALSE)</f>
        <v>% des personnes</v>
      </c>
      <c r="E252" s="148" t="s">
        <v>70</v>
      </c>
      <c r="F252" s="94" t="s">
        <v>3168</v>
      </c>
      <c r="H252" s="11">
        <v>51.7</v>
      </c>
      <c r="I252" s="11">
        <v>51.4</v>
      </c>
      <c r="J252" s="11">
        <v>51.3</v>
      </c>
      <c r="K252" s="11">
        <v>51.1</v>
      </c>
      <c r="L252" s="11">
        <v>51.5</v>
      </c>
      <c r="M252" s="11">
        <v>51.5</v>
      </c>
      <c r="N252" s="11">
        <v>52.1</v>
      </c>
      <c r="O252" s="9">
        <v>52.3</v>
      </c>
      <c r="P252" s="9">
        <v>51.6</v>
      </c>
      <c r="Q252" s="9">
        <v>51.5</v>
      </c>
      <c r="R252" s="9">
        <v>51.3</v>
      </c>
      <c r="S252" s="9">
        <v>51.551615634518697</v>
      </c>
      <c r="T252" s="9">
        <v>51.9</v>
      </c>
      <c r="U252" s="9">
        <v>52.5</v>
      </c>
      <c r="V252" s="9">
        <v>53.74</v>
      </c>
      <c r="W252" s="9">
        <v>55</v>
      </c>
      <c r="X252" s="269">
        <v>55.911088597341099</v>
      </c>
      <c r="Y252" s="9">
        <v>57.0318263123051</v>
      </c>
      <c r="Z252" s="9">
        <v>58.025250894895073</v>
      </c>
      <c r="AA252" s="349"/>
    </row>
    <row r="253" spans="1:89" ht="12.6" customHeight="1" x14ac:dyDescent="0.2">
      <c r="C253" s="52" t="str">
        <f>VLOOKUP(182,Textbausteine_102[],Hilfsgrössen!$D$2,FALSE)</f>
        <v>Femmes</v>
      </c>
      <c r="D253" s="16" t="str">
        <f>VLOOKUP(37,Textbausteine_102[],Hilfsgrössen!$D$2,FALSE)</f>
        <v>% des personnes</v>
      </c>
      <c r="E253" s="148" t="s">
        <v>70</v>
      </c>
      <c r="F253" s="94" t="s">
        <v>3168</v>
      </c>
      <c r="H253" s="11">
        <v>48.3</v>
      </c>
      <c r="I253" s="11">
        <v>48.6</v>
      </c>
      <c r="J253" s="11">
        <v>48.7</v>
      </c>
      <c r="K253" s="11">
        <v>48.9</v>
      </c>
      <c r="L253" s="11">
        <v>48.5</v>
      </c>
      <c r="M253" s="11">
        <v>48.5</v>
      </c>
      <c r="N253" s="11">
        <v>47.9</v>
      </c>
      <c r="O253" s="9">
        <v>47.7</v>
      </c>
      <c r="P253" s="9">
        <v>48.4</v>
      </c>
      <c r="Q253" s="9">
        <v>48.5</v>
      </c>
      <c r="R253" s="9">
        <v>48.7</v>
      </c>
      <c r="S253" s="9">
        <v>48.448384365481303</v>
      </c>
      <c r="T253" s="9">
        <v>48.1</v>
      </c>
      <c r="U253" s="9">
        <v>47.5</v>
      </c>
      <c r="V253" s="9">
        <v>46.26</v>
      </c>
      <c r="W253" s="9">
        <v>45</v>
      </c>
      <c r="X253" s="269">
        <v>44.088911402658873</v>
      </c>
      <c r="Y253" s="9">
        <v>42.968173687694886</v>
      </c>
      <c r="Z253" s="9">
        <v>41.974749105104927</v>
      </c>
      <c r="AA253" s="349"/>
    </row>
    <row r="254" spans="1:89" ht="12.6" customHeight="1" x14ac:dyDescent="0.2">
      <c r="C254" s="48" t="str">
        <f>VLOOKUP(181,Textbausteine_102[],Hilfsgrössen!$D$2,FALSE)</f>
        <v>Hommes</v>
      </c>
      <c r="D254" s="16" t="str">
        <f>VLOOKUP(36,Textbausteine_102[],Hilfsgrössen!$D$2,FALSE)</f>
        <v>% des unités de personnel</v>
      </c>
      <c r="E254" s="148" t="s">
        <v>69</v>
      </c>
      <c r="F254" s="94" t="s">
        <v>3168</v>
      </c>
      <c r="H254" s="11">
        <v>63.3</v>
      </c>
      <c r="I254" s="11">
        <v>63.1</v>
      </c>
      <c r="J254" s="11">
        <v>62.9</v>
      </c>
      <c r="K254" s="11">
        <v>62.6</v>
      </c>
      <c r="L254" s="11">
        <v>62.2</v>
      </c>
      <c r="M254" s="11">
        <v>61.7</v>
      </c>
      <c r="N254" s="11">
        <v>61.2</v>
      </c>
      <c r="O254" s="9">
        <v>60.8</v>
      </c>
      <c r="P254" s="9">
        <v>60.1</v>
      </c>
      <c r="Q254" s="9">
        <v>59.9</v>
      </c>
      <c r="R254" s="9">
        <v>59.8</v>
      </c>
      <c r="S254" s="9">
        <v>59.819801842260503</v>
      </c>
      <c r="T254" s="9">
        <v>60.1</v>
      </c>
      <c r="U254" s="9">
        <v>60.7</v>
      </c>
      <c r="V254" s="9">
        <v>61.54</v>
      </c>
      <c r="W254" s="9">
        <v>62.6</v>
      </c>
      <c r="X254" s="269">
        <v>63.460750610605679</v>
      </c>
      <c r="Y254" s="9">
        <v>64.307454456485303</v>
      </c>
      <c r="Z254" s="9">
        <v>65.007136209704186</v>
      </c>
      <c r="AA254" s="349"/>
    </row>
    <row r="255" spans="1:89" ht="12.6" customHeight="1" x14ac:dyDescent="0.2">
      <c r="C255" s="52" t="str">
        <f>VLOOKUP(182,Textbausteine_102[],Hilfsgrössen!$D$2,FALSE)</f>
        <v>Femmes</v>
      </c>
      <c r="D255" s="16" t="str">
        <f>VLOOKUP(36,Textbausteine_102[],Hilfsgrössen!$D$2,FALSE)</f>
        <v>% des unités de personnel</v>
      </c>
      <c r="E255" s="148" t="s">
        <v>69</v>
      </c>
      <c r="F255" s="94" t="s">
        <v>3168</v>
      </c>
      <c r="H255" s="11">
        <v>36.700000000000003</v>
      </c>
      <c r="I255" s="11">
        <v>36.9</v>
      </c>
      <c r="J255" s="11">
        <v>37.1</v>
      </c>
      <c r="K255" s="11">
        <v>37.4</v>
      </c>
      <c r="L255" s="11">
        <v>37.799999999999997</v>
      </c>
      <c r="M255" s="11">
        <v>38.299999999999997</v>
      </c>
      <c r="N255" s="11">
        <v>38.799999999999997</v>
      </c>
      <c r="O255" s="9">
        <v>39.200000000000003</v>
      </c>
      <c r="P255" s="9">
        <v>39.9</v>
      </c>
      <c r="Q255" s="9">
        <v>40.1</v>
      </c>
      <c r="R255" s="9">
        <v>40.200000000000003</v>
      </c>
      <c r="S255" s="9">
        <v>40.180198157739603</v>
      </c>
      <c r="T255" s="9">
        <v>39.9</v>
      </c>
      <c r="U255" s="9">
        <v>39.299999999999997</v>
      </c>
      <c r="V255" s="9">
        <v>38.46</v>
      </c>
      <c r="W255" s="9">
        <v>37.4</v>
      </c>
      <c r="X255" s="269">
        <v>36.539249389394321</v>
      </c>
      <c r="Y255" s="9">
        <v>35.692545543514683</v>
      </c>
      <c r="Z255" s="9">
        <v>34.992863790295807</v>
      </c>
      <c r="AA255" s="349"/>
    </row>
    <row r="256" spans="1:89" ht="12.6" customHeight="1" x14ac:dyDescent="0.2">
      <c r="C256" s="13"/>
      <c r="E256" s="149"/>
      <c r="F256" s="31"/>
      <c r="H256" s="91"/>
      <c r="I256" s="91"/>
      <c r="J256" s="91"/>
      <c r="K256" s="91"/>
      <c r="L256" s="91"/>
      <c r="M256" s="91"/>
      <c r="N256" s="11"/>
      <c r="O256" s="11"/>
      <c r="R256" s="91"/>
      <c r="S256" s="91"/>
      <c r="T256" s="9"/>
      <c r="U256" s="9"/>
      <c r="V256" s="9"/>
      <c r="W256" s="9"/>
      <c r="X256" s="269"/>
      <c r="Y256" s="9"/>
      <c r="Z256" s="9"/>
      <c r="AA256" s="341"/>
    </row>
    <row r="257" spans="1:89" ht="12.6" customHeight="1" x14ac:dyDescent="0.25">
      <c r="B257" s="18"/>
      <c r="C257" s="13"/>
      <c r="E257" s="149"/>
      <c r="F257" s="31"/>
      <c r="H257" s="91"/>
      <c r="I257" s="91"/>
      <c r="J257" s="91"/>
      <c r="K257" s="91"/>
      <c r="L257" s="91"/>
      <c r="M257" s="91"/>
      <c r="N257" s="11"/>
      <c r="O257" s="11"/>
      <c r="R257" s="91"/>
      <c r="S257" s="91"/>
      <c r="T257" s="9"/>
      <c r="U257" s="9"/>
      <c r="V257" s="9"/>
      <c r="W257" s="9"/>
      <c r="X257" s="269"/>
      <c r="Y257" s="9"/>
      <c r="Z257" s="9"/>
      <c r="AA257" s="341"/>
    </row>
    <row r="258" spans="1:89" ht="12.6" customHeight="1" x14ac:dyDescent="0.25">
      <c r="B258" s="18" t="str">
        <f>VLOOKUP(299,Textbausteine_102[],Hilfsgrössen!$D$2,FALSE)</f>
        <v>1) Sans les apprentis</v>
      </c>
      <c r="C258" s="13"/>
      <c r="E258" s="149"/>
      <c r="F258" s="31"/>
      <c r="H258" s="91"/>
      <c r="I258" s="91"/>
      <c r="J258" s="91"/>
      <c r="K258" s="91"/>
      <c r="L258" s="91"/>
      <c r="M258" s="91"/>
      <c r="N258" s="11"/>
      <c r="O258" s="11"/>
      <c r="R258" s="91"/>
      <c r="S258" s="91"/>
      <c r="T258" s="9"/>
      <c r="U258" s="9"/>
      <c r="V258" s="9"/>
      <c r="W258" s="9"/>
      <c r="X258" s="269"/>
      <c r="Y258" s="9"/>
      <c r="Z258" s="9"/>
      <c r="AA258" s="341"/>
    </row>
    <row r="259" spans="1:89" ht="12.6" customHeight="1" x14ac:dyDescent="0.25">
      <c r="B259" s="18" t="str">
        <f>VLOOKUP(300,Textbausteine_102[],Hilfsgrössen!$D$2,FALSE)</f>
        <v>2) Une unité de personnel correspond à un poste à plein temps.</v>
      </c>
      <c r="C259" s="13"/>
      <c r="E259" s="149"/>
      <c r="F259" s="31"/>
      <c r="H259" s="91"/>
      <c r="I259" s="91"/>
      <c r="J259" s="91"/>
      <c r="K259" s="91"/>
      <c r="L259" s="91"/>
      <c r="M259" s="91"/>
      <c r="N259" s="11"/>
      <c r="O259" s="11"/>
      <c r="R259" s="91"/>
      <c r="S259" s="91"/>
      <c r="T259" s="9"/>
      <c r="U259" s="9"/>
      <c r="V259" s="9"/>
      <c r="W259" s="9"/>
      <c r="X259" s="269"/>
      <c r="Y259" s="9"/>
      <c r="Z259" s="9"/>
      <c r="AA259" s="341"/>
    </row>
    <row r="260" spans="1:89" ht="12.6" customHeight="1" x14ac:dyDescent="0.25">
      <c r="B260" s="18" t="str">
        <f>VLOOKUP(301,Textbausteine_102[],Hilfsgrössen!$D$2,FALSE)</f>
        <v>3) Valeurs annuelles moyennes</v>
      </c>
      <c r="C260" s="13"/>
      <c r="H260" s="91"/>
      <c r="I260" s="91"/>
      <c r="J260" s="91"/>
      <c r="K260" s="91"/>
      <c r="L260" s="91"/>
      <c r="M260" s="91"/>
      <c r="N260" s="11"/>
      <c r="O260" s="11"/>
      <c r="R260" s="91"/>
      <c r="S260" s="91"/>
      <c r="T260" s="9"/>
      <c r="U260" s="9"/>
      <c r="V260" s="9"/>
      <c r="W260" s="9"/>
      <c r="X260" s="269"/>
      <c r="Y260" s="9"/>
      <c r="Z260" s="9"/>
      <c r="AA260" s="341"/>
    </row>
    <row r="261" spans="1:89" ht="12.6" customHeight="1" x14ac:dyDescent="0.2">
      <c r="C261" s="13"/>
      <c r="H261" s="91"/>
      <c r="I261" s="91"/>
      <c r="J261" s="91"/>
      <c r="K261" s="91"/>
      <c r="L261" s="91"/>
      <c r="M261" s="91"/>
      <c r="N261" s="11"/>
      <c r="O261" s="11"/>
      <c r="R261" s="91"/>
      <c r="S261" s="91"/>
      <c r="T261" s="9"/>
      <c r="U261" s="9"/>
      <c r="V261" s="9"/>
      <c r="W261" s="9"/>
      <c r="X261" s="269"/>
      <c r="Y261" s="9"/>
      <c r="Z261" s="9"/>
      <c r="AA261" s="341"/>
    </row>
    <row r="262" spans="1:89" s="42" customFormat="1" ht="12.6" customHeight="1" x14ac:dyDescent="0.2">
      <c r="A262" s="43" t="s">
        <v>27</v>
      </c>
      <c r="B262" s="404" t="str">
        <f>$C$14</f>
        <v>Temps partiel</v>
      </c>
      <c r="C262" s="404" t="str">
        <f>VLOOKUP(53,Textbausteine_102[],Hilfsgrössen!$D$2,FALSE)</f>
        <v>Part au total du bilan</v>
      </c>
      <c r="D262" s="78" t="str">
        <f>VLOOKUP(32,Textbausteine_Menu[],Hilfsgrössen!$D$2,FALSE)</f>
        <v>Unité</v>
      </c>
      <c r="E262" s="147" t="str">
        <f>VLOOKUP(33,Textbausteine_Menu[],Hilfsgrössen!$D$2,FALSE)</f>
        <v>Notes</v>
      </c>
      <c r="F262" s="28" t="str">
        <f>VLOOKUP(34,Textbausteine_Menu[],Hilfsgrössen!$D$2,FALSE)</f>
        <v>GRI</v>
      </c>
      <c r="G262" s="34"/>
      <c r="H262" s="72">
        <v>2004</v>
      </c>
      <c r="I262" s="72">
        <v>2005</v>
      </c>
      <c r="J262" s="72">
        <v>2006</v>
      </c>
      <c r="K262" s="72">
        <v>2007</v>
      </c>
      <c r="L262" s="72">
        <v>2008</v>
      </c>
      <c r="M262" s="72">
        <v>2009</v>
      </c>
      <c r="N262" s="72">
        <v>2010</v>
      </c>
      <c r="O262" s="72">
        <v>2011</v>
      </c>
      <c r="P262" s="72">
        <v>2012</v>
      </c>
      <c r="Q262" s="72">
        <v>2013</v>
      </c>
      <c r="R262" s="72">
        <v>2014</v>
      </c>
      <c r="S262" s="72">
        <v>2015</v>
      </c>
      <c r="T262" s="74">
        <v>2016</v>
      </c>
      <c r="U262" s="74">
        <v>2017</v>
      </c>
      <c r="V262" s="74">
        <v>2018</v>
      </c>
      <c r="W262" s="74">
        <v>2019</v>
      </c>
      <c r="X262" s="241">
        <v>2020</v>
      </c>
      <c r="Y262" s="74">
        <v>2021</v>
      </c>
      <c r="Z262" s="74">
        <v>2022</v>
      </c>
      <c r="AA262" s="360"/>
      <c r="AB262" s="73"/>
      <c r="AC262" s="73"/>
      <c r="AD262" s="73"/>
      <c r="AE262" s="73"/>
      <c r="AF262" s="73"/>
      <c r="AG262" s="73"/>
      <c r="AH262" s="73"/>
      <c r="AI262" s="73"/>
      <c r="AJ262" s="73"/>
      <c r="AK262" s="73"/>
      <c r="AL262" s="73"/>
      <c r="AM262" s="73"/>
      <c r="AN262" s="73"/>
      <c r="AO262" s="73"/>
      <c r="AP262" s="73"/>
      <c r="AQ262" s="73"/>
      <c r="AR262" s="73"/>
      <c r="AS262" s="73"/>
      <c r="AT262" s="73"/>
      <c r="AU262" s="73"/>
      <c r="AV262" s="73"/>
      <c r="AW262" s="73"/>
      <c r="AX262" s="73"/>
      <c r="AY262" s="73"/>
      <c r="AZ262" s="73"/>
      <c r="BA262" s="73"/>
      <c r="BB262" s="73"/>
      <c r="BC262" s="73"/>
      <c r="BD262" s="73"/>
      <c r="BE262" s="73"/>
      <c r="BF262" s="73"/>
      <c r="BG262" s="73"/>
      <c r="BH262" s="73"/>
      <c r="BI262" s="73"/>
      <c r="BJ262" s="73"/>
      <c r="BK262" s="73"/>
      <c r="BL262" s="73"/>
      <c r="BM262" s="73"/>
      <c r="BN262" s="73"/>
      <c r="BO262" s="73"/>
      <c r="BP262" s="73"/>
      <c r="BQ262" s="73"/>
      <c r="BR262" s="73"/>
      <c r="BS262" s="73"/>
      <c r="BT262" s="73"/>
      <c r="BU262" s="73"/>
      <c r="BV262" s="73"/>
      <c r="BW262" s="73"/>
      <c r="BX262" s="73"/>
      <c r="BY262" s="73"/>
      <c r="BZ262" s="73"/>
      <c r="CA262" s="73"/>
      <c r="CB262" s="73"/>
      <c r="CC262" s="73"/>
      <c r="CD262" s="73"/>
      <c r="CE262" s="73"/>
      <c r="CF262" s="73"/>
      <c r="CG262" s="73"/>
      <c r="CH262" s="73"/>
      <c r="CI262" s="73"/>
      <c r="CJ262" s="73"/>
      <c r="CK262" s="73"/>
    </row>
    <row r="263" spans="1:89" s="42" customFormat="1" ht="12.6" customHeight="1" x14ac:dyDescent="0.2">
      <c r="A263" s="57"/>
      <c r="B263" s="404" t="str">
        <f>VLOOKUP(53,Textbausteine_102[],Hilfsgrössen!$D$2,FALSE)</f>
        <v>Part au total du bilan</v>
      </c>
      <c r="C263" s="404" t="str">
        <f>VLOOKUP(53,Textbausteine_102[],Hilfsgrössen!$D$2,FALSE)</f>
        <v>Part au total du bilan</v>
      </c>
      <c r="D263" s="78"/>
      <c r="E263" s="146"/>
      <c r="F263" s="9"/>
      <c r="G263" s="34"/>
      <c r="H263" s="72"/>
      <c r="I263" s="72"/>
      <c r="J263" s="72"/>
      <c r="K263" s="72"/>
      <c r="L263" s="72"/>
      <c r="M263" s="72"/>
      <c r="N263" s="72"/>
      <c r="O263" s="72"/>
      <c r="P263" s="72"/>
      <c r="Q263" s="72"/>
      <c r="R263" s="72"/>
      <c r="S263" s="72"/>
      <c r="T263" s="74"/>
      <c r="U263" s="74"/>
      <c r="V263" s="74"/>
      <c r="W263" s="74"/>
      <c r="X263" s="241"/>
      <c r="Y263" s="74"/>
      <c r="Z263" s="74"/>
      <c r="AA263" s="360"/>
      <c r="AB263" s="73"/>
      <c r="AC263" s="73"/>
      <c r="AD263" s="73"/>
      <c r="AE263" s="73"/>
      <c r="AF263" s="73"/>
      <c r="AG263" s="73"/>
      <c r="AH263" s="73"/>
      <c r="AI263" s="73"/>
      <c r="AJ263" s="73"/>
      <c r="AK263" s="73"/>
      <c r="AL263" s="73"/>
      <c r="AM263" s="73"/>
      <c r="AN263" s="73"/>
      <c r="AO263" s="73"/>
      <c r="AP263" s="73"/>
      <c r="AQ263" s="73"/>
      <c r="AR263" s="73"/>
      <c r="AS263" s="73"/>
      <c r="AT263" s="73"/>
      <c r="AU263" s="73"/>
      <c r="AV263" s="73"/>
      <c r="AW263" s="73"/>
      <c r="AX263" s="73"/>
      <c r="AY263" s="73"/>
      <c r="AZ263" s="73"/>
      <c r="BA263" s="73"/>
      <c r="BB263" s="73"/>
      <c r="BC263" s="73"/>
      <c r="BD263" s="73"/>
      <c r="BE263" s="73"/>
      <c r="BF263" s="73"/>
      <c r="BG263" s="73"/>
      <c r="BH263" s="73"/>
      <c r="BI263" s="73"/>
      <c r="BJ263" s="73"/>
      <c r="BK263" s="73"/>
      <c r="BL263" s="73"/>
      <c r="BM263" s="73"/>
      <c r="BN263" s="73"/>
      <c r="BO263" s="73"/>
      <c r="BP263" s="73"/>
      <c r="BQ263" s="73"/>
      <c r="BR263" s="73"/>
      <c r="BS263" s="73"/>
      <c r="BT263" s="73"/>
      <c r="BU263" s="73"/>
      <c r="BV263" s="73"/>
      <c r="BW263" s="73"/>
      <c r="BX263" s="73"/>
      <c r="BY263" s="73"/>
      <c r="BZ263" s="73"/>
      <c r="CA263" s="73"/>
      <c r="CB263" s="73"/>
      <c r="CC263" s="73"/>
      <c r="CD263" s="73"/>
      <c r="CE263" s="73"/>
      <c r="CF263" s="73"/>
      <c r="CG263" s="73"/>
      <c r="CH263" s="73"/>
      <c r="CI263" s="73"/>
      <c r="CJ263" s="73"/>
      <c r="CK263" s="73"/>
    </row>
    <row r="264" spans="1:89" ht="12.6" customHeight="1" x14ac:dyDescent="0.2">
      <c r="C264" s="2"/>
      <c r="D264" s="2"/>
      <c r="AA264" s="341"/>
    </row>
    <row r="265" spans="1:89" ht="12.6" customHeight="1" x14ac:dyDescent="0.2">
      <c r="B265" s="2" t="str">
        <f>VLOOKUP(37,Textbausteine_Menu[],Hilfsgrössen!$D$2,FALSE)</f>
        <v>Groupe Suisse</v>
      </c>
      <c r="C265" s="2"/>
      <c r="D265" s="2"/>
      <c r="AA265" s="341"/>
    </row>
    <row r="266" spans="1:89" ht="12.6" customHeight="1" x14ac:dyDescent="0.2">
      <c r="C266" s="2" t="str">
        <f>VLOOKUP(191,Textbausteine_102[],Hilfsgrössen!$D$2,FALSE)</f>
        <v>Taux d'occupation</v>
      </c>
      <c r="AA266" s="341"/>
    </row>
    <row r="267" spans="1:89" ht="12.6" customHeight="1" x14ac:dyDescent="0.2">
      <c r="C267" s="13" t="str">
        <f>VLOOKUP(192,Textbausteine_102[],Hilfsgrössen!$D$2,FALSE)</f>
        <v>Taux d'occupation inférieur à 50%, total</v>
      </c>
      <c r="D267" s="1" t="str">
        <f>VLOOKUP(21,Textbausteine_102[],Hilfsgrössen!$D$2,FALSE)</f>
        <v>%</v>
      </c>
      <c r="E267" s="146" t="s">
        <v>69</v>
      </c>
      <c r="F267" s="94" t="s">
        <v>3168</v>
      </c>
      <c r="H267" s="99">
        <v>23.5</v>
      </c>
      <c r="I267" s="102">
        <v>23.8</v>
      </c>
      <c r="J267" s="102">
        <v>23.4</v>
      </c>
      <c r="K267" s="102">
        <v>23.3</v>
      </c>
      <c r="L267" s="99">
        <v>22.8</v>
      </c>
      <c r="M267" s="99">
        <v>20.9</v>
      </c>
      <c r="N267" s="9">
        <v>26.4</v>
      </c>
      <c r="O267" s="9">
        <v>26.2</v>
      </c>
      <c r="P267" s="9">
        <v>25.4</v>
      </c>
      <c r="Q267" s="9">
        <v>25.2</v>
      </c>
      <c r="R267" s="9">
        <v>24.5</v>
      </c>
      <c r="S267" s="9">
        <v>24</v>
      </c>
      <c r="T267" s="9">
        <v>23.4</v>
      </c>
      <c r="U267" s="9">
        <v>23</v>
      </c>
      <c r="V267" s="9">
        <v>22</v>
      </c>
      <c r="W267" s="9">
        <v>20.7</v>
      </c>
      <c r="X267" s="269">
        <v>19.208270067920832</v>
      </c>
      <c r="Y267" s="11">
        <v>18.18740472941159</v>
      </c>
      <c r="Z267" s="11">
        <v>16.824703401216535</v>
      </c>
      <c r="AA267" s="349"/>
    </row>
    <row r="268" spans="1:89" ht="12.6" customHeight="1" x14ac:dyDescent="0.2">
      <c r="C268" s="13" t="str">
        <f>VLOOKUP(193,Textbausteine_102[],Hilfsgrössen!$D$2,FALSE)</f>
        <v>Taux d'occupation entre 50% et 89%, total</v>
      </c>
      <c r="D268" s="1" t="str">
        <f>VLOOKUP(21,Textbausteine_102[],Hilfsgrössen!$D$2,FALSE)</f>
        <v>%</v>
      </c>
      <c r="E268" s="146" t="s">
        <v>69</v>
      </c>
      <c r="F268" s="94" t="s">
        <v>3168</v>
      </c>
      <c r="H268" s="99">
        <v>18.100000000000001</v>
      </c>
      <c r="I268" s="102">
        <v>18.899999999999999</v>
      </c>
      <c r="J268" s="102">
        <v>19.899999999999999</v>
      </c>
      <c r="K268" s="102">
        <v>20.6</v>
      </c>
      <c r="L268" s="99">
        <v>21.5</v>
      </c>
      <c r="M268" s="99">
        <v>22.9</v>
      </c>
      <c r="N268" s="9">
        <v>21.6</v>
      </c>
      <c r="O268" s="9">
        <v>22.4</v>
      </c>
      <c r="P268" s="9">
        <v>23.2</v>
      </c>
      <c r="Q268" s="9">
        <v>23.9</v>
      </c>
      <c r="R268" s="9">
        <v>24.5</v>
      </c>
      <c r="S268" s="9">
        <v>24.8</v>
      </c>
      <c r="T268" s="9">
        <v>25.3</v>
      </c>
      <c r="U268" s="9">
        <v>25.6</v>
      </c>
      <c r="V268" s="9">
        <v>25.6</v>
      </c>
      <c r="W268" s="9">
        <v>26</v>
      </c>
      <c r="X268" s="269">
        <v>26.128631863596151</v>
      </c>
      <c r="Y268" s="11">
        <v>25.666993878740001</v>
      </c>
      <c r="Z268" s="11">
        <v>26.644016318022324</v>
      </c>
      <c r="AA268" s="349"/>
    </row>
    <row r="269" spans="1:89" ht="12.6" customHeight="1" x14ac:dyDescent="0.2">
      <c r="C269" s="13" t="str">
        <f>VLOOKUP(194,Textbausteine_102[],Hilfsgrössen!$D$2,FALSE)</f>
        <v>Taux d'occupation égal ou supérieur à 90% (plein temps), total</v>
      </c>
      <c r="D269" s="1" t="str">
        <f>VLOOKUP(21,Textbausteine_102[],Hilfsgrössen!$D$2,FALSE)</f>
        <v>%</v>
      </c>
      <c r="E269" s="146" t="s">
        <v>69</v>
      </c>
      <c r="F269" s="94" t="s">
        <v>3168</v>
      </c>
      <c r="H269" s="99">
        <v>58.4</v>
      </c>
      <c r="I269" s="99">
        <v>57.3</v>
      </c>
      <c r="J269" s="99">
        <v>56.7</v>
      </c>
      <c r="K269" s="99">
        <v>56.099999999999994</v>
      </c>
      <c r="L269" s="99">
        <v>55.7</v>
      </c>
      <c r="M269" s="99">
        <v>56.2</v>
      </c>
      <c r="N269" s="9">
        <v>52</v>
      </c>
      <c r="O269" s="9">
        <v>51.4</v>
      </c>
      <c r="P269" s="9">
        <v>51.4</v>
      </c>
      <c r="Q269" s="9">
        <v>50.9</v>
      </c>
      <c r="R269" s="9">
        <v>50.9</v>
      </c>
      <c r="S269" s="9">
        <v>51.2</v>
      </c>
      <c r="T269" s="9">
        <v>51.2</v>
      </c>
      <c r="U269" s="9">
        <v>51.4</v>
      </c>
      <c r="V269" s="9">
        <v>52.4</v>
      </c>
      <c r="W269" s="9">
        <v>53.3</v>
      </c>
      <c r="X269" s="269">
        <v>54.663098068483073</v>
      </c>
      <c r="Y269" s="11">
        <v>56.145601391848423</v>
      </c>
      <c r="Z269" s="11">
        <v>56.531280280761152</v>
      </c>
      <c r="AA269" s="349"/>
    </row>
    <row r="270" spans="1:89" ht="12.6" customHeight="1" x14ac:dyDescent="0.2">
      <c r="H270" s="102"/>
      <c r="I270" s="102"/>
      <c r="J270" s="102"/>
      <c r="K270" s="102"/>
      <c r="L270" s="99"/>
      <c r="M270" s="99"/>
      <c r="T270" s="9"/>
      <c r="U270" s="9"/>
      <c r="V270" s="9"/>
      <c r="W270" s="9"/>
      <c r="X270" s="269"/>
      <c r="AA270" s="341"/>
    </row>
    <row r="271" spans="1:89" ht="12.6" customHeight="1" x14ac:dyDescent="0.2">
      <c r="C271" s="2" t="str">
        <f>VLOOKUP(195,Textbausteine_102[],Hilfsgrössen!$D$2,FALSE)</f>
        <v>Taux d'occupation des hommes</v>
      </c>
      <c r="F271" s="94" t="s">
        <v>3168</v>
      </c>
      <c r="H271" s="102"/>
      <c r="I271" s="102"/>
      <c r="J271" s="102"/>
      <c r="K271" s="102"/>
      <c r="L271" s="99"/>
      <c r="M271" s="99"/>
      <c r="T271" s="9"/>
      <c r="U271" s="9"/>
      <c r="V271" s="9"/>
      <c r="W271" s="9"/>
      <c r="X271" s="269"/>
      <c r="AA271" s="341"/>
    </row>
    <row r="272" spans="1:89" ht="12.6" customHeight="1" x14ac:dyDescent="0.2">
      <c r="C272" s="13" t="str">
        <f>VLOOKUP(196,Textbausteine_102[],Hilfsgrössen!$D$2,FALSE)</f>
        <v>Taux d'occupation inférieur à 50%, hommes</v>
      </c>
      <c r="D272" s="1" t="str">
        <f>VLOOKUP(21,Textbausteine_102[],Hilfsgrössen!$D$2,FALSE)</f>
        <v>%</v>
      </c>
      <c r="E272" s="146" t="s">
        <v>69</v>
      </c>
      <c r="F272" s="94" t="s">
        <v>3168</v>
      </c>
      <c r="H272" s="125">
        <v>6.6</v>
      </c>
      <c r="I272" s="131">
        <v>6.9</v>
      </c>
      <c r="J272" s="131">
        <v>6.6</v>
      </c>
      <c r="K272" s="131">
        <v>6.8</v>
      </c>
      <c r="L272" s="125">
        <v>7.7</v>
      </c>
      <c r="M272" s="125">
        <v>7.2</v>
      </c>
      <c r="N272" s="9">
        <v>15.2</v>
      </c>
      <c r="O272" s="9">
        <v>16.3</v>
      </c>
      <c r="P272" s="9">
        <v>16.3</v>
      </c>
      <c r="Q272" s="9">
        <v>16.7</v>
      </c>
      <c r="R272" s="9">
        <v>16.5</v>
      </c>
      <c r="S272" s="9">
        <v>16.5</v>
      </c>
      <c r="T272" s="9">
        <v>16.3</v>
      </c>
      <c r="U272" s="9">
        <v>15.9</v>
      </c>
      <c r="V272" s="9">
        <v>15.4</v>
      </c>
      <c r="W272" s="9">
        <v>14.5</v>
      </c>
      <c r="X272" s="269">
        <v>13.547124725112953</v>
      </c>
      <c r="Y272" s="11">
        <v>12.995691790486417</v>
      </c>
      <c r="Z272" s="11">
        <v>12.197113702023676</v>
      </c>
      <c r="AA272" s="349"/>
    </row>
    <row r="273" spans="1:89" ht="12.6" customHeight="1" x14ac:dyDescent="0.2">
      <c r="C273" s="13" t="str">
        <f>VLOOKUP(197,Textbausteine_102[],Hilfsgrössen!$D$2,FALSE)</f>
        <v>Taux d'occupation entre 50% et 89%, hommes</v>
      </c>
      <c r="D273" s="1" t="str">
        <f>VLOOKUP(21,Textbausteine_102[],Hilfsgrössen!$D$2,FALSE)</f>
        <v>%</v>
      </c>
      <c r="E273" s="146" t="s">
        <v>69</v>
      </c>
      <c r="F273" s="94" t="s">
        <v>3168</v>
      </c>
      <c r="H273" s="125">
        <v>7.1</v>
      </c>
      <c r="I273" s="131">
        <v>7.6</v>
      </c>
      <c r="J273" s="131">
        <v>8.1999999999999993</v>
      </c>
      <c r="K273" s="131">
        <v>9</v>
      </c>
      <c r="L273" s="125">
        <v>9.8000000000000007</v>
      </c>
      <c r="M273" s="125">
        <v>10.1</v>
      </c>
      <c r="N273" s="268">
        <v>9.3000000000000007</v>
      </c>
      <c r="O273" s="268">
        <v>9.8000000000000007</v>
      </c>
      <c r="P273" s="9">
        <v>10.3</v>
      </c>
      <c r="Q273" s="9">
        <v>10.8</v>
      </c>
      <c r="R273" s="9">
        <v>11.4</v>
      </c>
      <c r="S273" s="9">
        <v>11.3</v>
      </c>
      <c r="T273" s="9">
        <v>11.7</v>
      </c>
      <c r="U273" s="9">
        <v>12</v>
      </c>
      <c r="V273" s="9">
        <v>12.2</v>
      </c>
      <c r="W273" s="9">
        <v>12.7</v>
      </c>
      <c r="X273" s="269">
        <v>12.973974476632421</v>
      </c>
      <c r="Y273" s="11">
        <v>12.931119895318357</v>
      </c>
      <c r="Z273" s="11">
        <v>14.027984600920917</v>
      </c>
      <c r="AA273" s="349"/>
    </row>
    <row r="274" spans="1:89" ht="12.6" customHeight="1" x14ac:dyDescent="0.2">
      <c r="C274" s="13" t="str">
        <f>VLOOKUP(198,Textbausteine_102[],Hilfsgrössen!$D$2,FALSE)</f>
        <v>Taux d'occupation égal ou supérieur à 90% (plein temps), hommes</v>
      </c>
      <c r="D274" s="1" t="str">
        <f>VLOOKUP(21,Textbausteine_102[],Hilfsgrössen!$D$2,FALSE)</f>
        <v>%</v>
      </c>
      <c r="E274" s="146" t="s">
        <v>69</v>
      </c>
      <c r="F274" s="94" t="s">
        <v>3168</v>
      </c>
      <c r="H274" s="99">
        <v>86.3</v>
      </c>
      <c r="I274" s="99">
        <v>85.5</v>
      </c>
      <c r="J274" s="99">
        <v>85.2</v>
      </c>
      <c r="K274" s="99">
        <v>84.2</v>
      </c>
      <c r="L274" s="99">
        <v>82.5</v>
      </c>
      <c r="M274" s="99">
        <v>82.7</v>
      </c>
      <c r="N274" s="9">
        <v>75.5</v>
      </c>
      <c r="O274" s="9">
        <v>73.900000000000006</v>
      </c>
      <c r="P274" s="9">
        <v>73.400000000000006</v>
      </c>
      <c r="Q274" s="9">
        <v>72.5</v>
      </c>
      <c r="R274" s="9">
        <v>72.099999999999994</v>
      </c>
      <c r="S274" s="9">
        <v>72.2</v>
      </c>
      <c r="T274" s="9">
        <v>72</v>
      </c>
      <c r="U274" s="9">
        <v>72</v>
      </c>
      <c r="V274" s="9">
        <v>72.400000000000006</v>
      </c>
      <c r="W274" s="9">
        <v>72.8</v>
      </c>
      <c r="X274" s="269">
        <v>73.478900798254472</v>
      </c>
      <c r="Y274" s="11">
        <v>74.073188314195107</v>
      </c>
      <c r="Z274" s="11">
        <v>73.774901697055128</v>
      </c>
      <c r="AA274" s="349"/>
    </row>
    <row r="275" spans="1:89" ht="12.6" customHeight="1" x14ac:dyDescent="0.2">
      <c r="H275" s="102"/>
      <c r="I275" s="102"/>
      <c r="J275" s="102"/>
      <c r="K275" s="102"/>
      <c r="L275" s="99"/>
      <c r="M275" s="99"/>
      <c r="T275" s="9"/>
      <c r="U275" s="9"/>
      <c r="V275" s="9"/>
      <c r="W275" s="9"/>
      <c r="X275" s="269"/>
      <c r="AA275" s="341"/>
    </row>
    <row r="276" spans="1:89" ht="12.6" customHeight="1" x14ac:dyDescent="0.2">
      <c r="C276" s="2" t="str">
        <f>VLOOKUP(199,Textbausteine_102[],Hilfsgrössen!$D$2,FALSE)</f>
        <v>Taux d'occupation des femmes</v>
      </c>
      <c r="F276" s="94" t="s">
        <v>3168</v>
      </c>
      <c r="H276" s="102"/>
      <c r="I276" s="102"/>
      <c r="J276" s="102"/>
      <c r="K276" s="102"/>
      <c r="L276" s="99"/>
      <c r="M276" s="99"/>
      <c r="T276" s="9"/>
      <c r="U276" s="9"/>
      <c r="V276" s="9"/>
      <c r="W276" s="9"/>
      <c r="X276" s="269"/>
      <c r="AA276" s="341"/>
    </row>
    <row r="277" spans="1:89" ht="12.6" customHeight="1" x14ac:dyDescent="0.2">
      <c r="C277" s="13" t="str">
        <f>VLOOKUP(200,Textbausteine_102[],Hilfsgrössen!$D$2,FALSE)</f>
        <v>Taux d'occupation inférieur à 50%, femmes</v>
      </c>
      <c r="D277" s="1" t="str">
        <f>VLOOKUP(21,Textbausteine_102[],Hilfsgrössen!$D$2,FALSE)</f>
        <v>%</v>
      </c>
      <c r="E277" s="146" t="s">
        <v>69</v>
      </c>
      <c r="F277" s="94" t="s">
        <v>3168</v>
      </c>
      <c r="H277" s="99">
        <v>41.6</v>
      </c>
      <c r="I277" s="102">
        <v>41.7</v>
      </c>
      <c r="J277" s="102">
        <v>41.1</v>
      </c>
      <c r="K277" s="102">
        <v>40.6</v>
      </c>
      <c r="L277" s="99">
        <v>38.700000000000003</v>
      </c>
      <c r="M277" s="99">
        <v>35.5</v>
      </c>
      <c r="N277" s="9">
        <v>38.4</v>
      </c>
      <c r="O277" s="9">
        <v>37.1</v>
      </c>
      <c r="P277" s="9">
        <v>35.6</v>
      </c>
      <c r="Q277" s="9">
        <v>34.6</v>
      </c>
      <c r="R277" s="9">
        <v>33.5</v>
      </c>
      <c r="S277" s="9">
        <v>32.4</v>
      </c>
      <c r="T277" s="9">
        <v>31.6</v>
      </c>
      <c r="U277" s="9">
        <v>31.3</v>
      </c>
      <c r="V277" s="9">
        <v>30.2</v>
      </c>
      <c r="W277" s="9">
        <v>28.6</v>
      </c>
      <c r="X277" s="269">
        <v>26.762542053310607</v>
      </c>
      <c r="Y277" s="11">
        <v>25.475403703472839</v>
      </c>
      <c r="Z277" s="11">
        <v>23.57525401671753</v>
      </c>
      <c r="AA277" s="349"/>
    </row>
    <row r="278" spans="1:89" ht="12.6" customHeight="1" x14ac:dyDescent="0.2">
      <c r="C278" s="13" t="str">
        <f>VLOOKUP(201,Textbausteine_102[],Hilfsgrössen!$D$2,FALSE)</f>
        <v>Taux d'occupation entre 50% et 89%, femmes</v>
      </c>
      <c r="D278" s="1" t="str">
        <f>VLOOKUP(21,Textbausteine_102[],Hilfsgrössen!$D$2,FALSE)</f>
        <v>%</v>
      </c>
      <c r="E278" s="146" t="s">
        <v>69</v>
      </c>
      <c r="F278" s="94" t="s">
        <v>3168</v>
      </c>
      <c r="H278" s="99">
        <v>30</v>
      </c>
      <c r="I278" s="102">
        <v>30.8</v>
      </c>
      <c r="J278" s="102">
        <v>32.1</v>
      </c>
      <c r="K278" s="102">
        <v>32.700000000000003</v>
      </c>
      <c r="L278" s="99">
        <v>33.9</v>
      </c>
      <c r="M278" s="99">
        <v>36.5</v>
      </c>
      <c r="N278" s="9">
        <v>35.1</v>
      </c>
      <c r="O278" s="9">
        <v>36.1</v>
      </c>
      <c r="P278" s="9">
        <v>37.4</v>
      </c>
      <c r="Q278" s="9">
        <v>38.4</v>
      </c>
      <c r="R278" s="9">
        <v>39.299999999999997</v>
      </c>
      <c r="S278" s="9">
        <v>40</v>
      </c>
      <c r="T278" s="9">
        <v>41</v>
      </c>
      <c r="U278" s="9">
        <v>41.6</v>
      </c>
      <c r="V278" s="9">
        <v>42.1</v>
      </c>
      <c r="W278" s="9">
        <v>42.94</v>
      </c>
      <c r="X278" s="269">
        <v>43.682298791082751</v>
      </c>
      <c r="Y278" s="11">
        <v>43.545300637388756</v>
      </c>
      <c r="Z278" s="11">
        <v>45.047800190199617</v>
      </c>
      <c r="AA278" s="349"/>
    </row>
    <row r="279" spans="1:89" ht="12.6" customHeight="1" x14ac:dyDescent="0.2">
      <c r="C279" s="13" t="str">
        <f>VLOOKUP(202,Textbausteine_102[],Hilfsgrössen!$D$2,FALSE)</f>
        <v>Taux d'occupation égal ou supérieur à 90% (plein temps), femmes</v>
      </c>
      <c r="D279" s="1" t="str">
        <f>VLOOKUP(21,Textbausteine_102[],Hilfsgrössen!$D$2,FALSE)</f>
        <v>%</v>
      </c>
      <c r="E279" s="146" t="s">
        <v>69</v>
      </c>
      <c r="F279" s="94" t="s">
        <v>3168</v>
      </c>
      <c r="H279" s="99">
        <v>28.400000000000006</v>
      </c>
      <c r="I279" s="99">
        <v>27.5</v>
      </c>
      <c r="J279" s="99">
        <v>26.799999999999997</v>
      </c>
      <c r="K279" s="99">
        <v>26.699999999999989</v>
      </c>
      <c r="L279" s="99">
        <v>27.400000000000006</v>
      </c>
      <c r="M279" s="99">
        <v>28</v>
      </c>
      <c r="N279" s="9">
        <v>26.5</v>
      </c>
      <c r="O279" s="9">
        <v>26.8</v>
      </c>
      <c r="P279" s="9">
        <v>27</v>
      </c>
      <c r="Q279" s="9">
        <v>27</v>
      </c>
      <c r="R279" s="9">
        <v>27.2</v>
      </c>
      <c r="S279" s="9">
        <v>27.6</v>
      </c>
      <c r="T279" s="9">
        <v>27.4</v>
      </c>
      <c r="U279" s="9">
        <v>27.1</v>
      </c>
      <c r="V279" s="9">
        <v>27.7</v>
      </c>
      <c r="W279" s="9">
        <v>28.4</v>
      </c>
      <c r="X279" s="269">
        <v>29.555159155606418</v>
      </c>
      <c r="Y279" s="11">
        <v>30.979295659138618</v>
      </c>
      <c r="Z279" s="11">
        <v>31.37694579308269</v>
      </c>
      <c r="AA279" s="349"/>
    </row>
    <row r="280" spans="1:89" ht="12.6" customHeight="1" x14ac:dyDescent="0.2">
      <c r="H280" s="102"/>
      <c r="I280" s="102"/>
      <c r="J280" s="102"/>
      <c r="K280" s="102"/>
      <c r="L280" s="99"/>
      <c r="M280" s="99"/>
      <c r="T280" s="9"/>
      <c r="U280" s="9"/>
      <c r="V280" s="9"/>
      <c r="W280" s="9"/>
      <c r="X280" s="269"/>
      <c r="AA280" s="341"/>
    </row>
    <row r="281" spans="1:89" ht="12.6" customHeight="1" x14ac:dyDescent="0.2">
      <c r="C281" s="2" t="str">
        <f>VLOOKUP(203,Textbausteine_102[],Hilfsgrössen!$D$2,FALSE)</f>
        <v>Taux d'occupation des cadres</v>
      </c>
      <c r="E281" s="9"/>
      <c r="F281" s="94" t="s">
        <v>3168</v>
      </c>
      <c r="H281" s="102"/>
      <c r="I281" s="102"/>
      <c r="J281" s="102"/>
      <c r="K281" s="102"/>
      <c r="L281" s="99"/>
      <c r="M281" s="102"/>
      <c r="T281" s="9"/>
      <c r="U281" s="9"/>
      <c r="V281" s="9"/>
      <c r="W281" s="9"/>
      <c r="X281" s="269"/>
      <c r="AA281" s="341"/>
    </row>
    <row r="282" spans="1:89" ht="12.6" customHeight="1" x14ac:dyDescent="0.2">
      <c r="C282" s="13" t="str">
        <f>VLOOKUP(204,Textbausteine_102[],Hilfsgrössen!$D$2,FALSE)</f>
        <v>Taux d'occupation inférieur à 90% (temps partiel), cadres</v>
      </c>
      <c r="D282" s="1" t="str">
        <f>VLOOKUP(21,Textbausteine_102[],Hilfsgrössen!$D$2,FALSE)</f>
        <v>%</v>
      </c>
      <c r="E282" s="9" t="s">
        <v>71</v>
      </c>
      <c r="F282" s="94" t="s">
        <v>3168</v>
      </c>
      <c r="H282" s="94" t="s">
        <v>29</v>
      </c>
      <c r="I282" s="94" t="s">
        <v>29</v>
      </c>
      <c r="J282" s="94" t="s">
        <v>29</v>
      </c>
      <c r="K282" s="94" t="s">
        <v>29</v>
      </c>
      <c r="L282" s="205">
        <v>7.4321837240937825</v>
      </c>
      <c r="M282" s="205">
        <v>7.9040128065017621</v>
      </c>
      <c r="N282" s="192">
        <v>7.5500428422476169</v>
      </c>
      <c r="O282" s="192">
        <v>7.8</v>
      </c>
      <c r="P282" s="192">
        <v>7.6</v>
      </c>
      <c r="Q282" s="192">
        <v>7.8</v>
      </c>
      <c r="R282" s="192">
        <v>8.4</v>
      </c>
      <c r="S282" s="192">
        <v>8.6999999999999993</v>
      </c>
      <c r="T282" s="9">
        <v>11.9</v>
      </c>
      <c r="U282" s="9">
        <v>12.4</v>
      </c>
      <c r="V282" s="9">
        <v>12.2</v>
      </c>
      <c r="W282" s="9">
        <v>12.8</v>
      </c>
      <c r="X282" s="269">
        <v>12.936866672575265</v>
      </c>
      <c r="Y282" s="11">
        <v>13.697335253871071</v>
      </c>
      <c r="Z282" s="11">
        <v>13.909102937285001</v>
      </c>
      <c r="AA282" s="349"/>
    </row>
    <row r="283" spans="1:89" ht="12.6" customHeight="1" x14ac:dyDescent="0.2">
      <c r="C283" s="13" t="str">
        <f>VLOOKUP(205,Textbausteine_102[],Hilfsgrössen!$D$2,FALSE)</f>
        <v>Taux d'occupation inférieur à 90% (temps partiel), cadres, hommes</v>
      </c>
      <c r="D283" s="1" t="str">
        <f>VLOOKUP(21,Textbausteine_102[],Hilfsgrössen!$D$2,FALSE)</f>
        <v>%</v>
      </c>
      <c r="E283" s="9" t="s">
        <v>71</v>
      </c>
      <c r="F283" s="94" t="s">
        <v>3168</v>
      </c>
      <c r="H283" s="94" t="s">
        <v>29</v>
      </c>
      <c r="I283" s="94" t="s">
        <v>29</v>
      </c>
      <c r="J283" s="94" t="s">
        <v>29</v>
      </c>
      <c r="K283" s="94" t="s">
        <v>29</v>
      </c>
      <c r="L283" s="205">
        <v>3.7338018888644844</v>
      </c>
      <c r="M283" s="205">
        <v>3.7744993505612312</v>
      </c>
      <c r="N283" s="192">
        <v>3.2079841416262682</v>
      </c>
      <c r="O283" s="192">
        <v>3.2753661087866108</v>
      </c>
      <c r="P283" s="192">
        <v>3.6</v>
      </c>
      <c r="Q283" s="192">
        <v>3.6</v>
      </c>
      <c r="R283" s="192">
        <v>3.7</v>
      </c>
      <c r="S283" s="192">
        <v>3.8</v>
      </c>
      <c r="T283" s="192">
        <v>5.8</v>
      </c>
      <c r="U283" s="192">
        <v>6.4</v>
      </c>
      <c r="V283" s="192">
        <v>6.6</v>
      </c>
      <c r="W283" s="192">
        <v>7.2</v>
      </c>
      <c r="X283" s="246">
        <v>7.5256383523211925</v>
      </c>
      <c r="Y283" s="192">
        <v>8.1999999999999993</v>
      </c>
      <c r="Z283" s="192">
        <v>8.5570327716148675</v>
      </c>
      <c r="AA283" s="349"/>
    </row>
    <row r="284" spans="1:89" ht="12.6" customHeight="1" x14ac:dyDescent="0.2">
      <c r="C284" s="13" t="str">
        <f>VLOOKUP(206,Textbausteine_102[],Hilfsgrössen!$D$2,FALSE)</f>
        <v>Taux d'occupation inférieur à 90% (temps partiel), cadres, femmes</v>
      </c>
      <c r="D284" s="1" t="str">
        <f>VLOOKUP(21,Textbausteine_102[],Hilfsgrössen!$D$2,FALSE)</f>
        <v>%</v>
      </c>
      <c r="E284" s="9" t="s">
        <v>71</v>
      </c>
      <c r="F284" s="94" t="s">
        <v>3168</v>
      </c>
      <c r="H284" s="94" t="s">
        <v>29</v>
      </c>
      <c r="I284" s="94" t="s">
        <v>29</v>
      </c>
      <c r="J284" s="94" t="s">
        <v>29</v>
      </c>
      <c r="K284" s="94" t="s">
        <v>29</v>
      </c>
      <c r="L284" s="99">
        <v>22.319591803677003</v>
      </c>
      <c r="M284" s="99">
        <v>23.55229687266198</v>
      </c>
      <c r="N284" s="9">
        <v>23.28856624319419</v>
      </c>
      <c r="O284" s="9">
        <v>23.5</v>
      </c>
      <c r="P284" s="9">
        <v>22.1</v>
      </c>
      <c r="Q284" s="9">
        <v>22.2</v>
      </c>
      <c r="R284" s="9">
        <v>24.6</v>
      </c>
      <c r="S284" s="9">
        <v>25.3</v>
      </c>
      <c r="T284" s="9">
        <v>31.9</v>
      </c>
      <c r="U284" s="9">
        <v>32.1</v>
      </c>
      <c r="V284" s="9">
        <v>31</v>
      </c>
      <c r="W284" s="9">
        <v>31.2</v>
      </c>
      <c r="X284" s="269">
        <v>32.037470725995334</v>
      </c>
      <c r="Y284" s="11">
        <v>32.553683515031324</v>
      </c>
      <c r="Z284" s="11">
        <v>33.020864832174176</v>
      </c>
      <c r="AA284" s="349"/>
    </row>
    <row r="285" spans="1:89" ht="12.6" customHeight="1" x14ac:dyDescent="0.2">
      <c r="AA285" s="341"/>
    </row>
    <row r="286" spans="1:89" ht="12.6" customHeight="1" x14ac:dyDescent="0.25">
      <c r="B286" s="266"/>
      <c r="AA286" s="341"/>
    </row>
    <row r="287" spans="1:89" ht="12.6" customHeight="1" x14ac:dyDescent="0.25">
      <c r="B287" s="266" t="str">
        <f>VLOOKUP(309,Textbausteine_102[],Hilfsgrössen!$D$2,FALSE)</f>
        <v>1) Sans les apprentis</v>
      </c>
      <c r="AA287" s="341"/>
    </row>
    <row r="288" spans="1:89" s="366" customFormat="1" ht="12.6" customHeight="1" x14ac:dyDescent="0.25">
      <c r="A288" s="365"/>
      <c r="B288" s="277" t="str">
        <f>VLOOKUP(310,Textbausteine_102[],Hilfsgrössen!$D$2,FALSE)</f>
        <v>2) Groupe Suisse: données du systèmes du personnel, actuellement sans données sur 1402 unités du personnel ou 5582 personnes des sociétés du groupe B-Sped Logistics (Suisse) SA, Epsilon SA, Direct Mail Company AG, PubliBike SA, Destinas AG, KLARA Business SA, Relatra AG, BPS Speditions-Service AG, Arlesheim, BPS Speditions-Service AG, Pfungen, Walli-Trans AG, ASMIQ AG, notime AG, notime (Suisse) SA, Dialog Verwaltungs-Data AG, SwissSign SA, Tresorit AG, Bring! Labs AG, Livesystems Group SA, Livesystems SA, Livesystems dooh SA, Iemoli Trasporti SA, InTraLog Hermes AG, InTraLog Overseas AG, Otto Schmidt SA, Steriplus AG, Stericenter SA, Mediwar AG, Marcel Blanc et Cie SA, Unblu Inc., Groupe T2i Suisse SA, Hacknowledge SA, Stella Brandenberger Transporte AG, axsana AG, eoscop AG, H. Bucher Internationale Transporte AG, adiacom AG, Kickbag GmbH</v>
      </c>
      <c r="E288" s="331"/>
      <c r="F288" s="367"/>
      <c r="G288" s="368"/>
      <c r="H288" s="367"/>
      <c r="I288" s="367"/>
      <c r="J288" s="367"/>
      <c r="K288" s="367"/>
      <c r="L288" s="367"/>
      <c r="M288" s="367"/>
      <c r="N288" s="367"/>
      <c r="O288" s="367"/>
      <c r="P288" s="367"/>
      <c r="Q288" s="367"/>
      <c r="R288" s="367"/>
      <c r="S288" s="367"/>
      <c r="T288" s="367"/>
      <c r="U288" s="367"/>
      <c r="V288" s="367"/>
      <c r="W288" s="367"/>
      <c r="X288" s="369"/>
      <c r="Y288" s="367"/>
      <c r="Z288" s="367"/>
      <c r="AA288" s="370"/>
      <c r="AB288" s="367"/>
      <c r="AC288" s="367"/>
      <c r="AD288" s="367"/>
      <c r="AE288" s="367"/>
      <c r="AF288" s="367"/>
      <c r="AG288" s="367"/>
      <c r="AH288" s="367"/>
      <c r="AI288" s="367"/>
      <c r="AJ288" s="367"/>
      <c r="AK288" s="367"/>
      <c r="AL288" s="367"/>
      <c r="AM288" s="367"/>
      <c r="AN288" s="367"/>
      <c r="AO288" s="367"/>
      <c r="AP288" s="367"/>
      <c r="AQ288" s="367"/>
      <c r="AR288" s="367"/>
      <c r="AS288" s="367"/>
      <c r="AT288" s="367"/>
      <c r="AU288" s="367"/>
      <c r="AV288" s="367"/>
      <c r="AW288" s="367"/>
      <c r="AX288" s="367"/>
      <c r="AY288" s="367"/>
      <c r="AZ288" s="367"/>
      <c r="BA288" s="367"/>
      <c r="BB288" s="367"/>
      <c r="BC288" s="367"/>
      <c r="BD288" s="367"/>
      <c r="BE288" s="367"/>
      <c r="BF288" s="367"/>
      <c r="BG288" s="367"/>
      <c r="BH288" s="367"/>
      <c r="BI288" s="367"/>
      <c r="BJ288" s="367"/>
      <c r="BK288" s="367"/>
      <c r="BL288" s="367"/>
      <c r="BM288" s="367"/>
      <c r="BN288" s="367"/>
      <c r="BO288" s="367"/>
      <c r="BP288" s="367"/>
      <c r="BQ288" s="367"/>
      <c r="BR288" s="367"/>
      <c r="BS288" s="367"/>
      <c r="BT288" s="367"/>
      <c r="BU288" s="367"/>
      <c r="BV288" s="367"/>
      <c r="BW288" s="367"/>
      <c r="BX288" s="367"/>
      <c r="BY288" s="367"/>
      <c r="BZ288" s="367"/>
      <c r="CA288" s="367"/>
      <c r="CB288" s="367"/>
      <c r="CC288" s="367"/>
      <c r="CD288" s="367"/>
      <c r="CE288" s="367"/>
      <c r="CF288" s="367"/>
      <c r="CG288" s="367"/>
      <c r="CH288" s="367"/>
      <c r="CI288" s="367"/>
      <c r="CJ288" s="367"/>
      <c r="CK288" s="367"/>
    </row>
    <row r="289" spans="1:89" ht="12.6" customHeight="1" x14ac:dyDescent="0.25">
      <c r="B289" s="266" t="str">
        <f>VLOOKUP(311,Textbausteine_102[],Hilfsgrössen!$D$2,FALSE)</f>
        <v>3) Valeurs annuelles moyennes</v>
      </c>
      <c r="G289" s="33"/>
      <c r="AA289" s="341"/>
    </row>
    <row r="290" spans="1:89" ht="12.6" customHeight="1" x14ac:dyDescent="0.25">
      <c r="B290" s="266" t="str">
        <f>VLOOKUP(312,Textbausteine_102[],Hilfsgrössen!$D$2,FALSE)</f>
        <v>4) Les cadres sont des collaborateurs qui exercent des fonctions de direction ou de spécialistes ou d'autres fonctions supérieures.</v>
      </c>
      <c r="G290" s="33"/>
      <c r="AA290" s="341"/>
    </row>
    <row r="291" spans="1:89" ht="12.6" customHeight="1" x14ac:dyDescent="0.25">
      <c r="B291" s="266"/>
      <c r="G291" s="33"/>
      <c r="AA291" s="341"/>
    </row>
    <row r="292" spans="1:89" ht="12.6" customHeight="1" x14ac:dyDescent="0.2">
      <c r="AA292" s="341"/>
    </row>
    <row r="293" spans="1:89" s="42" customFormat="1" ht="12.6" customHeight="1" x14ac:dyDescent="0.2">
      <c r="A293" s="43" t="s">
        <v>27</v>
      </c>
      <c r="B293" s="405" t="str">
        <f>$C$15</f>
        <v>Rapports de travail</v>
      </c>
      <c r="C293" s="405"/>
      <c r="D293" s="78" t="str">
        <f>VLOOKUP(32,Textbausteine_Menu[],Hilfsgrössen!$D$2,FALSE)</f>
        <v>Unité</v>
      </c>
      <c r="E293" s="147" t="str">
        <f>VLOOKUP(33,Textbausteine_Menu[],Hilfsgrössen!$D$2,FALSE)</f>
        <v>Notes</v>
      </c>
      <c r="F293" s="28" t="str">
        <f>VLOOKUP(34,Textbausteine_Menu[],Hilfsgrössen!$D$2,FALSE)</f>
        <v>GRI</v>
      </c>
      <c r="G293" s="33"/>
      <c r="H293" s="72">
        <v>2004</v>
      </c>
      <c r="I293" s="72">
        <v>2005</v>
      </c>
      <c r="J293" s="72">
        <v>2006</v>
      </c>
      <c r="K293" s="72">
        <v>2007</v>
      </c>
      <c r="L293" s="72">
        <v>2008</v>
      </c>
      <c r="M293" s="72">
        <v>2009</v>
      </c>
      <c r="N293" s="72">
        <v>2010</v>
      </c>
      <c r="O293" s="72">
        <v>2011</v>
      </c>
      <c r="P293" s="72">
        <v>2012</v>
      </c>
      <c r="Q293" s="72">
        <v>2013</v>
      </c>
      <c r="R293" s="72">
        <v>2014</v>
      </c>
      <c r="S293" s="72">
        <v>2015</v>
      </c>
      <c r="T293" s="74">
        <v>2016</v>
      </c>
      <c r="U293" s="74">
        <v>2017</v>
      </c>
      <c r="V293" s="74">
        <v>2018</v>
      </c>
      <c r="W293" s="74">
        <v>2019</v>
      </c>
      <c r="X293" s="241">
        <v>2020</v>
      </c>
      <c r="Y293" s="74">
        <v>2021</v>
      </c>
      <c r="Z293" s="74">
        <v>2022</v>
      </c>
      <c r="AA293" s="360"/>
      <c r="AB293" s="73"/>
      <c r="AC293" s="73"/>
      <c r="AD293" s="73"/>
      <c r="AE293" s="73"/>
      <c r="AF293" s="73"/>
      <c r="AG293" s="73"/>
      <c r="AH293" s="73"/>
      <c r="AI293" s="73"/>
      <c r="AJ293" s="73"/>
      <c r="AK293" s="73"/>
      <c r="AL293" s="73"/>
      <c r="AM293" s="73"/>
      <c r="AN293" s="73"/>
      <c r="AO293" s="73"/>
      <c r="AP293" s="73"/>
      <c r="AQ293" s="73"/>
      <c r="AR293" s="73"/>
      <c r="AS293" s="73"/>
      <c r="AT293" s="73"/>
      <c r="AU293" s="73"/>
      <c r="AV293" s="73"/>
      <c r="AW293" s="73"/>
      <c r="AX293" s="73"/>
      <c r="AY293" s="73"/>
      <c r="AZ293" s="73"/>
      <c r="BA293" s="73"/>
      <c r="BB293" s="73"/>
      <c r="BC293" s="73"/>
      <c r="BD293" s="73"/>
      <c r="BE293" s="73"/>
      <c r="BF293" s="73"/>
      <c r="BG293" s="73"/>
      <c r="BH293" s="73"/>
      <c r="BI293" s="73"/>
      <c r="BJ293" s="73"/>
      <c r="BK293" s="73"/>
      <c r="BL293" s="73"/>
      <c r="BM293" s="73"/>
      <c r="BN293" s="73"/>
      <c r="BO293" s="73"/>
      <c r="BP293" s="73"/>
      <c r="BQ293" s="73"/>
      <c r="BR293" s="73"/>
      <c r="BS293" s="73"/>
      <c r="BT293" s="73"/>
      <c r="BU293" s="73"/>
      <c r="BV293" s="73"/>
      <c r="BW293" s="73"/>
      <c r="BX293" s="73"/>
      <c r="BY293" s="73"/>
      <c r="BZ293" s="73"/>
      <c r="CA293" s="73"/>
      <c r="CB293" s="73"/>
      <c r="CC293" s="73"/>
      <c r="CD293" s="73"/>
      <c r="CE293" s="73"/>
      <c r="CF293" s="73"/>
      <c r="CG293" s="73"/>
      <c r="CH293" s="73"/>
      <c r="CI293" s="73"/>
      <c r="CJ293" s="73"/>
      <c r="CK293" s="73"/>
    </row>
    <row r="294" spans="1:89" s="42" customFormat="1" ht="12.6" customHeight="1" x14ac:dyDescent="0.2">
      <c r="A294" s="57"/>
      <c r="B294" s="405"/>
      <c r="C294" s="405"/>
      <c r="D294" s="78"/>
      <c r="E294" s="146"/>
      <c r="F294" s="9"/>
      <c r="G294" s="34"/>
      <c r="H294" s="72"/>
      <c r="I294" s="72"/>
      <c r="J294" s="72"/>
      <c r="K294" s="72"/>
      <c r="L294" s="72"/>
      <c r="M294" s="72"/>
      <c r="N294" s="72"/>
      <c r="O294" s="72"/>
      <c r="P294" s="72"/>
      <c r="Q294" s="72"/>
      <c r="R294" s="72"/>
      <c r="S294" s="72"/>
      <c r="T294" s="74"/>
      <c r="U294" s="74"/>
      <c r="V294" s="74"/>
      <c r="W294" s="74"/>
      <c r="X294" s="241"/>
      <c r="Y294" s="74"/>
      <c r="Z294" s="74"/>
      <c r="AA294" s="360"/>
      <c r="AB294" s="73"/>
      <c r="AC294" s="73"/>
      <c r="AD294" s="73"/>
      <c r="AE294" s="73"/>
      <c r="AF294" s="73"/>
      <c r="AG294" s="73"/>
      <c r="AH294" s="73"/>
      <c r="AI294" s="73"/>
      <c r="AJ294" s="73"/>
      <c r="AK294" s="73"/>
      <c r="AL294" s="73"/>
      <c r="AM294" s="73"/>
      <c r="AN294" s="73"/>
      <c r="AO294" s="73"/>
      <c r="AP294" s="73"/>
      <c r="AQ294" s="73"/>
      <c r="AR294" s="73"/>
      <c r="AS294" s="73"/>
      <c r="AT294" s="73"/>
      <c r="AU294" s="73"/>
      <c r="AV294" s="73"/>
      <c r="AW294" s="73"/>
      <c r="AX294" s="73"/>
      <c r="AY294" s="73"/>
      <c r="AZ294" s="73"/>
      <c r="BA294" s="73"/>
      <c r="BB294" s="73"/>
      <c r="BC294" s="73"/>
      <c r="BD294" s="73"/>
      <c r="BE294" s="73"/>
      <c r="BF294" s="73"/>
      <c r="BG294" s="73"/>
      <c r="BH294" s="73"/>
      <c r="BI294" s="73"/>
      <c r="BJ294" s="73"/>
      <c r="BK294" s="73"/>
      <c r="BL294" s="73"/>
      <c r="BM294" s="73"/>
      <c r="BN294" s="73"/>
      <c r="BO294" s="73"/>
      <c r="BP294" s="73"/>
      <c r="BQ294" s="73"/>
      <c r="BR294" s="73"/>
      <c r="BS294" s="73"/>
      <c r="BT294" s="73"/>
      <c r="BU294" s="73"/>
      <c r="BV294" s="73"/>
      <c r="BW294" s="73"/>
      <c r="BX294" s="73"/>
      <c r="BY294" s="73"/>
      <c r="BZ294" s="73"/>
      <c r="CA294" s="73"/>
      <c r="CB294" s="73"/>
      <c r="CC294" s="73"/>
      <c r="CD294" s="73"/>
      <c r="CE294" s="73"/>
      <c r="CF294" s="73"/>
      <c r="CG294" s="73"/>
      <c r="CH294" s="73"/>
      <c r="CI294" s="73"/>
      <c r="CJ294" s="73"/>
      <c r="CK294" s="73"/>
    </row>
    <row r="295" spans="1:89" ht="12.6" customHeight="1" x14ac:dyDescent="0.2">
      <c r="C295" s="2"/>
      <c r="AA295" s="341"/>
    </row>
    <row r="296" spans="1:89" ht="12.6" customHeight="1" x14ac:dyDescent="0.2">
      <c r="B296" s="2" t="str">
        <f>VLOOKUP(37,Textbausteine_Menu[],Hilfsgrössen!$D$2,FALSE)</f>
        <v>Groupe Suisse</v>
      </c>
      <c r="D296" s="2"/>
      <c r="E296" s="146" t="s">
        <v>72</v>
      </c>
      <c r="H296" s="7"/>
      <c r="I296" s="7"/>
      <c r="J296" s="7"/>
      <c r="K296" s="7"/>
      <c r="L296" s="7"/>
      <c r="M296" s="7"/>
      <c r="N296" s="7"/>
      <c r="O296" s="7"/>
      <c r="P296" s="7"/>
      <c r="Q296" s="7"/>
      <c r="R296" s="7"/>
      <c r="S296" s="7"/>
      <c r="T296" s="7"/>
      <c r="U296" s="7"/>
      <c r="V296" s="7"/>
      <c r="W296" s="7"/>
      <c r="X296" s="239"/>
      <c r="Y296" s="7"/>
      <c r="Z296" s="7"/>
      <c r="AA296" s="341"/>
    </row>
    <row r="297" spans="1:89" ht="12.6" customHeight="1" x14ac:dyDescent="0.2">
      <c r="C297" s="16" t="str">
        <f>VLOOKUP(211,Textbausteine_102[],Hilfsgrössen!$D$2,FALSE)</f>
        <v>Loi sur le personnel de la Confédération</v>
      </c>
      <c r="D297" s="16"/>
      <c r="T297" s="7"/>
      <c r="U297" s="7"/>
      <c r="V297" s="7"/>
      <c r="W297" s="7"/>
      <c r="X297" s="239"/>
      <c r="Y297" s="7"/>
      <c r="Z297" s="7"/>
      <c r="AA297" s="341"/>
    </row>
    <row r="298" spans="1:89" ht="12.6" customHeight="1" x14ac:dyDescent="0.2">
      <c r="C298" s="17" t="str">
        <f>VLOOKUP(212,Textbausteine_102[],Hilfsgrössen!$D$2,FALSE)</f>
        <v>CCT Poste</v>
      </c>
      <c r="D298" s="16" t="str">
        <f>VLOOKUP(36,Textbausteine_102[],Hilfsgrössen!$D$2,FALSE)</f>
        <v>% des unités de personnel</v>
      </c>
      <c r="E298" s="146" t="s">
        <v>73</v>
      </c>
      <c r="F298" s="94" t="s">
        <v>3169</v>
      </c>
      <c r="G298" s="37"/>
      <c r="H298" s="16">
        <v>88.9</v>
      </c>
      <c r="I298" s="16">
        <v>86.6</v>
      </c>
      <c r="J298" s="16">
        <v>80.599999999999994</v>
      </c>
      <c r="K298" s="16">
        <v>74.066146516605684</v>
      </c>
      <c r="L298" s="11">
        <v>71.2</v>
      </c>
      <c r="M298" s="11">
        <v>66.5</v>
      </c>
      <c r="N298" s="81">
        <v>65.400000000000006</v>
      </c>
      <c r="O298" s="9">
        <v>64.3</v>
      </c>
      <c r="P298" s="9">
        <v>62.7</v>
      </c>
      <c r="Q298" s="9">
        <v>62.8</v>
      </c>
      <c r="R298" s="9">
        <v>61.1</v>
      </c>
      <c r="S298" s="9">
        <v>61.5</v>
      </c>
      <c r="T298" s="81">
        <v>53.8</v>
      </c>
      <c r="U298" s="81">
        <v>53.2</v>
      </c>
      <c r="V298" s="81">
        <v>52.9</v>
      </c>
      <c r="W298" s="81">
        <v>53.7</v>
      </c>
      <c r="X298" s="249">
        <v>53.988992022345869</v>
      </c>
      <c r="Y298" s="11">
        <v>53.870908340161591</v>
      </c>
      <c r="Z298" s="11">
        <v>64.609669198935876</v>
      </c>
      <c r="AA298" s="349"/>
    </row>
    <row r="299" spans="1:89" ht="12.6" customHeight="1" x14ac:dyDescent="0.2">
      <c r="C299" s="16" t="str">
        <f>VLOOKUP(213,Textbausteine_102[],Hilfsgrössen!$D$2,FALSE)</f>
        <v>Code des obligations</v>
      </c>
      <c r="D299" s="16"/>
      <c r="G299" s="37"/>
      <c r="H299" s="16"/>
      <c r="I299" s="16"/>
      <c r="J299" s="16"/>
      <c r="K299" s="16"/>
      <c r="L299" s="11"/>
      <c r="M299" s="11"/>
      <c r="N299" s="92"/>
      <c r="T299" s="81"/>
      <c r="U299" s="81"/>
      <c r="V299" s="81"/>
      <c r="W299" s="81"/>
      <c r="X299" s="249"/>
      <c r="AA299" s="341"/>
    </row>
    <row r="300" spans="1:89" ht="12.6" customHeight="1" x14ac:dyDescent="0.2">
      <c r="C300" s="13" t="str">
        <f>VLOOKUP(214,Textbausteine_102[],Hilfsgrössen!$D$2,FALSE)</f>
        <v>CCT Auxiliaires</v>
      </c>
      <c r="D300" s="16" t="str">
        <f>VLOOKUP(36,Textbausteine_102[],Hilfsgrössen!$D$2,FALSE)</f>
        <v>% des unités de personnel</v>
      </c>
      <c r="E300" s="146" t="s">
        <v>73</v>
      </c>
      <c r="F300" s="94" t="s">
        <v>3169</v>
      </c>
      <c r="G300" s="37"/>
      <c r="H300" s="209">
        <v>2.1</v>
      </c>
      <c r="I300" s="209">
        <v>2.2999999999999998</v>
      </c>
      <c r="J300" s="209">
        <v>1.9</v>
      </c>
      <c r="K300" s="209">
        <v>1.8550484476052385</v>
      </c>
      <c r="L300" s="203">
        <v>2.2000000000000002</v>
      </c>
      <c r="M300" s="203">
        <v>1.5</v>
      </c>
      <c r="N300" s="210">
        <v>1.673</v>
      </c>
      <c r="O300" s="192">
        <v>2.9</v>
      </c>
      <c r="P300" s="192">
        <v>3.04</v>
      </c>
      <c r="Q300" s="192">
        <v>2.96435438158939</v>
      </c>
      <c r="R300" s="192">
        <v>2.7</v>
      </c>
      <c r="S300" s="192">
        <v>2.2999999999999998</v>
      </c>
      <c r="T300" s="200">
        <v>0.4</v>
      </c>
      <c r="U300" s="200">
        <v>0.4</v>
      </c>
      <c r="V300" s="200">
        <v>0.39</v>
      </c>
      <c r="W300" s="200">
        <v>0.4</v>
      </c>
      <c r="X300" s="250">
        <v>0.46973765834098841</v>
      </c>
      <c r="Y300" s="200">
        <v>0.46973765834098841</v>
      </c>
      <c r="Z300" s="200">
        <v>0.55031427486021833</v>
      </c>
      <c r="AA300" s="341"/>
    </row>
    <row r="301" spans="1:89" ht="12.6" customHeight="1" x14ac:dyDescent="0.2">
      <c r="C301" s="13" t="str">
        <f>VLOOKUP(215,Textbausteine_102[],Hilfsgrössen!$D$2,FALSE)</f>
        <v>CCT sociétés du groupe</v>
      </c>
      <c r="D301" s="16" t="str">
        <f>VLOOKUP(36,Textbausteine_102[],Hilfsgrössen!$D$2,FALSE)</f>
        <v>% des unités de personnel</v>
      </c>
      <c r="E301" s="146" t="s">
        <v>74</v>
      </c>
      <c r="F301" s="94" t="s">
        <v>3169</v>
      </c>
      <c r="H301" s="209">
        <v>0</v>
      </c>
      <c r="I301" s="209">
        <v>0.1</v>
      </c>
      <c r="J301" s="209">
        <v>1.8</v>
      </c>
      <c r="K301" s="209">
        <v>3.1715344426799232</v>
      </c>
      <c r="L301" s="203">
        <v>5.5</v>
      </c>
      <c r="M301" s="203">
        <v>7.3</v>
      </c>
      <c r="N301" s="192">
        <v>9.93</v>
      </c>
      <c r="O301" s="192">
        <v>10</v>
      </c>
      <c r="P301" s="192">
        <v>9.8569999999999993</v>
      </c>
      <c r="Q301" s="192">
        <v>9.4610747080829807</v>
      </c>
      <c r="R301" s="192">
        <v>10.7</v>
      </c>
      <c r="S301" s="192">
        <v>10.6</v>
      </c>
      <c r="T301" s="200">
        <v>17.100000000000001</v>
      </c>
      <c r="U301" s="200">
        <v>17.8</v>
      </c>
      <c r="V301" s="200">
        <v>17.899999999999999</v>
      </c>
      <c r="W301" s="200">
        <v>18.2</v>
      </c>
      <c r="X301" s="250">
        <v>18.485489176099186</v>
      </c>
      <c r="Y301" s="11">
        <v>17.552744449953266</v>
      </c>
      <c r="Z301" s="11">
        <v>19.614508745014323</v>
      </c>
      <c r="AA301" s="341"/>
    </row>
    <row r="302" spans="1:89" ht="12.6" customHeight="1" x14ac:dyDescent="0.2">
      <c r="C302" s="13" t="str">
        <f>VLOOKUP(216,Textbausteine_102[],Hilfsgrössen!$D$2,FALSE)</f>
        <v>Poste CH SA</v>
      </c>
      <c r="D302" s="16" t="str">
        <f>VLOOKUP(36,Textbausteine_102[],Hilfsgrössen!$D$2,FALSE)</f>
        <v>% des unités de personnel</v>
      </c>
      <c r="E302" s="146" t="s">
        <v>75</v>
      </c>
      <c r="F302" s="94" t="s">
        <v>3169</v>
      </c>
      <c r="H302" s="209">
        <v>1.2</v>
      </c>
      <c r="I302" s="209">
        <v>1.3</v>
      </c>
      <c r="J302" s="211">
        <v>1.3</v>
      </c>
      <c r="K302" s="211">
        <v>0.9942691431333287</v>
      </c>
      <c r="L302" s="203">
        <v>1.1000000000000001</v>
      </c>
      <c r="M302" s="203">
        <v>0.9</v>
      </c>
      <c r="N302" s="192">
        <v>0.9</v>
      </c>
      <c r="O302" s="192">
        <v>0.9</v>
      </c>
      <c r="P302" s="192">
        <v>1</v>
      </c>
      <c r="Q302" s="192">
        <v>0.67205740089936905</v>
      </c>
      <c r="R302" s="192">
        <v>0.8</v>
      </c>
      <c r="S302" s="192">
        <v>1</v>
      </c>
      <c r="T302" s="200">
        <v>4.4000000000000004</v>
      </c>
      <c r="U302" s="200">
        <v>4.5999999999999996</v>
      </c>
      <c r="V302" s="200">
        <v>4.8</v>
      </c>
      <c r="W302" s="200">
        <v>5</v>
      </c>
      <c r="X302" s="250">
        <v>5.1744201889975203</v>
      </c>
      <c r="Y302" s="200">
        <v>4.9000000000000004</v>
      </c>
      <c r="Z302" s="200">
        <v>5.1466094041975756</v>
      </c>
      <c r="AA302" s="341"/>
    </row>
    <row r="303" spans="1:89" ht="12.6" customHeight="1" x14ac:dyDescent="0.2">
      <c r="C303" s="13" t="str">
        <f>VLOOKUP(217,Textbausteine_102[],Hilfsgrössen!$D$2,FALSE)</f>
        <v>PostFinance SA</v>
      </c>
      <c r="D303" s="16" t="str">
        <f>VLOOKUP(36,Textbausteine_102[],Hilfsgrössen!$D$2,FALSE)</f>
        <v>% des unités de personnel</v>
      </c>
      <c r="E303" s="146" t="s">
        <v>32</v>
      </c>
      <c r="F303" s="94" t="s">
        <v>3169</v>
      </c>
      <c r="H303" s="204" t="s">
        <v>29</v>
      </c>
      <c r="I303" s="204" t="s">
        <v>29</v>
      </c>
      <c r="J303" s="204" t="s">
        <v>29</v>
      </c>
      <c r="K303" s="204" t="s">
        <v>29</v>
      </c>
      <c r="L303" s="204" t="s">
        <v>29</v>
      </c>
      <c r="M303" s="204" t="s">
        <v>29</v>
      </c>
      <c r="N303" s="199" t="s">
        <v>29</v>
      </c>
      <c r="O303" s="199" t="s">
        <v>29</v>
      </c>
      <c r="P303" s="202" t="s">
        <v>29</v>
      </c>
      <c r="Q303" s="192">
        <v>0.48265351623020802</v>
      </c>
      <c r="R303" s="192">
        <v>0.5</v>
      </c>
      <c r="S303" s="192">
        <v>0.5</v>
      </c>
      <c r="T303" s="200">
        <v>2.1</v>
      </c>
      <c r="U303" s="200">
        <v>2</v>
      </c>
      <c r="V303" s="200">
        <v>2.1</v>
      </c>
      <c r="W303" s="200">
        <v>2.2999999999999998</v>
      </c>
      <c r="X303" s="250">
        <v>2.5279376927761086</v>
      </c>
      <c r="Y303" s="200">
        <v>2.4</v>
      </c>
      <c r="Z303" s="200">
        <v>2.4820245125647271</v>
      </c>
      <c r="AA303" s="341"/>
    </row>
    <row r="304" spans="1:89" ht="12.6" customHeight="1" x14ac:dyDescent="0.2">
      <c r="C304" s="13" t="str">
        <f>VLOOKUP(218,Textbausteine_102[],Hilfsgrössen!$D$2,FALSE)</f>
        <v>Sociétés du groupe en Suisse</v>
      </c>
      <c r="D304" s="16" t="str">
        <f>VLOOKUP(36,Textbausteine_102[],Hilfsgrössen!$D$2,FALSE)</f>
        <v>% des unités de personnel</v>
      </c>
      <c r="E304" s="146" t="s">
        <v>73</v>
      </c>
      <c r="F304" s="94" t="s">
        <v>3169</v>
      </c>
      <c r="H304" s="209">
        <v>5.0999999999999996</v>
      </c>
      <c r="I304" s="209">
        <v>6.4</v>
      </c>
      <c r="J304" s="211">
        <v>6.4</v>
      </c>
      <c r="K304" s="211">
        <v>7.1</v>
      </c>
      <c r="L304" s="203">
        <v>5.8</v>
      </c>
      <c r="M304" s="203">
        <v>8.1999999999999993</v>
      </c>
      <c r="N304" s="192">
        <v>6</v>
      </c>
      <c r="O304" s="192">
        <v>6.9</v>
      </c>
      <c r="P304" s="192">
        <v>8.6</v>
      </c>
      <c r="Q304" s="192">
        <v>8.2669597173411908</v>
      </c>
      <c r="R304" s="192">
        <v>7.2</v>
      </c>
      <c r="S304" s="192">
        <v>7.2</v>
      </c>
      <c r="T304" s="200">
        <v>5.5</v>
      </c>
      <c r="U304" s="200">
        <v>5.4</v>
      </c>
      <c r="V304" s="200">
        <v>4.0999999999999996</v>
      </c>
      <c r="W304" s="200">
        <v>4.4000000000000004</v>
      </c>
      <c r="X304" s="250">
        <v>4.4132194959215729</v>
      </c>
      <c r="Y304" s="200">
        <v>4.2</v>
      </c>
      <c r="Z304" s="200">
        <v>5.3939017769460182</v>
      </c>
      <c r="AA304" s="341"/>
    </row>
    <row r="305" spans="1:89" ht="12.6" customHeight="1" x14ac:dyDescent="0.2">
      <c r="C305" s="1" t="str">
        <f>VLOOKUP(219,Textbausteine_102[],Hilfsgrössen!$D$2,FALSE)</f>
        <v>Droit du travail étranger</v>
      </c>
      <c r="D305" s="16" t="str">
        <f>VLOOKUP(36,Textbausteine_102[],Hilfsgrössen!$D$2,FALSE)</f>
        <v>% des unités de personnel</v>
      </c>
      <c r="E305" s="146" t="s">
        <v>73</v>
      </c>
      <c r="F305" s="94" t="s">
        <v>3169</v>
      </c>
      <c r="H305" s="209">
        <v>2.7</v>
      </c>
      <c r="I305" s="209">
        <v>3.3</v>
      </c>
      <c r="J305" s="209">
        <v>8</v>
      </c>
      <c r="K305" s="209">
        <v>12.690740868604571</v>
      </c>
      <c r="L305" s="203">
        <v>14.2</v>
      </c>
      <c r="M305" s="203">
        <v>15.6</v>
      </c>
      <c r="N305" s="192">
        <v>16.100000000000001</v>
      </c>
      <c r="O305" s="192">
        <v>15</v>
      </c>
      <c r="P305" s="192">
        <v>14.8</v>
      </c>
      <c r="Q305" s="192">
        <v>15.4</v>
      </c>
      <c r="R305" s="192">
        <v>17.100000000000001</v>
      </c>
      <c r="S305" s="192">
        <v>16.899999999999999</v>
      </c>
      <c r="T305" s="200">
        <v>16.7</v>
      </c>
      <c r="U305" s="200">
        <v>16.600000000000001</v>
      </c>
      <c r="V305" s="200">
        <v>17.8</v>
      </c>
      <c r="W305" s="200">
        <v>16</v>
      </c>
      <c r="X305" s="250">
        <v>14.940203765518767</v>
      </c>
      <c r="Y305" s="11">
        <v>16.586359523817499</v>
      </c>
      <c r="Z305" s="11">
        <v>2.2029720874812657</v>
      </c>
      <c r="AA305" s="341"/>
    </row>
    <row r="306" spans="1:89" ht="12.6" customHeight="1" x14ac:dyDescent="0.2">
      <c r="X306" s="249"/>
      <c r="AA306" s="341"/>
    </row>
    <row r="307" spans="1:89" ht="12.6" customHeight="1" x14ac:dyDescent="0.2">
      <c r="B307" s="2" t="str">
        <f>VLOOKUP(37,Textbausteine_Menu[],Hilfsgrössen!$D$2,FALSE)</f>
        <v>Groupe Suisse</v>
      </c>
      <c r="D307" s="2"/>
      <c r="H307" s="7"/>
      <c r="I307" s="7"/>
      <c r="J307" s="7"/>
      <c r="K307" s="7"/>
      <c r="L307" s="7"/>
      <c r="M307" s="7"/>
      <c r="N307" s="7"/>
      <c r="O307" s="7"/>
      <c r="P307" s="7"/>
      <c r="Q307" s="7"/>
      <c r="R307" s="7"/>
      <c r="S307" s="7"/>
      <c r="T307" s="7"/>
      <c r="U307" s="7"/>
      <c r="V307" s="7"/>
      <c r="W307" s="7"/>
      <c r="X307" s="239"/>
      <c r="AA307" s="341"/>
    </row>
    <row r="308" spans="1:89" ht="12.6" customHeight="1" x14ac:dyDescent="0.2">
      <c r="C308" s="16" t="str">
        <f>VLOOKUP(209,Textbausteine_102[],Hilfsgrössen!$D$2,FALSE)</f>
        <v>Provisoire</v>
      </c>
      <c r="D308" s="16" t="str">
        <f>VLOOKUP(37,Textbausteine_102[],Hilfsgrössen!$D$2,FALSE)</f>
        <v>% des personnes</v>
      </c>
      <c r="E308" s="146" t="s">
        <v>35</v>
      </c>
      <c r="F308" s="94" t="s">
        <v>3168</v>
      </c>
      <c r="H308" s="9" t="s">
        <v>29</v>
      </c>
      <c r="I308" s="9" t="s">
        <v>29</v>
      </c>
      <c r="J308" s="9" t="s">
        <v>29</v>
      </c>
      <c r="K308" s="9" t="s">
        <v>29</v>
      </c>
      <c r="L308" s="9" t="s">
        <v>29</v>
      </c>
      <c r="M308" s="9" t="s">
        <v>29</v>
      </c>
      <c r="N308" s="9" t="s">
        <v>29</v>
      </c>
      <c r="O308" s="9" t="s">
        <v>29</v>
      </c>
      <c r="P308" s="9" t="s">
        <v>29</v>
      </c>
      <c r="Q308" s="9" t="s">
        <v>29</v>
      </c>
      <c r="R308" s="268">
        <v>1.2</v>
      </c>
      <c r="S308" s="268">
        <v>1.3</v>
      </c>
      <c r="T308" s="14">
        <v>1.2</v>
      </c>
      <c r="U308" s="14">
        <v>1.3</v>
      </c>
      <c r="V308" s="14">
        <v>1.84</v>
      </c>
      <c r="W308" s="14">
        <v>2.2000000000000002</v>
      </c>
      <c r="X308" s="251">
        <v>2.2855405108119431</v>
      </c>
      <c r="Y308" s="14">
        <v>1.7</v>
      </c>
      <c r="Z308" s="14">
        <v>0.83219529776004109</v>
      </c>
      <c r="AA308" s="349"/>
    </row>
    <row r="309" spans="1:89" ht="12.6" customHeight="1" x14ac:dyDescent="0.2">
      <c r="C309" s="16" t="str">
        <f>VLOOKUP(210,Textbausteine_102[],Hilfsgrössen!$D$2,FALSE)</f>
        <v>Permanente</v>
      </c>
      <c r="D309" s="16" t="str">
        <f>VLOOKUP(37,Textbausteine_102[],Hilfsgrössen!$D$2,FALSE)</f>
        <v>% des personnes</v>
      </c>
      <c r="E309" s="146" t="s">
        <v>35</v>
      </c>
      <c r="F309" s="94" t="s">
        <v>3168</v>
      </c>
      <c r="G309" s="37"/>
      <c r="H309" s="9" t="s">
        <v>29</v>
      </c>
      <c r="I309" s="9" t="s">
        <v>29</v>
      </c>
      <c r="J309" s="9" t="s">
        <v>29</v>
      </c>
      <c r="K309" s="9" t="s">
        <v>29</v>
      </c>
      <c r="L309" s="9" t="s">
        <v>29</v>
      </c>
      <c r="M309" s="9" t="s">
        <v>29</v>
      </c>
      <c r="N309" s="9" t="s">
        <v>29</v>
      </c>
      <c r="O309" s="9" t="s">
        <v>29</v>
      </c>
      <c r="P309" s="9" t="s">
        <v>29</v>
      </c>
      <c r="Q309" s="9" t="s">
        <v>29</v>
      </c>
      <c r="R309" s="268">
        <v>98.8</v>
      </c>
      <c r="S309" s="268">
        <v>98.7</v>
      </c>
      <c r="T309" s="14">
        <v>98.8</v>
      </c>
      <c r="U309" s="14">
        <v>98.7</v>
      </c>
      <c r="V309" s="14">
        <v>98.16</v>
      </c>
      <c r="W309" s="14">
        <v>97.8</v>
      </c>
      <c r="X309" s="251">
        <v>97.714459489188059</v>
      </c>
      <c r="Y309" s="11">
        <v>98.349156669146936</v>
      </c>
      <c r="Z309" s="11">
        <v>99.167804702239962</v>
      </c>
      <c r="AA309" s="349"/>
    </row>
    <row r="310" spans="1:89" ht="12.6" customHeight="1" x14ac:dyDescent="0.2">
      <c r="C310" s="16" t="str">
        <f>VLOOKUP(209,Textbausteine_102[],Hilfsgrössen!$D$2,FALSE)</f>
        <v>Provisoire</v>
      </c>
      <c r="D310" s="16" t="str">
        <f>VLOOKUP(36,Textbausteine_102[],Hilfsgrössen!$D$2,FALSE)</f>
        <v>% des unités de personnel</v>
      </c>
      <c r="E310" s="146" t="s">
        <v>76</v>
      </c>
      <c r="F310" s="94" t="s">
        <v>3168</v>
      </c>
      <c r="H310" s="9" t="s">
        <v>29</v>
      </c>
      <c r="I310" s="9" t="s">
        <v>29</v>
      </c>
      <c r="J310" s="9" t="s">
        <v>29</v>
      </c>
      <c r="K310" s="9" t="s">
        <v>29</v>
      </c>
      <c r="L310" s="9" t="s">
        <v>29</v>
      </c>
      <c r="M310" s="9" t="s">
        <v>29</v>
      </c>
      <c r="N310" s="9" t="s">
        <v>29</v>
      </c>
      <c r="O310" s="9" t="s">
        <v>29</v>
      </c>
      <c r="P310" s="9" t="s">
        <v>29</v>
      </c>
      <c r="Q310" s="9" t="s">
        <v>29</v>
      </c>
      <c r="R310" s="268">
        <v>1.3</v>
      </c>
      <c r="S310" s="268">
        <v>1.4</v>
      </c>
      <c r="T310" s="14">
        <v>1.3</v>
      </c>
      <c r="U310" s="14">
        <v>1.4</v>
      </c>
      <c r="V310" s="14">
        <v>2.0299999999999998</v>
      </c>
      <c r="W310" s="14">
        <v>2.2999999999999998</v>
      </c>
      <c r="X310" s="251">
        <v>2.3400080062285</v>
      </c>
      <c r="Y310" s="14">
        <v>1.7</v>
      </c>
      <c r="Z310" s="14">
        <v>0.8335191547494345</v>
      </c>
      <c r="AA310" s="349"/>
    </row>
    <row r="311" spans="1:89" ht="12.6" customHeight="1" x14ac:dyDescent="0.2">
      <c r="C311" s="16" t="str">
        <f>VLOOKUP(210,Textbausteine_102[],Hilfsgrössen!$D$2,FALSE)</f>
        <v>Permanente</v>
      </c>
      <c r="D311" s="16" t="str">
        <f>VLOOKUP(36,Textbausteine_102[],Hilfsgrössen!$D$2,FALSE)</f>
        <v>% des unités de personnel</v>
      </c>
      <c r="E311" s="146" t="s">
        <v>76</v>
      </c>
      <c r="F311" s="94" t="s">
        <v>3168</v>
      </c>
      <c r="H311" s="9" t="s">
        <v>29</v>
      </c>
      <c r="I311" s="9" t="s">
        <v>29</v>
      </c>
      <c r="J311" s="9" t="s">
        <v>29</v>
      </c>
      <c r="K311" s="9" t="s">
        <v>29</v>
      </c>
      <c r="L311" s="9" t="s">
        <v>29</v>
      </c>
      <c r="M311" s="9" t="s">
        <v>29</v>
      </c>
      <c r="N311" s="9" t="s">
        <v>29</v>
      </c>
      <c r="O311" s="9" t="s">
        <v>29</v>
      </c>
      <c r="P311" s="9" t="s">
        <v>29</v>
      </c>
      <c r="Q311" s="9" t="s">
        <v>29</v>
      </c>
      <c r="R311" s="268">
        <v>98.7</v>
      </c>
      <c r="S311" s="268">
        <v>98.6</v>
      </c>
      <c r="T311" s="14">
        <v>98.7</v>
      </c>
      <c r="U311" s="14">
        <v>98.6</v>
      </c>
      <c r="V311" s="14">
        <v>97.97</v>
      </c>
      <c r="W311" s="14">
        <v>97.7</v>
      </c>
      <c r="X311" s="251">
        <v>97.659991993771499</v>
      </c>
      <c r="Y311" s="11">
        <v>98.263925793339027</v>
      </c>
      <c r="Z311" s="11">
        <v>99.166480845250575</v>
      </c>
      <c r="AA311" s="349"/>
    </row>
    <row r="312" spans="1:89" ht="12.6" customHeight="1" x14ac:dyDescent="0.2">
      <c r="C312" s="17"/>
      <c r="E312" s="1"/>
      <c r="F312" s="1"/>
      <c r="G312" s="1"/>
      <c r="H312" s="1"/>
      <c r="I312" s="1"/>
      <c r="J312" s="1"/>
      <c r="K312" s="1"/>
      <c r="L312" s="1"/>
      <c r="M312" s="1"/>
      <c r="N312" s="1"/>
      <c r="O312" s="1"/>
      <c r="P312" s="1"/>
      <c r="Q312" s="1"/>
      <c r="R312" s="1"/>
      <c r="S312" s="1"/>
      <c r="T312" s="1"/>
      <c r="U312" s="1"/>
      <c r="V312" s="1"/>
      <c r="W312" s="1"/>
      <c r="X312" s="239"/>
      <c r="Y312" s="7"/>
      <c r="Z312" s="7"/>
      <c r="AA312" s="341"/>
    </row>
    <row r="313" spans="1:89" ht="12.6" customHeight="1" x14ac:dyDescent="0.25">
      <c r="B313" s="266"/>
      <c r="AA313" s="341"/>
    </row>
    <row r="314" spans="1:89" ht="12.6" customHeight="1" x14ac:dyDescent="0.25">
      <c r="B314" s="266" t="str">
        <f>VLOOKUP(319,Textbausteine_102[],Hilfsgrössen!$D$2,FALSE)</f>
        <v>1) Sans les apprentis</v>
      </c>
      <c r="AA314" s="341"/>
    </row>
    <row r="315" spans="1:89" ht="12.6" customHeight="1" x14ac:dyDescent="0.25">
      <c r="B315" s="266" t="str">
        <f>VLOOKUP(320,Textbausteine_102[],Hilfsgrössen!$D$2,FALSE)</f>
        <v>2) Valeurs annuelles moyennes</v>
      </c>
      <c r="AA315" s="341"/>
    </row>
    <row r="316" spans="1:89" s="273" customFormat="1" ht="12.6" customHeight="1" x14ac:dyDescent="0.25">
      <c r="A316" s="292"/>
      <c r="B316" s="266" t="str">
        <f>VLOOKUP(321,Textbausteine_102[],Hilfsgrössen!$D$2,FALSE)</f>
        <v>3) Une unité de personnel correspond à un poste à plein temps.</v>
      </c>
      <c r="E316" s="265"/>
      <c r="F316" s="274"/>
      <c r="G316" s="282"/>
      <c r="H316" s="274"/>
      <c r="I316" s="274"/>
      <c r="J316" s="274"/>
      <c r="K316" s="274"/>
      <c r="L316" s="274"/>
      <c r="M316" s="274"/>
      <c r="N316" s="274"/>
      <c r="O316" s="274"/>
      <c r="P316" s="274"/>
      <c r="Q316" s="274"/>
      <c r="R316" s="274"/>
      <c r="S316" s="274"/>
      <c r="T316" s="274"/>
      <c r="U316" s="274"/>
      <c r="V316" s="274"/>
      <c r="W316" s="274"/>
      <c r="X316" s="274"/>
      <c r="Y316" s="274"/>
      <c r="Z316" s="274"/>
      <c r="AA316" s="351"/>
      <c r="AB316" s="274"/>
      <c r="AC316" s="274"/>
      <c r="AD316" s="274"/>
      <c r="AE316" s="274"/>
      <c r="AF316" s="274"/>
      <c r="AG316" s="274"/>
      <c r="AH316" s="274"/>
      <c r="AI316" s="274"/>
      <c r="AJ316" s="274"/>
      <c r="AK316" s="274"/>
      <c r="AL316" s="274"/>
      <c r="AM316" s="274"/>
      <c r="AN316" s="274"/>
      <c r="AO316" s="274"/>
      <c r="AP316" s="274"/>
      <c r="AQ316" s="274"/>
      <c r="AR316" s="274"/>
      <c r="AS316" s="274"/>
      <c r="AT316" s="274"/>
      <c r="AU316" s="274"/>
      <c r="AV316" s="274"/>
      <c r="AW316" s="274"/>
      <c r="AX316" s="274"/>
      <c r="AY316" s="274"/>
      <c r="AZ316" s="274"/>
      <c r="BA316" s="274"/>
      <c r="BB316" s="274"/>
      <c r="BC316" s="274"/>
      <c r="BD316" s="274"/>
      <c r="BE316" s="274"/>
      <c r="BF316" s="274"/>
      <c r="BG316" s="274"/>
      <c r="BH316" s="274"/>
      <c r="BI316" s="274"/>
      <c r="BJ316" s="274"/>
      <c r="BK316" s="274"/>
      <c r="BL316" s="274"/>
      <c r="BM316" s="274"/>
      <c r="BN316" s="274"/>
      <c r="BO316" s="274"/>
      <c r="BP316" s="274"/>
      <c r="BQ316" s="274"/>
      <c r="BR316" s="274"/>
      <c r="BS316" s="274"/>
      <c r="BT316" s="274"/>
      <c r="BU316" s="274"/>
      <c r="BV316" s="274"/>
      <c r="BW316" s="274"/>
      <c r="BX316" s="274"/>
      <c r="BY316" s="274"/>
      <c r="BZ316" s="274"/>
      <c r="CA316" s="274"/>
      <c r="CB316" s="274"/>
      <c r="CC316" s="274"/>
      <c r="CD316" s="274"/>
      <c r="CE316" s="274"/>
      <c r="CF316" s="274"/>
      <c r="CG316" s="274"/>
      <c r="CH316" s="274"/>
      <c r="CI316" s="274"/>
      <c r="CJ316" s="274"/>
      <c r="CK316" s="274"/>
    </row>
    <row r="317" spans="1:89" ht="12.6" customHeight="1" x14ac:dyDescent="0.25">
      <c r="B317" s="266" t="str">
        <f>VLOOKUP(322,Textbausteine_102[],Hilfsgrössen!$D$2,FALSE)</f>
        <v>4) Dans le segment PostMail (désormais rattaché au segment Services logistiques depuis le 1er janvier 2021), le calcul de l’effectif moyen en équivalents plein temps (hors apprentis) de deux filiales a été remanié, ce qui a entraîné l’ajustement de la valeur de 2018. Dans le segment CarPostal (désormais rattaché au segment Services de mobilité depuis le 1er janvier 2021), la valeur de 2018 a été ajustée suite à la classification du groupe CarPostal France comme groupe sortant détenu en vue de la vente et activité abandonnée.</v>
      </c>
      <c r="AA317" s="341"/>
    </row>
    <row r="318" spans="1:89" s="326" customFormat="1" ht="12.6" customHeight="1" x14ac:dyDescent="0.25">
      <c r="A318" s="324"/>
      <c r="B318" s="334" t="str">
        <f>VLOOKUP(323,Textbausteine_102[],Hilfsgrössen!$D$2,FALSE)</f>
        <v xml:space="preserve">5) CarPostal SA, PostFinance SA, Swiss Post Solutions SA, SecurePost SA, Poste Immobilier Management et Services SA, Post Company Cars SA, Presto Presse-Vertriebs AG. Le groupe SPS a été vendu le 30 mars 2022.  Par conséquent, les valeurs sont indiquées sans Swiss Post Solutions SA à partir de 2022. </v>
      </c>
      <c r="E318" s="338"/>
      <c r="F318" s="328"/>
      <c r="G318" s="329"/>
      <c r="H318" s="328"/>
      <c r="I318" s="328"/>
      <c r="J318" s="328"/>
      <c r="K318" s="328"/>
      <c r="L318" s="328"/>
      <c r="M318" s="328"/>
      <c r="N318" s="328"/>
      <c r="O318" s="328"/>
      <c r="P318" s="328"/>
      <c r="Q318" s="328"/>
      <c r="R318" s="328"/>
      <c r="S318" s="328"/>
      <c r="T318" s="327"/>
      <c r="U318" s="327"/>
      <c r="V318" s="327"/>
      <c r="W318" s="327"/>
      <c r="X318" s="327"/>
      <c r="Y318" s="327"/>
      <c r="Z318" s="327"/>
      <c r="AA318" s="341"/>
      <c r="AB318" s="328"/>
      <c r="AC318" s="328"/>
      <c r="AD318" s="328"/>
      <c r="AE318" s="328"/>
      <c r="AF318" s="328"/>
      <c r="AG318" s="328"/>
      <c r="AH318" s="328"/>
      <c r="AI318" s="328"/>
      <c r="AJ318" s="328"/>
      <c r="AK318" s="328"/>
      <c r="AL318" s="328"/>
      <c r="AM318" s="328"/>
      <c r="AN318" s="328"/>
      <c r="AO318" s="328"/>
      <c r="AP318" s="328"/>
      <c r="AQ318" s="328"/>
      <c r="AR318" s="328"/>
      <c r="AS318" s="328"/>
      <c r="AT318" s="328"/>
      <c r="AU318" s="328"/>
      <c r="AV318" s="328"/>
      <c r="AW318" s="328"/>
      <c r="AX318" s="328"/>
      <c r="AY318" s="328"/>
      <c r="AZ318" s="328"/>
      <c r="BA318" s="328"/>
      <c r="BB318" s="328"/>
      <c r="BC318" s="328"/>
      <c r="BD318" s="328"/>
      <c r="BE318" s="328"/>
      <c r="BF318" s="328"/>
      <c r="BG318" s="328"/>
      <c r="BH318" s="328"/>
      <c r="BI318" s="328"/>
      <c r="BJ318" s="328"/>
      <c r="BK318" s="328"/>
      <c r="BL318" s="328"/>
      <c r="BM318" s="328"/>
      <c r="BN318" s="328"/>
      <c r="BO318" s="328"/>
      <c r="BP318" s="328"/>
      <c r="BQ318" s="328"/>
      <c r="BR318" s="328"/>
      <c r="BS318" s="328"/>
      <c r="BT318" s="328"/>
      <c r="BU318" s="328"/>
      <c r="BV318" s="328"/>
      <c r="BW318" s="328"/>
      <c r="BX318" s="328"/>
      <c r="BY318" s="328"/>
      <c r="BZ318" s="328"/>
      <c r="CA318" s="328"/>
      <c r="CB318" s="328"/>
      <c r="CC318" s="328"/>
      <c r="CD318" s="328"/>
      <c r="CE318" s="328"/>
      <c r="CF318" s="328"/>
      <c r="CG318" s="328"/>
      <c r="CH318" s="328"/>
      <c r="CI318" s="328"/>
      <c r="CJ318" s="328"/>
      <c r="CK318" s="328"/>
    </row>
    <row r="319" spans="1:89" ht="12.6" customHeight="1" x14ac:dyDescent="0.25">
      <c r="B319" s="266" t="str">
        <f>VLOOKUP(324,Textbausteine_102[],Hilfsgrössen!$D$2,FALSE)</f>
        <v>6) Pour le rapport de l'exercice 2013, les chiffres correspondants ont été corrigés rétroactivement jusqu'en 2010, car Presto Presse-Vertriebs AG figurait jusqu'alors sous CCT Auxiliaires.</v>
      </c>
      <c r="AA319" s="341"/>
    </row>
    <row r="320" spans="1:89" ht="12.6" customHeight="1" x14ac:dyDescent="0.25">
      <c r="B320" s="266" t="str">
        <f>VLOOKUP(325,Textbausteine_102[],Hilfsgrössen!$D$2,FALSE)</f>
        <v>7) Poste CH SA sans les sociétés du groupe en Suisse et à l'étranger.</v>
      </c>
      <c r="AA320" s="341"/>
    </row>
    <row r="321" spans="1:89" ht="12.6" customHeight="1" x14ac:dyDescent="0.25">
      <c r="B321" s="266" t="str">
        <f>VLOOKUP(326,Textbausteine_102[],Hilfsgrössen!$D$2,FALSE)</f>
        <v>8) PostFinance SA, y compris Débiteurs Services SA et Twint SA.</v>
      </c>
      <c r="AA321" s="341"/>
    </row>
    <row r="322" spans="1:89" s="366" customFormat="1" ht="12.6" customHeight="1" x14ac:dyDescent="0.25">
      <c r="A322" s="365"/>
      <c r="B322" s="277" t="str">
        <f>VLOOKUP(327,Textbausteine_102[],Hilfsgrössen!$D$2,FALSE)</f>
        <v>9) Groupe Suisse: données du systèmes du personnel, actuellement sans données sur 1402 unités du personnel ou 5582 personnes des sociétés du groupe B-Sped Logistics (Suisse) SA, Epsilon SA, Direct Mail Company AG, PubliBike SA, Destinas AG, KLARA Business SA, Relatra AG, BPS Speditions-Service AG, Arlesheim, BPS Speditions-Service AG, Pfungen, Walli-Trans AG, ASMIQ AG, notime AG, notime (Suisse) SA, Dialog Verwaltungs-Data AG, SwissSign SA, Tresorit AG, Bring! Labs AG, Livesystems Group SA, Livesystems SA, Livesystems dooh SA, Iemoli Trasporti SA, InTraLog Hermes AG, InTraLog Overseas AG, Otto Schmidt SA, Steriplus AG, Stericenter SA, Mediwar AG, Marcel Blanc et Cie SA, Unblu Inc., Groupe T2i Suisse SA, Hacknowledge SA, Stella Brandenberger Transporte AG, axsana AG, eoscop AG, H. Bucher Internationale Transporte AG, adiacom AG, Kickbag GmbH</v>
      </c>
      <c r="E322" s="331"/>
      <c r="F322" s="367"/>
      <c r="G322" s="368"/>
      <c r="H322" s="367"/>
      <c r="I322" s="367"/>
      <c r="J322" s="367"/>
      <c r="K322" s="367"/>
      <c r="L322" s="367"/>
      <c r="M322" s="367"/>
      <c r="N322" s="367"/>
      <c r="O322" s="367"/>
      <c r="P322" s="367"/>
      <c r="Q322" s="367"/>
      <c r="R322" s="367"/>
      <c r="S322" s="367"/>
      <c r="T322" s="367"/>
      <c r="U322" s="367"/>
      <c r="V322" s="367"/>
      <c r="W322" s="367"/>
      <c r="X322" s="369"/>
      <c r="Y322" s="367"/>
      <c r="Z322" s="367"/>
      <c r="AA322" s="370"/>
      <c r="AB322" s="367"/>
      <c r="AC322" s="367"/>
      <c r="AD322" s="367"/>
      <c r="AE322" s="367"/>
      <c r="AF322" s="367"/>
      <c r="AG322" s="367"/>
      <c r="AH322" s="367"/>
      <c r="AI322" s="367"/>
      <c r="AJ322" s="367"/>
      <c r="AK322" s="367"/>
      <c r="AL322" s="367"/>
      <c r="AM322" s="367"/>
      <c r="AN322" s="367"/>
      <c r="AO322" s="367"/>
      <c r="AP322" s="367"/>
      <c r="AQ322" s="367"/>
      <c r="AR322" s="367"/>
      <c r="AS322" s="367"/>
      <c r="AT322" s="367"/>
      <c r="AU322" s="367"/>
      <c r="AV322" s="367"/>
      <c r="AW322" s="367"/>
      <c r="AX322" s="367"/>
      <c r="AY322" s="367"/>
      <c r="AZ322" s="367"/>
      <c r="BA322" s="367"/>
      <c r="BB322" s="367"/>
      <c r="BC322" s="367"/>
      <c r="BD322" s="367"/>
      <c r="BE322" s="367"/>
      <c r="BF322" s="367"/>
      <c r="BG322" s="367"/>
      <c r="BH322" s="367"/>
      <c r="BI322" s="367"/>
      <c r="BJ322" s="367"/>
      <c r="BK322" s="367"/>
      <c r="BL322" s="367"/>
      <c r="BM322" s="367"/>
      <c r="BN322" s="367"/>
      <c r="BO322" s="367"/>
      <c r="BP322" s="367"/>
      <c r="BQ322" s="367"/>
      <c r="BR322" s="367"/>
      <c r="BS322" s="367"/>
      <c r="BT322" s="367"/>
      <c r="BU322" s="367"/>
      <c r="BV322" s="367"/>
      <c r="BW322" s="367"/>
      <c r="BX322" s="367"/>
      <c r="BY322" s="367"/>
      <c r="BZ322" s="367"/>
      <c r="CA322" s="367"/>
      <c r="CB322" s="367"/>
      <c r="CC322" s="367"/>
      <c r="CD322" s="367"/>
      <c r="CE322" s="367"/>
      <c r="CF322" s="367"/>
      <c r="CG322" s="367"/>
      <c r="CH322" s="367"/>
      <c r="CI322" s="367"/>
      <c r="CJ322" s="367"/>
      <c r="CK322" s="367"/>
    </row>
    <row r="323" spans="1:89" ht="12.6" customHeight="1" x14ac:dyDescent="0.2">
      <c r="E323" s="145"/>
      <c r="F323" s="28"/>
      <c r="G323" s="33"/>
      <c r="AA323" s="341"/>
    </row>
    <row r="324" spans="1:89" s="78" customFormat="1" ht="12.6" customHeight="1" x14ac:dyDescent="0.2">
      <c r="A324" s="43" t="s">
        <v>27</v>
      </c>
      <c r="B324" s="401" t="str">
        <f>$C$16</f>
        <v xml:space="preserve">Chaîne d'approvisionnement </v>
      </c>
      <c r="C324" s="401"/>
      <c r="D324" s="78" t="str">
        <f>VLOOKUP(32,Textbausteine_Menu[],Hilfsgrössen!$D$2,FALSE)</f>
        <v>Unité</v>
      </c>
      <c r="E324" s="147" t="str">
        <f>VLOOKUP(33,Textbausteine_Menu[],Hilfsgrössen!$D$2,FALSE)</f>
        <v>Notes</v>
      </c>
      <c r="F324" s="28" t="str">
        <f>VLOOKUP(34,Textbausteine_Menu[],Hilfsgrössen!$D$2,FALSE)</f>
        <v>GRI</v>
      </c>
      <c r="G324" s="33"/>
      <c r="H324" s="72">
        <v>2004</v>
      </c>
      <c r="I324" s="72">
        <v>2005</v>
      </c>
      <c r="J324" s="72">
        <v>2006</v>
      </c>
      <c r="K324" s="72">
        <v>2007</v>
      </c>
      <c r="L324" s="72">
        <v>2008</v>
      </c>
      <c r="M324" s="72">
        <v>2009</v>
      </c>
      <c r="N324" s="72">
        <v>2010</v>
      </c>
      <c r="O324" s="72">
        <v>2011</v>
      </c>
      <c r="P324" s="72">
        <v>2012</v>
      </c>
      <c r="Q324" s="72">
        <v>2013</v>
      </c>
      <c r="R324" s="72">
        <v>2014</v>
      </c>
      <c r="S324" s="72">
        <v>2015</v>
      </c>
      <c r="T324" s="74">
        <v>2016</v>
      </c>
      <c r="U324" s="74" t="s">
        <v>77</v>
      </c>
      <c r="V324" s="74">
        <v>2018</v>
      </c>
      <c r="W324" s="74">
        <v>2019</v>
      </c>
      <c r="X324" s="241">
        <v>2020</v>
      </c>
      <c r="Y324" s="74">
        <v>2021</v>
      </c>
      <c r="Z324" s="74">
        <v>2022</v>
      </c>
      <c r="AA324" s="359"/>
      <c r="AB324" s="72"/>
      <c r="AC324" s="72"/>
      <c r="AD324" s="72"/>
      <c r="AE324" s="72"/>
      <c r="AF324" s="72"/>
      <c r="AG324" s="72"/>
      <c r="AH324" s="72"/>
      <c r="AI324" s="72"/>
      <c r="AJ324" s="72"/>
      <c r="AK324" s="72"/>
      <c r="AL324" s="72"/>
      <c r="AM324" s="72"/>
      <c r="AN324" s="72"/>
      <c r="AO324" s="72"/>
      <c r="AP324" s="72"/>
      <c r="AQ324" s="72"/>
      <c r="AR324" s="72"/>
      <c r="AS324" s="72"/>
      <c r="AT324" s="72"/>
      <c r="AU324" s="72"/>
      <c r="AV324" s="72"/>
      <c r="AW324" s="72"/>
      <c r="AX324" s="72"/>
      <c r="AY324" s="72"/>
      <c r="AZ324" s="72"/>
      <c r="BA324" s="72"/>
      <c r="BB324" s="72"/>
      <c r="BC324" s="72"/>
      <c r="BD324" s="72"/>
      <c r="BE324" s="72"/>
      <c r="BF324" s="72"/>
      <c r="BG324" s="72"/>
      <c r="BH324" s="72"/>
      <c r="BI324" s="72"/>
      <c r="BJ324" s="72"/>
      <c r="BK324" s="72"/>
      <c r="BL324" s="72"/>
      <c r="BM324" s="72"/>
      <c r="BN324" s="72"/>
      <c r="BO324" s="72"/>
      <c r="BP324" s="72"/>
      <c r="BQ324" s="72"/>
      <c r="BR324" s="72"/>
      <c r="BS324" s="72"/>
      <c r="BT324" s="72"/>
      <c r="BU324" s="72"/>
      <c r="BV324" s="72"/>
      <c r="BW324" s="72"/>
      <c r="BX324" s="72"/>
      <c r="BY324" s="72"/>
      <c r="BZ324" s="72"/>
      <c r="CA324" s="72"/>
      <c r="CB324" s="72"/>
      <c r="CC324" s="72"/>
      <c r="CD324" s="72"/>
      <c r="CE324" s="72"/>
      <c r="CF324" s="72"/>
      <c r="CG324" s="72"/>
      <c r="CH324" s="72"/>
      <c r="CI324" s="72"/>
      <c r="CJ324" s="72"/>
      <c r="CK324" s="72"/>
    </row>
    <row r="325" spans="1:89" s="42" customFormat="1" ht="12.6" customHeight="1" x14ac:dyDescent="0.2">
      <c r="A325" s="57"/>
      <c r="B325" s="401"/>
      <c r="C325" s="401"/>
      <c r="E325" s="145"/>
      <c r="F325" s="28"/>
      <c r="G325" s="34"/>
      <c r="H325" s="73"/>
      <c r="I325" s="73"/>
      <c r="J325" s="73"/>
      <c r="K325" s="73"/>
      <c r="L325" s="73"/>
      <c r="M325" s="73"/>
      <c r="N325" s="73"/>
      <c r="O325" s="73"/>
      <c r="P325" s="73"/>
      <c r="Q325" s="73"/>
      <c r="R325" s="73"/>
      <c r="S325" s="73"/>
      <c r="T325" s="75"/>
      <c r="U325" s="75"/>
      <c r="V325" s="75"/>
      <c r="W325" s="75"/>
      <c r="X325" s="242"/>
      <c r="Y325" s="75"/>
      <c r="Z325" s="75"/>
      <c r="AA325" s="360"/>
      <c r="AB325" s="73"/>
      <c r="AC325" s="73"/>
      <c r="AD325" s="73"/>
      <c r="AE325" s="73"/>
      <c r="AF325" s="73"/>
      <c r="AG325" s="73"/>
      <c r="AH325" s="73"/>
      <c r="AI325" s="73"/>
      <c r="AJ325" s="73"/>
      <c r="AK325" s="73"/>
      <c r="AL325" s="73"/>
      <c r="AM325" s="73"/>
      <c r="AN325" s="73"/>
      <c r="AO325" s="73"/>
      <c r="AP325" s="73"/>
      <c r="AQ325" s="73"/>
      <c r="AR325" s="73"/>
      <c r="AS325" s="73"/>
      <c r="AT325" s="73"/>
      <c r="AU325" s="73"/>
      <c r="AV325" s="73"/>
      <c r="AW325" s="73"/>
      <c r="AX325" s="73"/>
      <c r="AY325" s="73"/>
      <c r="AZ325" s="73"/>
      <c r="BA325" s="73"/>
      <c r="BB325" s="73"/>
      <c r="BC325" s="73"/>
      <c r="BD325" s="73"/>
      <c r="BE325" s="73"/>
      <c r="BF325" s="73"/>
      <c r="BG325" s="73"/>
      <c r="BH325" s="73"/>
      <c r="BI325" s="73"/>
      <c r="BJ325" s="73"/>
      <c r="BK325" s="73"/>
      <c r="BL325" s="73"/>
      <c r="BM325" s="73"/>
      <c r="BN325" s="73"/>
      <c r="BO325" s="73"/>
      <c r="BP325" s="73"/>
      <c r="BQ325" s="73"/>
      <c r="BR325" s="73"/>
      <c r="BS325" s="73"/>
      <c r="BT325" s="73"/>
      <c r="BU325" s="73"/>
      <c r="BV325" s="73"/>
      <c r="BW325" s="73"/>
      <c r="BX325" s="73"/>
      <c r="BY325" s="73"/>
      <c r="BZ325" s="73"/>
      <c r="CA325" s="73"/>
      <c r="CB325" s="73"/>
      <c r="CC325" s="73"/>
      <c r="CD325" s="73"/>
      <c r="CE325" s="73"/>
      <c r="CF325" s="73"/>
      <c r="CG325" s="73"/>
      <c r="CH325" s="73"/>
      <c r="CI325" s="73"/>
      <c r="CJ325" s="73"/>
      <c r="CK325" s="73"/>
    </row>
    <row r="326" spans="1:89" ht="12.6" customHeight="1" x14ac:dyDescent="0.2">
      <c r="B326" s="2"/>
      <c r="E326" s="148"/>
      <c r="G326" s="33"/>
      <c r="AA326" s="341"/>
    </row>
    <row r="327" spans="1:89" ht="12.6" customHeight="1" x14ac:dyDescent="0.2">
      <c r="B327" s="2" t="str">
        <f>VLOOKUP(37,Textbausteine_Menu[],Hilfsgrössen!$D$2,FALSE)</f>
        <v>Groupe Suisse</v>
      </c>
      <c r="C327" s="2"/>
      <c r="E327" s="148"/>
      <c r="T327" s="9"/>
      <c r="U327" s="9"/>
      <c r="V327" s="9"/>
      <c r="W327" s="9"/>
      <c r="X327" s="269"/>
      <c r="Y327" s="9"/>
      <c r="Z327" s="9"/>
      <c r="AA327" s="341"/>
    </row>
    <row r="328" spans="1:89" ht="12.6" customHeight="1" x14ac:dyDescent="0.2">
      <c r="C328" s="16" t="str">
        <f>VLOOKUP(221,Textbausteine_102[],Hilfsgrössen!$D$2,FALSE)</f>
        <v>Nombre de fournisseurs Suisse</v>
      </c>
      <c r="D328" s="16" t="str">
        <f>VLOOKUP(28,Textbausteine_102[],Hilfsgrössen!$D$2,FALSE)</f>
        <v>Nombre</v>
      </c>
      <c r="E328" s="11" t="s">
        <v>72</v>
      </c>
      <c r="F328" s="94" t="s">
        <v>3167</v>
      </c>
      <c r="H328" s="94" t="s">
        <v>29</v>
      </c>
      <c r="I328" s="94" t="s">
        <v>29</v>
      </c>
      <c r="J328" s="94" t="s">
        <v>29</v>
      </c>
      <c r="K328" s="94" t="s">
        <v>29</v>
      </c>
      <c r="L328" s="94" t="s">
        <v>29</v>
      </c>
      <c r="M328" s="94" t="s">
        <v>29</v>
      </c>
      <c r="N328" s="80" t="s">
        <v>29</v>
      </c>
      <c r="O328" s="9">
        <v>52154</v>
      </c>
      <c r="P328" s="9">
        <v>50306</v>
      </c>
      <c r="Q328" s="9">
        <v>48250</v>
      </c>
      <c r="R328" s="9">
        <v>45029</v>
      </c>
      <c r="S328" s="9">
        <v>47173</v>
      </c>
      <c r="T328" s="9">
        <v>43080</v>
      </c>
      <c r="U328" s="9">
        <v>40575</v>
      </c>
      <c r="V328" s="9">
        <v>40036</v>
      </c>
      <c r="W328" s="9">
        <v>28594</v>
      </c>
      <c r="X328" s="247">
        <v>21429</v>
      </c>
      <c r="Y328" s="15">
        <v>19656</v>
      </c>
      <c r="Z328" s="15">
        <v>20181.999999999996</v>
      </c>
      <c r="AA328" s="341"/>
    </row>
    <row r="329" spans="1:89" ht="12.6" customHeight="1" x14ac:dyDescent="0.2">
      <c r="C329" s="16" t="str">
        <f>VLOOKUP(222,Textbausteine_102[],Hilfsgrössen!$D$2,FALSE)</f>
        <v>Nombre de fournisseurs Etranger</v>
      </c>
      <c r="D329" s="16" t="str">
        <f>VLOOKUP(28,Textbausteine_102[],Hilfsgrössen!$D$2,FALSE)</f>
        <v>Nombre</v>
      </c>
      <c r="E329" s="11">
        <v>2</v>
      </c>
      <c r="F329" s="94" t="s">
        <v>3167</v>
      </c>
      <c r="H329" s="94" t="s">
        <v>29</v>
      </c>
      <c r="I329" s="94" t="s">
        <v>29</v>
      </c>
      <c r="J329" s="94" t="s">
        <v>29</v>
      </c>
      <c r="K329" s="94" t="s">
        <v>29</v>
      </c>
      <c r="L329" s="94" t="s">
        <v>29</v>
      </c>
      <c r="M329" s="94" t="s">
        <v>29</v>
      </c>
      <c r="N329" s="80" t="s">
        <v>29</v>
      </c>
      <c r="O329" s="9">
        <v>342</v>
      </c>
      <c r="P329" s="9">
        <v>339</v>
      </c>
      <c r="Q329" s="9">
        <v>340</v>
      </c>
      <c r="R329" s="9">
        <v>492</v>
      </c>
      <c r="S329" s="9">
        <v>2246</v>
      </c>
      <c r="T329" s="9">
        <v>2337</v>
      </c>
      <c r="U329" s="9">
        <v>2196</v>
      </c>
      <c r="V329" s="9">
        <v>2270</v>
      </c>
      <c r="W329" s="9">
        <v>1776</v>
      </c>
      <c r="X329" s="247">
        <v>1493</v>
      </c>
      <c r="Y329" s="15">
        <v>1490</v>
      </c>
      <c r="Z329" s="15">
        <v>1017.0000000000036</v>
      </c>
      <c r="AA329" s="341"/>
    </row>
    <row r="330" spans="1:89" ht="12.6" customHeight="1" x14ac:dyDescent="0.2">
      <c r="C330" s="16" t="str">
        <f>VLOOKUP(223,Textbausteine_102[],Hilfsgrössen!$D$2,FALSE)</f>
        <v>Volume d'achats du groupe</v>
      </c>
      <c r="D330" s="1" t="str">
        <f>VLOOKUP(22,Textbausteine_102[],Hilfsgrössen!$D$2,FALSE)</f>
        <v>Millions de CHF</v>
      </c>
      <c r="F330" s="94" t="s">
        <v>3167</v>
      </c>
      <c r="H330" s="94" t="s">
        <v>29</v>
      </c>
      <c r="I330" s="94" t="s">
        <v>29</v>
      </c>
      <c r="J330" s="94" t="s">
        <v>29</v>
      </c>
      <c r="K330" s="94" t="s">
        <v>29</v>
      </c>
      <c r="L330" s="94" t="s">
        <v>29</v>
      </c>
      <c r="M330" s="94" t="s">
        <v>29</v>
      </c>
      <c r="N330" s="11">
        <v>3082.31781</v>
      </c>
      <c r="O330" s="9">
        <v>3282.8308080000002</v>
      </c>
      <c r="P330" s="9">
        <v>3366.2399120199998</v>
      </c>
      <c r="Q330" s="9">
        <v>3379.8509565500003</v>
      </c>
      <c r="R330" s="9">
        <v>3399.09152606</v>
      </c>
      <c r="S330" s="9">
        <v>4752</v>
      </c>
      <c r="T330" s="9">
        <v>2961</v>
      </c>
      <c r="U330" s="9">
        <v>2947</v>
      </c>
      <c r="V330" s="9">
        <v>2946</v>
      </c>
      <c r="W330" s="9">
        <v>3001</v>
      </c>
      <c r="X330" s="247">
        <v>3052</v>
      </c>
      <c r="Y330" s="15">
        <v>2801</v>
      </c>
      <c r="Z330" s="15">
        <v>2942.8673045600099</v>
      </c>
      <c r="AA330" s="341"/>
    </row>
    <row r="331" spans="1:89" ht="12.6" customHeight="1" x14ac:dyDescent="0.2">
      <c r="C331" s="13"/>
      <c r="H331" s="91"/>
      <c r="I331" s="91"/>
      <c r="J331" s="91"/>
      <c r="K331" s="91"/>
      <c r="L331" s="91"/>
      <c r="M331" s="91"/>
      <c r="N331" s="11"/>
      <c r="O331" s="11"/>
      <c r="R331" s="91"/>
      <c r="S331" s="91"/>
      <c r="T331" s="9"/>
      <c r="U331" s="9"/>
      <c r="V331" s="9"/>
      <c r="W331" s="9"/>
      <c r="X331" s="269"/>
      <c r="Y331" s="9"/>
      <c r="Z331" s="9"/>
      <c r="AA331" s="341"/>
    </row>
    <row r="332" spans="1:89" ht="12.6" customHeight="1" x14ac:dyDescent="0.25">
      <c r="B332" s="266"/>
      <c r="AA332" s="341"/>
    </row>
    <row r="333" spans="1:89" ht="12.6" customHeight="1" x14ac:dyDescent="0.25">
      <c r="B333" s="266" t="str">
        <f>VLOOKUP(329,Textbausteine_102[],Hilfsgrössen!$D$2,FALSE)</f>
        <v>1) Les valeurs à partir du 1er janvier 2016 correspondent au volume de facturation des achats avec créanciers externes (hors impôts, droits de douane, Suva, caisse de pensions, autre prévoyance, redevances publiques, postes transitoires, comptes collecteurs pour créanciers occasionnels, etc.).</v>
      </c>
      <c r="AA333" s="341"/>
    </row>
    <row r="334" spans="1:89" ht="12.6" customHeight="1" x14ac:dyDescent="0.25">
      <c r="B334" s="266" t="str">
        <f>VLOOKUP(330,Textbausteine_102[],Hilfsgrössen!$D$2,FALSE)</f>
        <v>2) L’utilisation accrue de codes créditeurs (MDG-S) a eu pour effet à partir de 2019 une baisse du nombre des fournisseurs pertinents pour les achats.</v>
      </c>
      <c r="AA334" s="341"/>
    </row>
    <row r="335" spans="1:89" ht="12.6" customHeight="1" x14ac:dyDescent="0.2">
      <c r="C335" s="13"/>
      <c r="H335" s="91"/>
      <c r="I335" s="91"/>
      <c r="J335" s="91"/>
      <c r="K335" s="91"/>
      <c r="L335" s="91"/>
      <c r="M335" s="91"/>
      <c r="N335" s="11"/>
      <c r="O335" s="11"/>
      <c r="R335" s="91"/>
      <c r="S335" s="91"/>
      <c r="T335" s="9"/>
      <c r="U335" s="9"/>
      <c r="V335" s="9"/>
      <c r="W335" s="9"/>
      <c r="X335" s="269"/>
      <c r="Y335" s="9"/>
      <c r="Z335" s="9"/>
      <c r="AA335" s="341"/>
    </row>
    <row r="336" spans="1:89" s="78" customFormat="1" ht="12.6" customHeight="1" x14ac:dyDescent="0.2">
      <c r="A336" s="43" t="s">
        <v>27</v>
      </c>
      <c r="B336" s="401" t="str">
        <f>$C$17</f>
        <v>Satisfaction des clients</v>
      </c>
      <c r="C336" s="401"/>
      <c r="D336" s="78" t="str">
        <f>VLOOKUP(32,Textbausteine_Menu[],Hilfsgrössen!$D$2,FALSE)</f>
        <v>Unité</v>
      </c>
      <c r="E336" s="147" t="str">
        <f>VLOOKUP(33,Textbausteine_Menu[],Hilfsgrössen!$D$2,FALSE)</f>
        <v>Notes</v>
      </c>
      <c r="F336" s="28" t="str">
        <f>VLOOKUP(34,Textbausteine_Menu[],Hilfsgrössen!$D$2,FALSE)</f>
        <v>GRI</v>
      </c>
      <c r="G336" s="33"/>
      <c r="H336" s="72">
        <v>2004</v>
      </c>
      <c r="I336" s="72">
        <v>2005</v>
      </c>
      <c r="J336" s="72">
        <v>2006</v>
      </c>
      <c r="K336" s="72">
        <v>2007</v>
      </c>
      <c r="L336" s="72">
        <v>2008</v>
      </c>
      <c r="M336" s="72">
        <v>2009</v>
      </c>
      <c r="N336" s="72">
        <v>2010</v>
      </c>
      <c r="O336" s="72">
        <v>2011</v>
      </c>
      <c r="P336" s="72">
        <v>2012</v>
      </c>
      <c r="Q336" s="72">
        <v>2013</v>
      </c>
      <c r="R336" s="72">
        <v>2014</v>
      </c>
      <c r="S336" s="72">
        <v>2015</v>
      </c>
      <c r="T336" s="74">
        <v>2016</v>
      </c>
      <c r="U336" s="74">
        <v>2017</v>
      </c>
      <c r="V336" s="74">
        <v>2018</v>
      </c>
      <c r="W336" s="74">
        <v>2019</v>
      </c>
      <c r="X336" s="241">
        <v>2020</v>
      </c>
      <c r="Y336" s="74">
        <v>2021</v>
      </c>
      <c r="Z336" s="74" t="s">
        <v>2943</v>
      </c>
      <c r="AA336" s="359"/>
      <c r="AB336" s="72"/>
      <c r="AC336" s="72"/>
      <c r="AD336" s="72"/>
      <c r="AE336" s="72"/>
      <c r="AF336" s="72"/>
      <c r="AG336" s="72"/>
      <c r="AH336" s="72"/>
      <c r="AI336" s="72"/>
      <c r="AJ336" s="72"/>
      <c r="AK336" s="72"/>
      <c r="AL336" s="72"/>
      <c r="AM336" s="72"/>
      <c r="AN336" s="72"/>
      <c r="AO336" s="72"/>
      <c r="AP336" s="72"/>
      <c r="AQ336" s="72"/>
      <c r="AR336" s="72"/>
      <c r="AS336" s="72"/>
      <c r="AT336" s="72"/>
      <c r="AU336" s="72"/>
      <c r="AV336" s="72"/>
      <c r="AW336" s="72"/>
      <c r="AX336" s="72"/>
      <c r="AY336" s="72"/>
      <c r="AZ336" s="72"/>
      <c r="BA336" s="72"/>
      <c r="BB336" s="72"/>
      <c r="BC336" s="72"/>
      <c r="BD336" s="72"/>
      <c r="BE336" s="72"/>
      <c r="BF336" s="72"/>
      <c r="BG336" s="72"/>
      <c r="BH336" s="72"/>
      <c r="BI336" s="72"/>
      <c r="BJ336" s="72"/>
      <c r="BK336" s="72"/>
      <c r="BL336" s="72"/>
      <c r="BM336" s="72"/>
      <c r="BN336" s="72"/>
      <c r="BO336" s="72"/>
      <c r="BP336" s="72"/>
      <c r="BQ336" s="72"/>
      <c r="BR336" s="72"/>
      <c r="BS336" s="72"/>
      <c r="BT336" s="72"/>
      <c r="BU336" s="72"/>
      <c r="BV336" s="72"/>
      <c r="BW336" s="72"/>
      <c r="BX336" s="72"/>
      <c r="BY336" s="72"/>
      <c r="BZ336" s="72"/>
      <c r="CA336" s="72"/>
      <c r="CB336" s="72"/>
      <c r="CC336" s="72"/>
      <c r="CD336" s="72"/>
      <c r="CE336" s="72"/>
      <c r="CF336" s="72"/>
      <c r="CG336" s="72"/>
      <c r="CH336" s="72"/>
      <c r="CI336" s="72"/>
      <c r="CJ336" s="72"/>
      <c r="CK336" s="72"/>
    </row>
    <row r="337" spans="1:89" s="42" customFormat="1" ht="12.6" customHeight="1" x14ac:dyDescent="0.2">
      <c r="A337" s="57"/>
      <c r="B337" s="401"/>
      <c r="C337" s="401"/>
      <c r="E337" s="145"/>
      <c r="F337" s="28"/>
      <c r="G337" s="34"/>
      <c r="H337" s="73"/>
      <c r="I337" s="73"/>
      <c r="J337" s="73"/>
      <c r="K337" s="73"/>
      <c r="L337" s="73"/>
      <c r="M337" s="73"/>
      <c r="N337" s="73"/>
      <c r="O337" s="73"/>
      <c r="P337" s="73"/>
      <c r="Q337" s="73"/>
      <c r="R337" s="73"/>
      <c r="S337" s="73"/>
      <c r="T337" s="75"/>
      <c r="U337" s="75"/>
      <c r="V337" s="75"/>
      <c r="W337" s="75"/>
      <c r="X337" s="242"/>
      <c r="Y337" s="75"/>
      <c r="Z337" s="75"/>
      <c r="AA337" s="360"/>
      <c r="AB337" s="73"/>
      <c r="AC337" s="73"/>
      <c r="AD337" s="73"/>
      <c r="AE337" s="73"/>
      <c r="AF337" s="73"/>
      <c r="AG337" s="73"/>
      <c r="AH337" s="73"/>
      <c r="AI337" s="73"/>
      <c r="AJ337" s="73"/>
      <c r="AK337" s="73"/>
      <c r="AL337" s="73"/>
      <c r="AM337" s="73"/>
      <c r="AN337" s="73"/>
      <c r="AO337" s="73"/>
      <c r="AP337" s="73"/>
      <c r="AQ337" s="73"/>
      <c r="AR337" s="73"/>
      <c r="AS337" s="73"/>
      <c r="AT337" s="73"/>
      <c r="AU337" s="73"/>
      <c r="AV337" s="73"/>
      <c r="AW337" s="73"/>
      <c r="AX337" s="73"/>
      <c r="AY337" s="73"/>
      <c r="AZ337" s="73"/>
      <c r="BA337" s="73"/>
      <c r="BB337" s="73"/>
      <c r="BC337" s="73"/>
      <c r="BD337" s="73"/>
      <c r="BE337" s="73"/>
      <c r="BF337" s="73"/>
      <c r="BG337" s="73"/>
      <c r="BH337" s="73"/>
      <c r="BI337" s="73"/>
      <c r="BJ337" s="73"/>
      <c r="BK337" s="73"/>
      <c r="BL337" s="73"/>
      <c r="BM337" s="73"/>
      <c r="BN337" s="73"/>
      <c r="BO337" s="73"/>
      <c r="BP337" s="73"/>
      <c r="BQ337" s="73"/>
      <c r="BR337" s="73"/>
      <c r="BS337" s="73"/>
      <c r="BT337" s="73"/>
      <c r="BU337" s="73"/>
      <c r="BV337" s="73"/>
      <c r="BW337" s="73"/>
      <c r="BX337" s="73"/>
      <c r="BY337" s="73"/>
      <c r="BZ337" s="73"/>
      <c r="CA337" s="73"/>
      <c r="CB337" s="73"/>
      <c r="CC337" s="73"/>
      <c r="CD337" s="73"/>
      <c r="CE337" s="73"/>
      <c r="CF337" s="73"/>
      <c r="CG337" s="73"/>
      <c r="CH337" s="73"/>
      <c r="CI337" s="73"/>
      <c r="CJ337" s="73"/>
      <c r="CK337" s="73"/>
    </row>
    <row r="338" spans="1:89" s="42" customFormat="1" ht="12.6" customHeight="1" x14ac:dyDescent="0.2">
      <c r="A338" s="57"/>
      <c r="B338" s="2" t="str">
        <f>VLOOKUP(2,Textbausteine_Menu[],Hilfsgrössen!$D$2,FALSE)</f>
        <v>La Poste</v>
      </c>
      <c r="C338" s="314"/>
      <c r="D338" s="1"/>
      <c r="E338" s="145"/>
      <c r="F338" s="28"/>
      <c r="G338" s="34"/>
      <c r="H338" s="73"/>
      <c r="I338" s="73"/>
      <c r="J338" s="73"/>
      <c r="K338" s="73"/>
      <c r="L338" s="73"/>
      <c r="M338" s="73"/>
      <c r="N338" s="73"/>
      <c r="O338" s="73"/>
      <c r="P338" s="73"/>
      <c r="Q338" s="73"/>
      <c r="R338" s="73"/>
      <c r="S338" s="73"/>
      <c r="T338" s="75"/>
      <c r="U338" s="75"/>
      <c r="V338" s="75"/>
      <c r="W338" s="75"/>
      <c r="X338" s="242"/>
      <c r="Y338" s="75"/>
      <c r="Z338" s="75"/>
      <c r="AA338" s="360"/>
      <c r="AB338" s="73"/>
      <c r="AC338" s="73"/>
      <c r="AD338" s="73"/>
      <c r="AE338" s="73"/>
      <c r="AF338" s="73"/>
      <c r="AG338" s="73"/>
      <c r="AH338" s="73"/>
      <c r="AI338" s="73"/>
      <c r="AJ338" s="73"/>
      <c r="AK338" s="73"/>
      <c r="AL338" s="73"/>
      <c r="AM338" s="73"/>
      <c r="AN338" s="73"/>
      <c r="AO338" s="73"/>
      <c r="AP338" s="73"/>
      <c r="AQ338" s="73"/>
      <c r="AR338" s="73"/>
      <c r="AS338" s="73"/>
      <c r="AT338" s="73"/>
      <c r="AU338" s="73"/>
      <c r="AV338" s="73"/>
      <c r="AW338" s="73"/>
      <c r="AX338" s="73"/>
      <c r="AY338" s="73"/>
      <c r="AZ338" s="73"/>
      <c r="BA338" s="73"/>
      <c r="BB338" s="73"/>
      <c r="BC338" s="73"/>
      <c r="BD338" s="73"/>
      <c r="BE338" s="73"/>
      <c r="BF338" s="73"/>
      <c r="BG338" s="73"/>
      <c r="BH338" s="73"/>
      <c r="BI338" s="73"/>
      <c r="BJ338" s="73"/>
      <c r="BK338" s="73"/>
      <c r="BL338" s="73"/>
      <c r="BM338" s="73"/>
      <c r="BN338" s="73"/>
      <c r="BO338" s="73"/>
      <c r="BP338" s="73"/>
      <c r="BQ338" s="73"/>
      <c r="BR338" s="73"/>
      <c r="BS338" s="73"/>
      <c r="BT338" s="73"/>
      <c r="BU338" s="73"/>
      <c r="BV338" s="73"/>
      <c r="BW338" s="73"/>
      <c r="BX338" s="73"/>
      <c r="BY338" s="73"/>
      <c r="BZ338" s="73"/>
      <c r="CA338" s="73"/>
      <c r="CB338" s="73"/>
      <c r="CC338" s="73"/>
      <c r="CD338" s="73"/>
      <c r="CE338" s="73"/>
      <c r="CF338" s="73"/>
      <c r="CG338" s="73"/>
      <c r="CH338" s="73"/>
      <c r="CI338" s="73"/>
      <c r="CJ338" s="73"/>
      <c r="CK338" s="73"/>
    </row>
    <row r="339" spans="1:89" s="42" customFormat="1" ht="12.6" customHeight="1" x14ac:dyDescent="0.2">
      <c r="A339" s="57"/>
      <c r="B339" s="315"/>
      <c r="C339" s="16" t="str">
        <f>VLOOKUP(225,Textbausteine_102[],Hilfsgrössen!$D$2,FALSE)</f>
        <v>Secteur d’activité Communication et Logistique</v>
      </c>
      <c r="D339" s="1" t="str">
        <f>VLOOKUP(38,Textbausteine_102[],Hilfsgrössen!$D$2,FALSE)</f>
        <v>Indice</v>
      </c>
      <c r="E339" s="9"/>
      <c r="F339" s="94" t="s">
        <v>3170</v>
      </c>
      <c r="G339" s="34"/>
      <c r="H339" s="94" t="s">
        <v>29</v>
      </c>
      <c r="I339" s="94" t="s">
        <v>29</v>
      </c>
      <c r="J339" s="94" t="s">
        <v>29</v>
      </c>
      <c r="K339" s="94" t="s">
        <v>29</v>
      </c>
      <c r="L339" s="94" t="s">
        <v>29</v>
      </c>
      <c r="M339" s="94" t="s">
        <v>29</v>
      </c>
      <c r="N339" s="94" t="s">
        <v>29</v>
      </c>
      <c r="O339" s="94" t="s">
        <v>29</v>
      </c>
      <c r="P339" s="94" t="s">
        <v>29</v>
      </c>
      <c r="Q339" s="94" t="s">
        <v>29</v>
      </c>
      <c r="R339" s="94" t="s">
        <v>29</v>
      </c>
      <c r="S339" s="94" t="s">
        <v>29</v>
      </c>
      <c r="T339" s="94" t="s">
        <v>29</v>
      </c>
      <c r="U339" s="94" t="s">
        <v>29</v>
      </c>
      <c r="V339" s="94" t="s">
        <v>29</v>
      </c>
      <c r="W339" s="94" t="s">
        <v>29</v>
      </c>
      <c r="X339" s="94" t="s">
        <v>29</v>
      </c>
      <c r="Y339" s="196" t="s">
        <v>29</v>
      </c>
      <c r="Z339" s="196">
        <v>74.47</v>
      </c>
      <c r="AA339" s="360"/>
      <c r="AB339" s="73"/>
      <c r="AC339" s="73"/>
      <c r="AD339" s="73"/>
      <c r="AE339" s="73"/>
      <c r="AF339" s="73"/>
      <c r="AG339" s="73"/>
      <c r="AH339" s="73"/>
      <c r="AI339" s="73"/>
      <c r="AJ339" s="73"/>
      <c r="AK339" s="73"/>
      <c r="AL339" s="73"/>
      <c r="AM339" s="73"/>
      <c r="AN339" s="73"/>
      <c r="AO339" s="73"/>
      <c r="AP339" s="73"/>
      <c r="AQ339" s="73"/>
      <c r="AR339" s="73"/>
      <c r="AS339" s="73"/>
      <c r="AT339" s="73"/>
      <c r="AU339" s="73"/>
      <c r="AV339" s="73"/>
      <c r="AW339" s="73"/>
      <c r="AX339" s="73"/>
      <c r="AY339" s="73"/>
      <c r="AZ339" s="73"/>
      <c r="BA339" s="73"/>
      <c r="BB339" s="73"/>
      <c r="BC339" s="73"/>
      <c r="BD339" s="73"/>
      <c r="BE339" s="73"/>
      <c r="BF339" s="73"/>
      <c r="BG339" s="73"/>
      <c r="BH339" s="73"/>
      <c r="BI339" s="73"/>
      <c r="BJ339" s="73"/>
      <c r="BK339" s="73"/>
      <c r="BL339" s="73"/>
      <c r="BM339" s="73"/>
      <c r="BN339" s="73"/>
      <c r="BO339" s="73"/>
      <c r="BP339" s="73"/>
      <c r="BQ339" s="73"/>
      <c r="BR339" s="73"/>
      <c r="BS339" s="73"/>
      <c r="BT339" s="73"/>
      <c r="BU339" s="73"/>
      <c r="BV339" s="73"/>
      <c r="BW339" s="73"/>
      <c r="BX339" s="73"/>
      <c r="BY339" s="73"/>
      <c r="BZ339" s="73"/>
      <c r="CA339" s="73"/>
      <c r="CB339" s="73"/>
      <c r="CC339" s="73"/>
      <c r="CD339" s="73"/>
      <c r="CE339" s="73"/>
      <c r="CF339" s="73"/>
      <c r="CG339" s="73"/>
      <c r="CH339" s="73"/>
      <c r="CI339" s="73"/>
      <c r="CJ339" s="73"/>
      <c r="CK339" s="73"/>
    </row>
    <row r="340" spans="1:89" s="42" customFormat="1" ht="12.6" customHeight="1" x14ac:dyDescent="0.2">
      <c r="A340" s="57"/>
      <c r="B340" s="315"/>
      <c r="C340" s="13" t="str">
        <f>VLOOKUP(226,Textbausteine_102[],Hilfsgrössen!$D$2,FALSE)</f>
        <v>Gros clients</v>
      </c>
      <c r="D340" s="1" t="str">
        <f>VLOOKUP(38,Textbausteine_102[],Hilfsgrössen!$D$2,FALSE)</f>
        <v>Indice</v>
      </c>
      <c r="E340" s="9"/>
      <c r="F340" s="94" t="s">
        <v>3170</v>
      </c>
      <c r="G340" s="34"/>
      <c r="H340" s="94" t="s">
        <v>29</v>
      </c>
      <c r="I340" s="94" t="s">
        <v>29</v>
      </c>
      <c r="J340" s="94" t="s">
        <v>29</v>
      </c>
      <c r="K340" s="94" t="s">
        <v>29</v>
      </c>
      <c r="L340" s="94" t="s">
        <v>29</v>
      </c>
      <c r="M340" s="94" t="s">
        <v>29</v>
      </c>
      <c r="N340" s="94" t="s">
        <v>29</v>
      </c>
      <c r="O340" s="94" t="s">
        <v>29</v>
      </c>
      <c r="P340" s="94" t="s">
        <v>29</v>
      </c>
      <c r="Q340" s="94" t="s">
        <v>29</v>
      </c>
      <c r="R340" s="94" t="s">
        <v>29</v>
      </c>
      <c r="S340" s="94" t="s">
        <v>29</v>
      </c>
      <c r="T340" s="94" t="s">
        <v>29</v>
      </c>
      <c r="U340" s="94" t="s">
        <v>29</v>
      </c>
      <c r="V340" s="94" t="s">
        <v>29</v>
      </c>
      <c r="W340" s="94" t="s">
        <v>29</v>
      </c>
      <c r="X340" s="94" t="s">
        <v>29</v>
      </c>
      <c r="Y340" s="196" t="s">
        <v>29</v>
      </c>
      <c r="Z340" s="196">
        <v>77.14</v>
      </c>
      <c r="AA340" s="360"/>
      <c r="AB340" s="73"/>
      <c r="AC340" s="73"/>
      <c r="AD340" s="73"/>
      <c r="AE340" s="73"/>
      <c r="AF340" s="73"/>
      <c r="AG340" s="73"/>
      <c r="AH340" s="73"/>
      <c r="AI340" s="73"/>
      <c r="AJ340" s="73"/>
      <c r="AK340" s="73"/>
      <c r="AL340" s="73"/>
      <c r="AM340" s="73"/>
      <c r="AN340" s="73"/>
      <c r="AO340" s="73"/>
      <c r="AP340" s="73"/>
      <c r="AQ340" s="73"/>
      <c r="AR340" s="73"/>
      <c r="AS340" s="73"/>
      <c r="AT340" s="73"/>
      <c r="AU340" s="73"/>
      <c r="AV340" s="73"/>
      <c r="AW340" s="73"/>
      <c r="AX340" s="73"/>
      <c r="AY340" s="73"/>
      <c r="AZ340" s="73"/>
      <c r="BA340" s="73"/>
      <c r="BB340" s="73"/>
      <c r="BC340" s="73"/>
      <c r="BD340" s="73"/>
      <c r="BE340" s="73"/>
      <c r="BF340" s="73"/>
      <c r="BG340" s="73"/>
      <c r="BH340" s="73"/>
      <c r="BI340" s="73"/>
      <c r="BJ340" s="73"/>
      <c r="BK340" s="73"/>
      <c r="BL340" s="73"/>
      <c r="BM340" s="73"/>
      <c r="BN340" s="73"/>
      <c r="BO340" s="73"/>
      <c r="BP340" s="73"/>
      <c r="BQ340" s="73"/>
      <c r="BR340" s="73"/>
      <c r="BS340" s="73"/>
      <c r="BT340" s="73"/>
      <c r="BU340" s="73"/>
      <c r="BV340" s="73"/>
      <c r="BW340" s="73"/>
      <c r="BX340" s="73"/>
      <c r="BY340" s="73"/>
      <c r="BZ340" s="73"/>
      <c r="CA340" s="73"/>
      <c r="CB340" s="73"/>
      <c r="CC340" s="73"/>
      <c r="CD340" s="73"/>
      <c r="CE340" s="73"/>
      <c r="CF340" s="73"/>
      <c r="CG340" s="73"/>
      <c r="CH340" s="73"/>
      <c r="CI340" s="73"/>
      <c r="CJ340" s="73"/>
      <c r="CK340" s="73"/>
    </row>
    <row r="341" spans="1:89" s="42" customFormat="1" ht="12.6" customHeight="1" x14ac:dyDescent="0.2">
      <c r="A341" s="57"/>
      <c r="B341" s="315"/>
      <c r="C341" s="13" t="str">
        <f>VLOOKUP(227,Textbausteine_102[],Hilfsgrössen!$D$2,FALSE)</f>
        <v>Petits clients/clients moyens</v>
      </c>
      <c r="D341" s="1" t="str">
        <f>VLOOKUP(38,Textbausteine_102[],Hilfsgrössen!$D$2,FALSE)</f>
        <v>Indice</v>
      </c>
      <c r="E341" s="9"/>
      <c r="F341" s="94" t="s">
        <v>3170</v>
      </c>
      <c r="G341" s="34"/>
      <c r="H341" s="94" t="s">
        <v>29</v>
      </c>
      <c r="I341" s="94" t="s">
        <v>29</v>
      </c>
      <c r="J341" s="94" t="s">
        <v>29</v>
      </c>
      <c r="K341" s="94" t="s">
        <v>29</v>
      </c>
      <c r="L341" s="94" t="s">
        <v>29</v>
      </c>
      <c r="M341" s="94" t="s">
        <v>29</v>
      </c>
      <c r="N341" s="94" t="s">
        <v>29</v>
      </c>
      <c r="O341" s="94" t="s">
        <v>29</v>
      </c>
      <c r="P341" s="94" t="s">
        <v>29</v>
      </c>
      <c r="Q341" s="94" t="s">
        <v>29</v>
      </c>
      <c r="R341" s="94" t="s">
        <v>29</v>
      </c>
      <c r="S341" s="94" t="s">
        <v>29</v>
      </c>
      <c r="T341" s="94" t="s">
        <v>29</v>
      </c>
      <c r="U341" s="94" t="s">
        <v>29</v>
      </c>
      <c r="V341" s="94" t="s">
        <v>29</v>
      </c>
      <c r="W341" s="94" t="s">
        <v>29</v>
      </c>
      <c r="X341" s="94" t="s">
        <v>29</v>
      </c>
      <c r="Y341" s="196" t="s">
        <v>29</v>
      </c>
      <c r="Z341" s="196">
        <v>71.209999999999994</v>
      </c>
      <c r="AA341" s="360"/>
      <c r="AB341" s="73"/>
      <c r="AC341" s="73"/>
      <c r="AD341" s="73"/>
      <c r="AE341" s="73"/>
      <c r="AF341" s="73"/>
      <c r="AG341" s="73"/>
      <c r="AH341" s="73"/>
      <c r="AI341" s="73"/>
      <c r="AJ341" s="73"/>
      <c r="AK341" s="73"/>
      <c r="AL341" s="73"/>
      <c r="AM341" s="73"/>
      <c r="AN341" s="73"/>
      <c r="AO341" s="73"/>
      <c r="AP341" s="73"/>
      <c r="AQ341" s="73"/>
      <c r="AR341" s="73"/>
      <c r="AS341" s="73"/>
      <c r="AT341" s="73"/>
      <c r="AU341" s="73"/>
      <c r="AV341" s="73"/>
      <c r="AW341" s="73"/>
      <c r="AX341" s="73"/>
      <c r="AY341" s="73"/>
      <c r="AZ341" s="73"/>
      <c r="BA341" s="73"/>
      <c r="BB341" s="73"/>
      <c r="BC341" s="73"/>
      <c r="BD341" s="73"/>
      <c r="BE341" s="73"/>
      <c r="BF341" s="73"/>
      <c r="BG341" s="73"/>
      <c r="BH341" s="73"/>
      <c r="BI341" s="73"/>
      <c r="BJ341" s="73"/>
      <c r="BK341" s="73"/>
      <c r="BL341" s="73"/>
      <c r="BM341" s="73"/>
      <c r="BN341" s="73"/>
      <c r="BO341" s="73"/>
      <c r="BP341" s="73"/>
      <c r="BQ341" s="73"/>
      <c r="BR341" s="73"/>
      <c r="BS341" s="73"/>
      <c r="BT341" s="73"/>
      <c r="BU341" s="73"/>
      <c r="BV341" s="73"/>
      <c r="BW341" s="73"/>
      <c r="BX341" s="73"/>
      <c r="BY341" s="73"/>
      <c r="BZ341" s="73"/>
      <c r="CA341" s="73"/>
      <c r="CB341" s="73"/>
      <c r="CC341" s="73"/>
      <c r="CD341" s="73"/>
      <c r="CE341" s="73"/>
      <c r="CF341" s="73"/>
      <c r="CG341" s="73"/>
      <c r="CH341" s="73"/>
      <c r="CI341" s="73"/>
      <c r="CJ341" s="73"/>
      <c r="CK341" s="73"/>
    </row>
    <row r="342" spans="1:89" s="42" customFormat="1" ht="12.6" customHeight="1" x14ac:dyDescent="0.2">
      <c r="A342" s="57"/>
      <c r="B342" s="315"/>
      <c r="C342" s="13" t="str">
        <f>VLOOKUP(228,Textbausteine_102[],Hilfsgrössen!$D$2,FALSE)</f>
        <v>Clientèle privée</v>
      </c>
      <c r="D342" s="1" t="str">
        <f>VLOOKUP(38,Textbausteine_102[],Hilfsgrössen!$D$2,FALSE)</f>
        <v>Indice</v>
      </c>
      <c r="E342" s="9"/>
      <c r="F342" s="94" t="s">
        <v>3170</v>
      </c>
      <c r="G342" s="34"/>
      <c r="H342" s="94" t="s">
        <v>29</v>
      </c>
      <c r="I342" s="94" t="s">
        <v>29</v>
      </c>
      <c r="J342" s="94" t="s">
        <v>29</v>
      </c>
      <c r="K342" s="94" t="s">
        <v>29</v>
      </c>
      <c r="L342" s="94" t="s">
        <v>29</v>
      </c>
      <c r="M342" s="94" t="s">
        <v>29</v>
      </c>
      <c r="N342" s="94" t="s">
        <v>29</v>
      </c>
      <c r="O342" s="94" t="s">
        <v>29</v>
      </c>
      <c r="P342" s="94" t="s">
        <v>29</v>
      </c>
      <c r="Q342" s="94" t="s">
        <v>29</v>
      </c>
      <c r="R342" s="94" t="s">
        <v>29</v>
      </c>
      <c r="S342" s="94" t="s">
        <v>29</v>
      </c>
      <c r="T342" s="94" t="s">
        <v>29</v>
      </c>
      <c r="U342" s="94" t="s">
        <v>29</v>
      </c>
      <c r="V342" s="94" t="s">
        <v>29</v>
      </c>
      <c r="W342" s="94" t="s">
        <v>29</v>
      </c>
      <c r="X342" s="94" t="s">
        <v>29</v>
      </c>
      <c r="Y342" s="196" t="s">
        <v>29</v>
      </c>
      <c r="Z342" s="196">
        <v>73</v>
      </c>
      <c r="AA342" s="360"/>
      <c r="AB342" s="73"/>
      <c r="AC342" s="73"/>
      <c r="AD342" s="73"/>
      <c r="AE342" s="73"/>
      <c r="AF342" s="73"/>
      <c r="AG342" s="73"/>
      <c r="AH342" s="73"/>
      <c r="AI342" s="73"/>
      <c r="AJ342" s="73"/>
      <c r="AK342" s="73"/>
      <c r="AL342" s="73"/>
      <c r="AM342" s="73"/>
      <c r="AN342" s="73"/>
      <c r="AO342" s="73"/>
      <c r="AP342" s="73"/>
      <c r="AQ342" s="73"/>
      <c r="AR342" s="73"/>
      <c r="AS342" s="73"/>
      <c r="AT342" s="73"/>
      <c r="AU342" s="73"/>
      <c r="AV342" s="73"/>
      <c r="AW342" s="73"/>
      <c r="AX342" s="73"/>
      <c r="AY342" s="73"/>
      <c r="AZ342" s="73"/>
      <c r="BA342" s="73"/>
      <c r="BB342" s="73"/>
      <c r="BC342" s="73"/>
      <c r="BD342" s="73"/>
      <c r="BE342" s="73"/>
      <c r="BF342" s="73"/>
      <c r="BG342" s="73"/>
      <c r="BH342" s="73"/>
      <c r="BI342" s="73"/>
      <c r="BJ342" s="73"/>
      <c r="BK342" s="73"/>
      <c r="BL342" s="73"/>
      <c r="BM342" s="73"/>
      <c r="BN342" s="73"/>
      <c r="BO342" s="73"/>
      <c r="BP342" s="73"/>
      <c r="BQ342" s="73"/>
      <c r="BR342" s="73"/>
      <c r="BS342" s="73"/>
      <c r="BT342" s="73"/>
      <c r="BU342" s="73"/>
      <c r="BV342" s="73"/>
      <c r="BW342" s="73"/>
      <c r="BX342" s="73"/>
      <c r="BY342" s="73"/>
      <c r="BZ342" s="73"/>
      <c r="CA342" s="73"/>
      <c r="CB342" s="73"/>
      <c r="CC342" s="73"/>
      <c r="CD342" s="73"/>
      <c r="CE342" s="73"/>
      <c r="CF342" s="73"/>
      <c r="CG342" s="73"/>
      <c r="CH342" s="73"/>
      <c r="CI342" s="73"/>
      <c r="CJ342" s="73"/>
      <c r="CK342" s="73"/>
    </row>
    <row r="343" spans="1:89" s="42" customFormat="1" ht="12.6" customHeight="1" x14ac:dyDescent="0.2">
      <c r="A343" s="57"/>
      <c r="B343" s="315"/>
      <c r="C343" s="315"/>
      <c r="E343" s="146"/>
      <c r="F343" s="9"/>
      <c r="G343" s="34"/>
      <c r="H343" s="73"/>
      <c r="I343" s="73"/>
      <c r="J343" s="73"/>
      <c r="K343" s="73"/>
      <c r="L343" s="73"/>
      <c r="M343" s="73"/>
      <c r="N343" s="73"/>
      <c r="O343" s="73"/>
      <c r="P343" s="73"/>
      <c r="Q343" s="73"/>
      <c r="R343" s="73"/>
      <c r="S343" s="73"/>
      <c r="T343" s="75"/>
      <c r="U343" s="75"/>
      <c r="V343" s="75"/>
      <c r="W343" s="75"/>
      <c r="X343" s="242"/>
      <c r="Y343" s="75"/>
      <c r="Z343" s="75"/>
      <c r="AA343" s="360"/>
      <c r="AB343" s="73"/>
      <c r="AC343" s="73"/>
      <c r="AD343" s="73"/>
      <c r="AE343" s="73"/>
      <c r="AF343" s="73"/>
      <c r="AG343" s="73"/>
      <c r="AH343" s="73"/>
      <c r="AI343" s="73"/>
      <c r="AJ343" s="73"/>
      <c r="AK343" s="73"/>
      <c r="AL343" s="73"/>
      <c r="AM343" s="73"/>
      <c r="AN343" s="73"/>
      <c r="AO343" s="73"/>
      <c r="AP343" s="73"/>
      <c r="AQ343" s="73"/>
      <c r="AR343" s="73"/>
      <c r="AS343" s="73"/>
      <c r="AT343" s="73"/>
      <c r="AU343" s="73"/>
      <c r="AV343" s="73"/>
      <c r="AW343" s="73"/>
      <c r="AX343" s="73"/>
      <c r="AY343" s="73"/>
      <c r="AZ343" s="73"/>
      <c r="BA343" s="73"/>
      <c r="BB343" s="73"/>
      <c r="BC343" s="73"/>
      <c r="BD343" s="73"/>
      <c r="BE343" s="73"/>
      <c r="BF343" s="73"/>
      <c r="BG343" s="73"/>
      <c r="BH343" s="73"/>
      <c r="BI343" s="73"/>
      <c r="BJ343" s="73"/>
      <c r="BK343" s="73"/>
      <c r="BL343" s="73"/>
      <c r="BM343" s="73"/>
      <c r="BN343" s="73"/>
      <c r="BO343" s="73"/>
      <c r="BP343" s="73"/>
      <c r="BQ343" s="73"/>
      <c r="BR343" s="73"/>
      <c r="BS343" s="73"/>
      <c r="BT343" s="73"/>
      <c r="BU343" s="73"/>
      <c r="BV343" s="73"/>
      <c r="BW343" s="73"/>
      <c r="BX343" s="73"/>
      <c r="BY343" s="73"/>
      <c r="BZ343" s="73"/>
      <c r="CA343" s="73"/>
      <c r="CB343" s="73"/>
      <c r="CC343" s="73"/>
      <c r="CD343" s="73"/>
      <c r="CE343" s="73"/>
      <c r="CF343" s="73"/>
      <c r="CG343" s="73"/>
      <c r="CH343" s="73"/>
      <c r="CI343" s="73"/>
      <c r="CJ343" s="73"/>
      <c r="CK343" s="73"/>
    </row>
    <row r="344" spans="1:89" s="42" customFormat="1" ht="12.6" customHeight="1" x14ac:dyDescent="0.2">
      <c r="A344" s="57"/>
      <c r="B344" s="2" t="str">
        <f>VLOOKUP(217,Textbausteine_102[],Hilfsgrössen!$D$2,FALSE)</f>
        <v>PostFinance SA</v>
      </c>
      <c r="C344" s="315"/>
      <c r="D344" s="1"/>
      <c r="E344" s="146"/>
      <c r="F344" s="9"/>
      <c r="G344" s="34"/>
      <c r="H344" s="73"/>
      <c r="I344" s="73"/>
      <c r="J344" s="73"/>
      <c r="K344" s="73"/>
      <c r="L344" s="73"/>
      <c r="M344" s="73"/>
      <c r="N344" s="73"/>
      <c r="O344" s="73"/>
      <c r="P344" s="73"/>
      <c r="Q344" s="73"/>
      <c r="R344" s="73"/>
      <c r="S344" s="73"/>
      <c r="T344" s="75"/>
      <c r="U344" s="75"/>
      <c r="V344" s="75"/>
      <c r="W344" s="75"/>
      <c r="X344" s="242"/>
      <c r="Y344" s="75"/>
      <c r="Z344" s="75"/>
      <c r="AA344" s="360"/>
      <c r="AB344" s="73"/>
      <c r="AC344" s="73"/>
      <c r="AD344" s="73"/>
      <c r="AE344" s="73"/>
      <c r="AF344" s="73"/>
      <c r="AG344" s="73"/>
      <c r="AH344" s="73"/>
      <c r="AI344" s="73"/>
      <c r="AJ344" s="73"/>
      <c r="AK344" s="73"/>
      <c r="AL344" s="73"/>
      <c r="AM344" s="73"/>
      <c r="AN344" s="73"/>
      <c r="AO344" s="73"/>
      <c r="AP344" s="73"/>
      <c r="AQ344" s="73"/>
      <c r="AR344" s="73"/>
      <c r="AS344" s="73"/>
      <c r="AT344" s="73"/>
      <c r="AU344" s="73"/>
      <c r="AV344" s="73"/>
      <c r="AW344" s="73"/>
      <c r="AX344" s="73"/>
      <c r="AY344" s="73"/>
      <c r="AZ344" s="73"/>
      <c r="BA344" s="73"/>
      <c r="BB344" s="73"/>
      <c r="BC344" s="73"/>
      <c r="BD344" s="73"/>
      <c r="BE344" s="73"/>
      <c r="BF344" s="73"/>
      <c r="BG344" s="73"/>
      <c r="BH344" s="73"/>
      <c r="BI344" s="73"/>
      <c r="BJ344" s="73"/>
      <c r="BK344" s="73"/>
      <c r="BL344" s="73"/>
      <c r="BM344" s="73"/>
      <c r="BN344" s="73"/>
      <c r="BO344" s="73"/>
      <c r="BP344" s="73"/>
      <c r="BQ344" s="73"/>
      <c r="BR344" s="73"/>
      <c r="BS344" s="73"/>
      <c r="BT344" s="73"/>
      <c r="BU344" s="73"/>
      <c r="BV344" s="73"/>
      <c r="BW344" s="73"/>
      <c r="BX344" s="73"/>
      <c r="BY344" s="73"/>
      <c r="BZ344" s="73"/>
      <c r="CA344" s="73"/>
      <c r="CB344" s="73"/>
      <c r="CC344" s="73"/>
      <c r="CD344" s="73"/>
      <c r="CE344" s="73"/>
      <c r="CF344" s="73"/>
      <c r="CG344" s="73"/>
      <c r="CH344" s="73"/>
      <c r="CI344" s="73"/>
      <c r="CJ344" s="73"/>
      <c r="CK344" s="73"/>
    </row>
    <row r="345" spans="1:89" s="42" customFormat="1" ht="12.6" customHeight="1" x14ac:dyDescent="0.2">
      <c r="A345" s="57"/>
      <c r="B345" s="315"/>
      <c r="C345" s="16" t="str">
        <f>VLOOKUP(229,Textbausteine_102[],Hilfsgrössen!$D$2,FALSE)</f>
        <v>Secteur d’activité Services financiers</v>
      </c>
      <c r="D345" s="1" t="str">
        <f>VLOOKUP(38,Textbausteine_102[],Hilfsgrössen!$D$2,FALSE)</f>
        <v>Indice</v>
      </c>
      <c r="E345" s="9"/>
      <c r="F345" s="94" t="s">
        <v>3170</v>
      </c>
      <c r="G345" s="34"/>
      <c r="H345" s="94" t="s">
        <v>29</v>
      </c>
      <c r="I345" s="94" t="s">
        <v>29</v>
      </c>
      <c r="J345" s="94" t="s">
        <v>29</v>
      </c>
      <c r="K345" s="94" t="s">
        <v>29</v>
      </c>
      <c r="L345" s="94" t="s">
        <v>29</v>
      </c>
      <c r="M345" s="94" t="s">
        <v>29</v>
      </c>
      <c r="N345" s="94" t="s">
        <v>29</v>
      </c>
      <c r="O345" s="94" t="s">
        <v>29</v>
      </c>
      <c r="P345" s="94" t="s">
        <v>29</v>
      </c>
      <c r="Q345" s="94" t="s">
        <v>29</v>
      </c>
      <c r="R345" s="94" t="s">
        <v>29</v>
      </c>
      <c r="S345" s="94" t="s">
        <v>29</v>
      </c>
      <c r="T345" s="94" t="s">
        <v>29</v>
      </c>
      <c r="U345" s="94" t="s">
        <v>29</v>
      </c>
      <c r="V345" s="94" t="s">
        <v>29</v>
      </c>
      <c r="W345" s="94" t="s">
        <v>29</v>
      </c>
      <c r="X345" s="94" t="s">
        <v>29</v>
      </c>
      <c r="Y345" s="196" t="s">
        <v>29</v>
      </c>
      <c r="Z345" s="196">
        <v>77.959999999999994</v>
      </c>
      <c r="AA345" s="360"/>
      <c r="AB345" s="73"/>
      <c r="AC345" s="73"/>
      <c r="AD345" s="73"/>
      <c r="AE345" s="73"/>
      <c r="AF345" s="73"/>
      <c r="AG345" s="73"/>
      <c r="AH345" s="73"/>
      <c r="AI345" s="73"/>
      <c r="AJ345" s="73"/>
      <c r="AK345" s="73"/>
      <c r="AL345" s="73"/>
      <c r="AM345" s="73"/>
      <c r="AN345" s="73"/>
      <c r="AO345" s="73"/>
      <c r="AP345" s="73"/>
      <c r="AQ345" s="73"/>
      <c r="AR345" s="73"/>
      <c r="AS345" s="73"/>
      <c r="AT345" s="73"/>
      <c r="AU345" s="73"/>
      <c r="AV345" s="73"/>
      <c r="AW345" s="73"/>
      <c r="AX345" s="73"/>
      <c r="AY345" s="73"/>
      <c r="AZ345" s="73"/>
      <c r="BA345" s="73"/>
      <c r="BB345" s="73"/>
      <c r="BC345" s="73"/>
      <c r="BD345" s="73"/>
      <c r="BE345" s="73"/>
      <c r="BF345" s="73"/>
      <c r="BG345" s="73"/>
      <c r="BH345" s="73"/>
      <c r="BI345" s="73"/>
      <c r="BJ345" s="73"/>
      <c r="BK345" s="73"/>
      <c r="BL345" s="73"/>
      <c r="BM345" s="73"/>
      <c r="BN345" s="73"/>
      <c r="BO345" s="73"/>
      <c r="BP345" s="73"/>
      <c r="BQ345" s="73"/>
      <c r="BR345" s="73"/>
      <c r="BS345" s="73"/>
      <c r="BT345" s="73"/>
      <c r="BU345" s="73"/>
      <c r="BV345" s="73"/>
      <c r="BW345" s="73"/>
      <c r="BX345" s="73"/>
      <c r="BY345" s="73"/>
      <c r="BZ345" s="73"/>
      <c r="CA345" s="73"/>
      <c r="CB345" s="73"/>
      <c r="CC345" s="73"/>
      <c r="CD345" s="73"/>
      <c r="CE345" s="73"/>
      <c r="CF345" s="73"/>
      <c r="CG345" s="73"/>
      <c r="CH345" s="73"/>
      <c r="CI345" s="73"/>
      <c r="CJ345" s="73"/>
      <c r="CK345" s="73"/>
    </row>
    <row r="346" spans="1:89" s="42" customFormat="1" ht="12.6" customHeight="1" x14ac:dyDescent="0.2">
      <c r="A346" s="57"/>
      <c r="B346" s="315"/>
      <c r="C346" s="13" t="str">
        <f>VLOOKUP(226,Textbausteine_102[],Hilfsgrössen!$D$2,FALSE)</f>
        <v>Gros clients</v>
      </c>
      <c r="D346" s="1" t="str">
        <f>VLOOKUP(38,Textbausteine_102[],Hilfsgrössen!$D$2,FALSE)</f>
        <v>Indice</v>
      </c>
      <c r="E346" s="9"/>
      <c r="F346" s="94" t="s">
        <v>3170</v>
      </c>
      <c r="G346" s="34"/>
      <c r="H346" s="94" t="s">
        <v>29</v>
      </c>
      <c r="I346" s="94" t="s">
        <v>29</v>
      </c>
      <c r="J346" s="94" t="s">
        <v>29</v>
      </c>
      <c r="K346" s="94" t="s">
        <v>29</v>
      </c>
      <c r="L346" s="94" t="s">
        <v>29</v>
      </c>
      <c r="M346" s="94" t="s">
        <v>29</v>
      </c>
      <c r="N346" s="94" t="s">
        <v>29</v>
      </c>
      <c r="O346" s="94" t="s">
        <v>29</v>
      </c>
      <c r="P346" s="94" t="s">
        <v>29</v>
      </c>
      <c r="Q346" s="94" t="s">
        <v>29</v>
      </c>
      <c r="R346" s="94" t="s">
        <v>29</v>
      </c>
      <c r="S346" s="94" t="s">
        <v>29</v>
      </c>
      <c r="T346" s="94" t="s">
        <v>29</v>
      </c>
      <c r="U346" s="94" t="s">
        <v>29</v>
      </c>
      <c r="V346" s="94" t="s">
        <v>29</v>
      </c>
      <c r="W346" s="94" t="s">
        <v>29</v>
      </c>
      <c r="X346" s="94" t="s">
        <v>29</v>
      </c>
      <c r="Y346" s="196" t="s">
        <v>29</v>
      </c>
      <c r="Z346" s="196">
        <v>78.17</v>
      </c>
      <c r="AA346" s="360"/>
      <c r="AB346" s="73"/>
      <c r="AC346" s="73"/>
      <c r="AD346" s="73"/>
      <c r="AE346" s="73"/>
      <c r="AF346" s="73"/>
      <c r="AG346" s="73"/>
      <c r="AH346" s="73"/>
      <c r="AI346" s="73"/>
      <c r="AJ346" s="73"/>
      <c r="AK346" s="73"/>
      <c r="AL346" s="73"/>
      <c r="AM346" s="73"/>
      <c r="AN346" s="73"/>
      <c r="AO346" s="73"/>
      <c r="AP346" s="73"/>
      <c r="AQ346" s="73"/>
      <c r="AR346" s="73"/>
      <c r="AS346" s="73"/>
      <c r="AT346" s="73"/>
      <c r="AU346" s="73"/>
      <c r="AV346" s="73"/>
      <c r="AW346" s="73"/>
      <c r="AX346" s="73"/>
      <c r="AY346" s="73"/>
      <c r="AZ346" s="73"/>
      <c r="BA346" s="73"/>
      <c r="BB346" s="73"/>
      <c r="BC346" s="73"/>
      <c r="BD346" s="73"/>
      <c r="BE346" s="73"/>
      <c r="BF346" s="73"/>
      <c r="BG346" s="73"/>
      <c r="BH346" s="73"/>
      <c r="BI346" s="73"/>
      <c r="BJ346" s="73"/>
      <c r="BK346" s="73"/>
      <c r="BL346" s="73"/>
      <c r="BM346" s="73"/>
      <c r="BN346" s="73"/>
      <c r="BO346" s="73"/>
      <c r="BP346" s="73"/>
      <c r="BQ346" s="73"/>
      <c r="BR346" s="73"/>
      <c r="BS346" s="73"/>
      <c r="BT346" s="73"/>
      <c r="BU346" s="73"/>
      <c r="BV346" s="73"/>
      <c r="BW346" s="73"/>
      <c r="BX346" s="73"/>
      <c r="BY346" s="73"/>
      <c r="BZ346" s="73"/>
      <c r="CA346" s="73"/>
      <c r="CB346" s="73"/>
      <c r="CC346" s="73"/>
      <c r="CD346" s="73"/>
      <c r="CE346" s="73"/>
      <c r="CF346" s="73"/>
      <c r="CG346" s="73"/>
      <c r="CH346" s="73"/>
      <c r="CI346" s="73"/>
      <c r="CJ346" s="73"/>
      <c r="CK346" s="73"/>
    </row>
    <row r="347" spans="1:89" s="42" customFormat="1" ht="12.6" customHeight="1" x14ac:dyDescent="0.2">
      <c r="A347" s="57"/>
      <c r="B347" s="315"/>
      <c r="C347" s="13" t="str">
        <f>VLOOKUP(227,Textbausteine_102[],Hilfsgrössen!$D$2,FALSE)</f>
        <v>Petits clients/clients moyens</v>
      </c>
      <c r="D347" s="1" t="str">
        <f>VLOOKUP(38,Textbausteine_102[],Hilfsgrössen!$D$2,FALSE)</f>
        <v>Indice</v>
      </c>
      <c r="E347" s="9"/>
      <c r="F347" s="94" t="s">
        <v>3170</v>
      </c>
      <c r="G347" s="34"/>
      <c r="H347" s="94" t="s">
        <v>29</v>
      </c>
      <c r="I347" s="94" t="s">
        <v>29</v>
      </c>
      <c r="J347" s="94" t="s">
        <v>29</v>
      </c>
      <c r="K347" s="94" t="s">
        <v>29</v>
      </c>
      <c r="L347" s="94" t="s">
        <v>29</v>
      </c>
      <c r="M347" s="94" t="s">
        <v>29</v>
      </c>
      <c r="N347" s="94" t="s">
        <v>29</v>
      </c>
      <c r="O347" s="94" t="s">
        <v>29</v>
      </c>
      <c r="P347" s="94" t="s">
        <v>29</v>
      </c>
      <c r="Q347" s="94" t="s">
        <v>29</v>
      </c>
      <c r="R347" s="94" t="s">
        <v>29</v>
      </c>
      <c r="S347" s="94" t="s">
        <v>29</v>
      </c>
      <c r="T347" s="94" t="s">
        <v>29</v>
      </c>
      <c r="U347" s="94" t="s">
        <v>29</v>
      </c>
      <c r="V347" s="94" t="s">
        <v>29</v>
      </c>
      <c r="W347" s="94" t="s">
        <v>29</v>
      </c>
      <c r="X347" s="94" t="s">
        <v>29</v>
      </c>
      <c r="Y347" s="196" t="s">
        <v>29</v>
      </c>
      <c r="Z347" s="196">
        <v>76.14</v>
      </c>
      <c r="AA347" s="360"/>
      <c r="AB347" s="73"/>
      <c r="AC347" s="73"/>
      <c r="AD347" s="73"/>
      <c r="AE347" s="73"/>
      <c r="AF347" s="73"/>
      <c r="AG347" s="73"/>
      <c r="AH347" s="73"/>
      <c r="AI347" s="73"/>
      <c r="AJ347" s="73"/>
      <c r="AK347" s="73"/>
      <c r="AL347" s="73"/>
      <c r="AM347" s="73"/>
      <c r="AN347" s="73"/>
      <c r="AO347" s="73"/>
      <c r="AP347" s="73"/>
      <c r="AQ347" s="73"/>
      <c r="AR347" s="73"/>
      <c r="AS347" s="73"/>
      <c r="AT347" s="73"/>
      <c r="AU347" s="73"/>
      <c r="AV347" s="73"/>
      <c r="AW347" s="73"/>
      <c r="AX347" s="73"/>
      <c r="AY347" s="73"/>
      <c r="AZ347" s="73"/>
      <c r="BA347" s="73"/>
      <c r="BB347" s="73"/>
      <c r="BC347" s="73"/>
      <c r="BD347" s="73"/>
      <c r="BE347" s="73"/>
      <c r="BF347" s="73"/>
      <c r="BG347" s="73"/>
      <c r="BH347" s="73"/>
      <c r="BI347" s="73"/>
      <c r="BJ347" s="73"/>
      <c r="BK347" s="73"/>
      <c r="BL347" s="73"/>
      <c r="BM347" s="73"/>
      <c r="BN347" s="73"/>
      <c r="BO347" s="73"/>
      <c r="BP347" s="73"/>
      <c r="BQ347" s="73"/>
      <c r="BR347" s="73"/>
      <c r="BS347" s="73"/>
      <c r="BT347" s="73"/>
      <c r="BU347" s="73"/>
      <c r="BV347" s="73"/>
      <c r="BW347" s="73"/>
      <c r="BX347" s="73"/>
      <c r="BY347" s="73"/>
      <c r="BZ347" s="73"/>
      <c r="CA347" s="73"/>
      <c r="CB347" s="73"/>
      <c r="CC347" s="73"/>
      <c r="CD347" s="73"/>
      <c r="CE347" s="73"/>
      <c r="CF347" s="73"/>
      <c r="CG347" s="73"/>
      <c r="CH347" s="73"/>
      <c r="CI347" s="73"/>
      <c r="CJ347" s="73"/>
      <c r="CK347" s="73"/>
    </row>
    <row r="348" spans="1:89" s="42" customFormat="1" ht="12.6" customHeight="1" x14ac:dyDescent="0.2">
      <c r="A348" s="57"/>
      <c r="B348" s="315"/>
      <c r="C348" s="13" t="str">
        <f>VLOOKUP(228,Textbausteine_102[],Hilfsgrössen!$D$2,FALSE)</f>
        <v>Clientèle privée</v>
      </c>
      <c r="D348" s="1" t="str">
        <f>VLOOKUP(38,Textbausteine_102[],Hilfsgrössen!$D$2,FALSE)</f>
        <v>Indice</v>
      </c>
      <c r="E348" s="9"/>
      <c r="F348" s="94" t="s">
        <v>3170</v>
      </c>
      <c r="G348" s="34"/>
      <c r="H348" s="94" t="s">
        <v>29</v>
      </c>
      <c r="I348" s="94" t="s">
        <v>29</v>
      </c>
      <c r="J348" s="94" t="s">
        <v>29</v>
      </c>
      <c r="K348" s="94" t="s">
        <v>29</v>
      </c>
      <c r="L348" s="94" t="s">
        <v>29</v>
      </c>
      <c r="M348" s="94" t="s">
        <v>29</v>
      </c>
      <c r="N348" s="94" t="s">
        <v>29</v>
      </c>
      <c r="O348" s="94" t="s">
        <v>29</v>
      </c>
      <c r="P348" s="94" t="s">
        <v>29</v>
      </c>
      <c r="Q348" s="94" t="s">
        <v>29</v>
      </c>
      <c r="R348" s="94" t="s">
        <v>29</v>
      </c>
      <c r="S348" s="94" t="s">
        <v>29</v>
      </c>
      <c r="T348" s="94" t="s">
        <v>29</v>
      </c>
      <c r="U348" s="94" t="s">
        <v>29</v>
      </c>
      <c r="V348" s="94" t="s">
        <v>29</v>
      </c>
      <c r="W348" s="94" t="s">
        <v>29</v>
      </c>
      <c r="X348" s="94" t="s">
        <v>29</v>
      </c>
      <c r="Y348" s="196" t="s">
        <v>29</v>
      </c>
      <c r="Z348" s="196">
        <v>78.77</v>
      </c>
      <c r="AA348" s="360"/>
      <c r="AB348" s="73"/>
      <c r="AC348" s="73"/>
      <c r="AD348" s="73"/>
      <c r="AE348" s="73"/>
      <c r="AF348" s="73"/>
      <c r="AG348" s="73"/>
      <c r="AH348" s="73"/>
      <c r="AI348" s="73"/>
      <c r="AJ348" s="73"/>
      <c r="AK348" s="73"/>
      <c r="AL348" s="73"/>
      <c r="AM348" s="73"/>
      <c r="AN348" s="73"/>
      <c r="AO348" s="73"/>
      <c r="AP348" s="73"/>
      <c r="AQ348" s="73"/>
      <c r="AR348" s="73"/>
      <c r="AS348" s="73"/>
      <c r="AT348" s="73"/>
      <c r="AU348" s="73"/>
      <c r="AV348" s="73"/>
      <c r="AW348" s="73"/>
      <c r="AX348" s="73"/>
      <c r="AY348" s="73"/>
      <c r="AZ348" s="73"/>
      <c r="BA348" s="73"/>
      <c r="BB348" s="73"/>
      <c r="BC348" s="73"/>
      <c r="BD348" s="73"/>
      <c r="BE348" s="73"/>
      <c r="BF348" s="73"/>
      <c r="BG348" s="73"/>
      <c r="BH348" s="73"/>
      <c r="BI348" s="73"/>
      <c r="BJ348" s="73"/>
      <c r="BK348" s="73"/>
      <c r="BL348" s="73"/>
      <c r="BM348" s="73"/>
      <c r="BN348" s="73"/>
      <c r="BO348" s="73"/>
      <c r="BP348" s="73"/>
      <c r="BQ348" s="73"/>
      <c r="BR348" s="73"/>
      <c r="BS348" s="73"/>
      <c r="BT348" s="73"/>
      <c r="BU348" s="73"/>
      <c r="BV348" s="73"/>
      <c r="BW348" s="73"/>
      <c r="BX348" s="73"/>
      <c r="BY348" s="73"/>
      <c r="BZ348" s="73"/>
      <c r="CA348" s="73"/>
      <c r="CB348" s="73"/>
      <c r="CC348" s="73"/>
      <c r="CD348" s="73"/>
      <c r="CE348" s="73"/>
      <c r="CF348" s="73"/>
      <c r="CG348" s="73"/>
      <c r="CH348" s="73"/>
      <c r="CI348" s="73"/>
      <c r="CJ348" s="73"/>
      <c r="CK348" s="73"/>
    </row>
    <row r="349" spans="1:89" s="42" customFormat="1" ht="12.6" customHeight="1" x14ac:dyDescent="0.2">
      <c r="A349" s="57"/>
      <c r="B349" s="315"/>
      <c r="C349" s="315"/>
      <c r="E349" s="146"/>
      <c r="F349" s="9"/>
      <c r="G349" s="34"/>
      <c r="H349" s="73"/>
      <c r="I349" s="73"/>
      <c r="J349" s="73"/>
      <c r="K349" s="73"/>
      <c r="L349" s="73"/>
      <c r="M349" s="73"/>
      <c r="N349" s="73"/>
      <c r="O349" s="73"/>
      <c r="P349" s="73"/>
      <c r="Q349" s="73"/>
      <c r="R349" s="73"/>
      <c r="S349" s="73"/>
      <c r="T349" s="75"/>
      <c r="U349" s="75"/>
      <c r="V349" s="75"/>
      <c r="W349" s="75"/>
      <c r="X349" s="242"/>
      <c r="Y349" s="75"/>
      <c r="Z349" s="75"/>
      <c r="AA349" s="360"/>
      <c r="AB349" s="73"/>
      <c r="AC349" s="73"/>
      <c r="AD349" s="73"/>
      <c r="AE349" s="73"/>
      <c r="AF349" s="73"/>
      <c r="AG349" s="73"/>
      <c r="AH349" s="73"/>
      <c r="AI349" s="73"/>
      <c r="AJ349" s="73"/>
      <c r="AK349" s="73"/>
      <c r="AL349" s="73"/>
      <c r="AM349" s="73"/>
      <c r="AN349" s="73"/>
      <c r="AO349" s="73"/>
      <c r="AP349" s="73"/>
      <c r="AQ349" s="73"/>
      <c r="AR349" s="73"/>
      <c r="AS349" s="73"/>
      <c r="AT349" s="73"/>
      <c r="AU349" s="73"/>
      <c r="AV349" s="73"/>
      <c r="AW349" s="73"/>
      <c r="AX349" s="73"/>
      <c r="AY349" s="73"/>
      <c r="AZ349" s="73"/>
      <c r="BA349" s="73"/>
      <c r="BB349" s="73"/>
      <c r="BC349" s="73"/>
      <c r="BD349" s="73"/>
      <c r="BE349" s="73"/>
      <c r="BF349" s="73"/>
      <c r="BG349" s="73"/>
      <c r="BH349" s="73"/>
      <c r="BI349" s="73"/>
      <c r="BJ349" s="73"/>
      <c r="BK349" s="73"/>
      <c r="BL349" s="73"/>
      <c r="BM349" s="73"/>
      <c r="BN349" s="73"/>
      <c r="BO349" s="73"/>
      <c r="BP349" s="73"/>
      <c r="BQ349" s="73"/>
      <c r="BR349" s="73"/>
      <c r="BS349" s="73"/>
      <c r="BT349" s="73"/>
      <c r="BU349" s="73"/>
      <c r="BV349" s="73"/>
      <c r="BW349" s="73"/>
      <c r="BX349" s="73"/>
      <c r="BY349" s="73"/>
      <c r="BZ349" s="73"/>
      <c r="CA349" s="73"/>
      <c r="CB349" s="73"/>
      <c r="CC349" s="73"/>
      <c r="CD349" s="73"/>
      <c r="CE349" s="73"/>
      <c r="CF349" s="73"/>
      <c r="CG349" s="73"/>
      <c r="CH349" s="73"/>
      <c r="CI349" s="73"/>
      <c r="CJ349" s="73"/>
      <c r="CK349" s="73"/>
    </row>
    <row r="350" spans="1:89" s="42" customFormat="1" ht="12.6" customHeight="1" x14ac:dyDescent="0.2">
      <c r="A350" s="57"/>
      <c r="B350" s="2" t="str">
        <f>VLOOKUP(50,Textbausteine_Menu[],Hilfsgrössen!$D$2,FALSE)</f>
        <v>CarPostal</v>
      </c>
      <c r="C350" s="315"/>
      <c r="E350" s="146"/>
      <c r="F350" s="9"/>
      <c r="G350" s="34"/>
      <c r="H350" s="73"/>
      <c r="I350" s="73"/>
      <c r="J350" s="73"/>
      <c r="K350" s="73"/>
      <c r="L350" s="73"/>
      <c r="M350" s="73"/>
      <c r="N350" s="73"/>
      <c r="O350" s="73"/>
      <c r="P350" s="73"/>
      <c r="Q350" s="73"/>
      <c r="R350" s="73"/>
      <c r="S350" s="73"/>
      <c r="T350" s="75"/>
      <c r="U350" s="75"/>
      <c r="V350" s="75"/>
      <c r="W350" s="75"/>
      <c r="X350" s="242"/>
      <c r="Y350" s="75"/>
      <c r="Z350" s="75"/>
      <c r="AA350" s="360"/>
      <c r="AB350" s="73"/>
      <c r="AC350" s="73"/>
      <c r="AD350" s="73"/>
      <c r="AE350" s="73"/>
      <c r="AF350" s="73"/>
      <c r="AG350" s="73"/>
      <c r="AH350" s="73"/>
      <c r="AI350" s="73"/>
      <c r="AJ350" s="73"/>
      <c r="AK350" s="73"/>
      <c r="AL350" s="73"/>
      <c r="AM350" s="73"/>
      <c r="AN350" s="73"/>
      <c r="AO350" s="73"/>
      <c r="AP350" s="73"/>
      <c r="AQ350" s="73"/>
      <c r="AR350" s="73"/>
      <c r="AS350" s="73"/>
      <c r="AT350" s="73"/>
      <c r="AU350" s="73"/>
      <c r="AV350" s="73"/>
      <c r="AW350" s="73"/>
      <c r="AX350" s="73"/>
      <c r="AY350" s="73"/>
      <c r="AZ350" s="73"/>
      <c r="BA350" s="73"/>
      <c r="BB350" s="73"/>
      <c r="BC350" s="73"/>
      <c r="BD350" s="73"/>
      <c r="BE350" s="73"/>
      <c r="BF350" s="73"/>
      <c r="BG350" s="73"/>
      <c r="BH350" s="73"/>
      <c r="BI350" s="73"/>
      <c r="BJ350" s="73"/>
      <c r="BK350" s="73"/>
      <c r="BL350" s="73"/>
      <c r="BM350" s="73"/>
      <c r="BN350" s="73"/>
      <c r="BO350" s="73"/>
      <c r="BP350" s="73"/>
      <c r="BQ350" s="73"/>
      <c r="BR350" s="73"/>
      <c r="BS350" s="73"/>
      <c r="BT350" s="73"/>
      <c r="BU350" s="73"/>
      <c r="BV350" s="73"/>
      <c r="BW350" s="73"/>
      <c r="BX350" s="73"/>
      <c r="BY350" s="73"/>
      <c r="BZ350" s="73"/>
      <c r="CA350" s="73"/>
      <c r="CB350" s="73"/>
      <c r="CC350" s="73"/>
      <c r="CD350" s="73"/>
      <c r="CE350" s="73"/>
      <c r="CF350" s="73"/>
      <c r="CG350" s="73"/>
      <c r="CH350" s="73"/>
      <c r="CI350" s="73"/>
      <c r="CJ350" s="73"/>
      <c r="CK350" s="73"/>
    </row>
    <row r="351" spans="1:89" s="42" customFormat="1" ht="12.6" customHeight="1" x14ac:dyDescent="0.2">
      <c r="A351" s="57"/>
      <c r="B351" s="2"/>
      <c r="C351" s="16" t="str">
        <f>VLOOKUP(230,Textbausteine_102[],Hilfsgrössen!$D$2,FALSE)</f>
        <v>Secteur d’activité Transport de voyageurs</v>
      </c>
      <c r="D351" s="1" t="str">
        <f>VLOOKUP(38,Textbausteine_102[],Hilfsgrössen!$D$2,FALSE)</f>
        <v>Indice</v>
      </c>
      <c r="E351" s="9"/>
      <c r="F351" s="94" t="s">
        <v>3170</v>
      </c>
      <c r="G351" s="34"/>
      <c r="H351" s="94" t="s">
        <v>29</v>
      </c>
      <c r="I351" s="94" t="s">
        <v>29</v>
      </c>
      <c r="J351" s="94" t="s">
        <v>29</v>
      </c>
      <c r="K351" s="94" t="s">
        <v>29</v>
      </c>
      <c r="L351" s="94" t="s">
        <v>29</v>
      </c>
      <c r="M351" s="94" t="s">
        <v>29</v>
      </c>
      <c r="N351" s="94" t="s">
        <v>29</v>
      </c>
      <c r="O351" s="94" t="s">
        <v>29</v>
      </c>
      <c r="P351" s="94" t="s">
        <v>29</v>
      </c>
      <c r="Q351" s="94" t="s">
        <v>29</v>
      </c>
      <c r="R351" s="94" t="s">
        <v>29</v>
      </c>
      <c r="S351" s="94" t="s">
        <v>29</v>
      </c>
      <c r="T351" s="94" t="s">
        <v>29</v>
      </c>
      <c r="U351" s="94" t="s">
        <v>29</v>
      </c>
      <c r="V351" s="94" t="s">
        <v>29</v>
      </c>
      <c r="W351" s="94" t="s">
        <v>29</v>
      </c>
      <c r="X351" s="94" t="s">
        <v>29</v>
      </c>
      <c r="Y351" s="196" t="s">
        <v>29</v>
      </c>
      <c r="Z351" s="196">
        <v>79.77</v>
      </c>
      <c r="AA351" s="360"/>
      <c r="AB351" s="73"/>
      <c r="AC351" s="73"/>
      <c r="AD351" s="73"/>
      <c r="AE351" s="73"/>
      <c r="AF351" s="73"/>
      <c r="AG351" s="73"/>
      <c r="AH351" s="73"/>
      <c r="AI351" s="73"/>
      <c r="AJ351" s="73"/>
      <c r="AK351" s="73"/>
      <c r="AL351" s="73"/>
      <c r="AM351" s="73"/>
      <c r="AN351" s="73"/>
      <c r="AO351" s="73"/>
      <c r="AP351" s="73"/>
      <c r="AQ351" s="73"/>
      <c r="AR351" s="73"/>
      <c r="AS351" s="73"/>
      <c r="AT351" s="73"/>
      <c r="AU351" s="73"/>
      <c r="AV351" s="73"/>
      <c r="AW351" s="73"/>
      <c r="AX351" s="73"/>
      <c r="AY351" s="73"/>
      <c r="AZ351" s="73"/>
      <c r="BA351" s="73"/>
      <c r="BB351" s="73"/>
      <c r="BC351" s="73"/>
      <c r="BD351" s="73"/>
      <c r="BE351" s="73"/>
      <c r="BF351" s="73"/>
      <c r="BG351" s="73"/>
      <c r="BH351" s="73"/>
      <c r="BI351" s="73"/>
      <c r="BJ351" s="73"/>
      <c r="BK351" s="73"/>
      <c r="BL351" s="73"/>
      <c r="BM351" s="73"/>
      <c r="BN351" s="73"/>
      <c r="BO351" s="73"/>
      <c r="BP351" s="73"/>
      <c r="BQ351" s="73"/>
      <c r="BR351" s="73"/>
      <c r="BS351" s="73"/>
      <c r="BT351" s="73"/>
      <c r="BU351" s="73"/>
      <c r="BV351" s="73"/>
      <c r="BW351" s="73"/>
      <c r="BX351" s="73"/>
      <c r="BY351" s="73"/>
      <c r="BZ351" s="73"/>
      <c r="CA351" s="73"/>
      <c r="CB351" s="73"/>
      <c r="CC351" s="73"/>
      <c r="CD351" s="73"/>
      <c r="CE351" s="73"/>
      <c r="CF351" s="73"/>
      <c r="CG351" s="73"/>
      <c r="CH351" s="73"/>
      <c r="CI351" s="73"/>
      <c r="CJ351" s="73"/>
      <c r="CK351" s="73"/>
    </row>
    <row r="352" spans="1:89" s="42" customFormat="1" ht="12.6" customHeight="1" x14ac:dyDescent="0.2">
      <c r="A352" s="57"/>
      <c r="B352" s="315"/>
      <c r="C352" s="13" t="str">
        <f>VLOOKUP(228,Textbausteine_102[],Hilfsgrössen!$D$2,FALSE)</f>
        <v>Clientèle privée</v>
      </c>
      <c r="D352" s="1" t="str">
        <f>VLOOKUP(38,Textbausteine_102[],Hilfsgrössen!$D$2,FALSE)</f>
        <v>Indice</v>
      </c>
      <c r="E352" s="9"/>
      <c r="F352" s="94" t="s">
        <v>3170</v>
      </c>
      <c r="G352" s="34"/>
      <c r="H352" s="94" t="s">
        <v>29</v>
      </c>
      <c r="I352" s="94" t="s">
        <v>29</v>
      </c>
      <c r="J352" s="94" t="s">
        <v>29</v>
      </c>
      <c r="K352" s="94" t="s">
        <v>29</v>
      </c>
      <c r="L352" s="94" t="s">
        <v>29</v>
      </c>
      <c r="M352" s="94" t="s">
        <v>29</v>
      </c>
      <c r="N352" s="94" t="s">
        <v>29</v>
      </c>
      <c r="O352" s="94" t="s">
        <v>29</v>
      </c>
      <c r="P352" s="94" t="s">
        <v>29</v>
      </c>
      <c r="Q352" s="94" t="s">
        <v>29</v>
      </c>
      <c r="R352" s="94" t="s">
        <v>29</v>
      </c>
      <c r="S352" s="94" t="s">
        <v>29</v>
      </c>
      <c r="T352" s="94" t="s">
        <v>29</v>
      </c>
      <c r="U352" s="94" t="s">
        <v>29</v>
      </c>
      <c r="V352" s="94" t="s">
        <v>29</v>
      </c>
      <c r="W352" s="94" t="s">
        <v>29</v>
      </c>
      <c r="X352" s="94" t="s">
        <v>29</v>
      </c>
      <c r="Y352" s="196" t="s">
        <v>29</v>
      </c>
      <c r="Z352" s="196">
        <v>79.77</v>
      </c>
      <c r="AA352" s="360"/>
      <c r="AB352" s="73"/>
      <c r="AC352" s="73"/>
      <c r="AD352" s="73"/>
      <c r="AE352" s="73"/>
      <c r="AF352" s="73"/>
      <c r="AG352" s="73"/>
      <c r="AH352" s="73"/>
      <c r="AI352" s="73"/>
      <c r="AJ352" s="73"/>
      <c r="AK352" s="73"/>
      <c r="AL352" s="73"/>
      <c r="AM352" s="73"/>
      <c r="AN352" s="73"/>
      <c r="AO352" s="73"/>
      <c r="AP352" s="73"/>
      <c r="AQ352" s="73"/>
      <c r="AR352" s="73"/>
      <c r="AS352" s="73"/>
      <c r="AT352" s="73"/>
      <c r="AU352" s="73"/>
      <c r="AV352" s="73"/>
      <c r="AW352" s="73"/>
      <c r="AX352" s="73"/>
      <c r="AY352" s="73"/>
      <c r="AZ352" s="73"/>
      <c r="BA352" s="73"/>
      <c r="BB352" s="73"/>
      <c r="BC352" s="73"/>
      <c r="BD352" s="73"/>
      <c r="BE352" s="73"/>
      <c r="BF352" s="73"/>
      <c r="BG352" s="73"/>
      <c r="BH352" s="73"/>
      <c r="BI352" s="73"/>
      <c r="BJ352" s="73"/>
      <c r="BK352" s="73"/>
      <c r="BL352" s="73"/>
      <c r="BM352" s="73"/>
      <c r="BN352" s="73"/>
      <c r="BO352" s="73"/>
      <c r="BP352" s="73"/>
      <c r="BQ352" s="73"/>
      <c r="BR352" s="73"/>
      <c r="BS352" s="73"/>
      <c r="BT352" s="73"/>
      <c r="BU352" s="73"/>
      <c r="BV352" s="73"/>
      <c r="BW352" s="73"/>
      <c r="BX352" s="73"/>
      <c r="BY352" s="73"/>
      <c r="BZ352" s="73"/>
      <c r="CA352" s="73"/>
      <c r="CB352" s="73"/>
      <c r="CC352" s="73"/>
      <c r="CD352" s="73"/>
      <c r="CE352" s="73"/>
      <c r="CF352" s="73"/>
      <c r="CG352" s="73"/>
      <c r="CH352" s="73"/>
      <c r="CI352" s="73"/>
      <c r="CJ352" s="73"/>
      <c r="CK352" s="73"/>
    </row>
    <row r="353" spans="1:89" s="42" customFormat="1" ht="12.6" customHeight="1" x14ac:dyDescent="0.2">
      <c r="A353" s="57"/>
      <c r="B353" s="315"/>
      <c r="C353" s="13"/>
      <c r="D353" s="1"/>
      <c r="E353" s="9"/>
      <c r="F353" s="9"/>
      <c r="G353" s="34"/>
      <c r="H353" s="94"/>
      <c r="I353" s="94"/>
      <c r="J353" s="94"/>
      <c r="K353" s="94"/>
      <c r="L353" s="94"/>
      <c r="M353" s="94"/>
      <c r="N353" s="94"/>
      <c r="O353" s="94"/>
      <c r="P353" s="94"/>
      <c r="Q353" s="94"/>
      <c r="R353" s="94"/>
      <c r="S353" s="94"/>
      <c r="T353" s="94"/>
      <c r="U353" s="94"/>
      <c r="V353" s="94"/>
      <c r="W353" s="94"/>
      <c r="X353" s="94"/>
      <c r="Y353" s="196"/>
      <c r="Z353" s="196"/>
      <c r="AA353" s="360"/>
      <c r="AB353" s="73"/>
      <c r="AC353" s="73"/>
      <c r="AD353" s="73"/>
      <c r="AE353" s="73"/>
      <c r="AF353" s="73"/>
      <c r="AG353" s="73"/>
      <c r="AH353" s="73"/>
      <c r="AI353" s="73"/>
      <c r="AJ353" s="73"/>
      <c r="AK353" s="73"/>
      <c r="AL353" s="73"/>
      <c r="AM353" s="73"/>
      <c r="AN353" s="73"/>
      <c r="AO353" s="73"/>
      <c r="AP353" s="73"/>
      <c r="AQ353" s="73"/>
      <c r="AR353" s="73"/>
      <c r="AS353" s="73"/>
      <c r="AT353" s="73"/>
      <c r="AU353" s="73"/>
      <c r="AV353" s="73"/>
      <c r="AW353" s="73"/>
      <c r="AX353" s="73"/>
      <c r="AY353" s="73"/>
      <c r="AZ353" s="73"/>
      <c r="BA353" s="73"/>
      <c r="BB353" s="73"/>
      <c r="BC353" s="73"/>
      <c r="BD353" s="73"/>
      <c r="BE353" s="73"/>
      <c r="BF353" s="73"/>
      <c r="BG353" s="73"/>
      <c r="BH353" s="73"/>
      <c r="BI353" s="73"/>
      <c r="BJ353" s="73"/>
      <c r="BK353" s="73"/>
      <c r="BL353" s="73"/>
      <c r="BM353" s="73"/>
      <c r="BN353" s="73"/>
      <c r="BO353" s="73"/>
      <c r="BP353" s="73"/>
      <c r="BQ353" s="73"/>
      <c r="BR353" s="73"/>
      <c r="BS353" s="73"/>
      <c r="BT353" s="73"/>
      <c r="BU353" s="73"/>
      <c r="BV353" s="73"/>
      <c r="BW353" s="73"/>
      <c r="BX353" s="73"/>
      <c r="BY353" s="73"/>
      <c r="BZ353" s="73"/>
      <c r="CA353" s="73"/>
      <c r="CB353" s="73"/>
      <c r="CC353" s="73"/>
      <c r="CD353" s="73"/>
      <c r="CE353" s="73"/>
      <c r="CF353" s="73"/>
      <c r="CG353" s="73"/>
      <c r="CH353" s="73"/>
      <c r="CI353" s="73"/>
      <c r="CJ353" s="73"/>
      <c r="CK353" s="73"/>
    </row>
    <row r="354" spans="1:89" s="42" customFormat="1" ht="12.6" customHeight="1" x14ac:dyDescent="0.2">
      <c r="A354" s="57"/>
      <c r="B354" s="315"/>
      <c r="C354" s="13"/>
      <c r="D354" s="1"/>
      <c r="E354" s="146"/>
      <c r="F354" s="9"/>
      <c r="G354" s="34"/>
      <c r="H354" s="73"/>
      <c r="I354" s="73"/>
      <c r="J354" s="73"/>
      <c r="K354" s="73"/>
      <c r="L354" s="73"/>
      <c r="M354" s="73"/>
      <c r="N354" s="73"/>
      <c r="O354" s="73"/>
      <c r="P354" s="73"/>
      <c r="Q354" s="73"/>
      <c r="R354" s="73"/>
      <c r="S354" s="73"/>
      <c r="T354" s="75"/>
      <c r="U354" s="75"/>
      <c r="V354" s="75"/>
      <c r="W354" s="75"/>
      <c r="X354" s="242"/>
      <c r="Y354" s="75"/>
      <c r="Z354" s="75"/>
      <c r="AA354" s="300"/>
      <c r="AB354" s="73"/>
      <c r="AC354" s="73"/>
      <c r="AD354" s="73"/>
      <c r="AE354" s="73"/>
      <c r="AF354" s="73"/>
      <c r="AG354" s="73"/>
      <c r="AH354" s="73"/>
      <c r="AI354" s="73"/>
      <c r="AJ354" s="73"/>
      <c r="AK354" s="73"/>
      <c r="AL354" s="73"/>
      <c r="AM354" s="73"/>
      <c r="AN354" s="73"/>
      <c r="AO354" s="73"/>
      <c r="AP354" s="73"/>
      <c r="AQ354" s="73"/>
      <c r="AR354" s="73"/>
      <c r="AS354" s="73"/>
      <c r="AT354" s="73"/>
      <c r="AU354" s="73"/>
      <c r="AV354" s="73"/>
      <c r="AW354" s="73"/>
      <c r="AX354" s="73"/>
      <c r="AY354" s="73"/>
      <c r="AZ354" s="73"/>
      <c r="BA354" s="73"/>
      <c r="BB354" s="73"/>
      <c r="BC354" s="73"/>
      <c r="BD354" s="73"/>
      <c r="BE354" s="73"/>
      <c r="BF354" s="73"/>
      <c r="BG354" s="73"/>
      <c r="BH354" s="73"/>
      <c r="BI354" s="73"/>
      <c r="BJ354" s="73"/>
      <c r="BK354" s="73"/>
      <c r="BL354" s="73"/>
      <c r="BM354" s="73"/>
      <c r="BN354" s="73"/>
      <c r="BO354" s="73"/>
      <c r="BP354" s="73"/>
      <c r="BQ354" s="73"/>
      <c r="BR354" s="73"/>
      <c r="BS354" s="73"/>
      <c r="BT354" s="73"/>
      <c r="BU354" s="73"/>
      <c r="BV354" s="73"/>
      <c r="BW354" s="73"/>
      <c r="BX354" s="73"/>
      <c r="BY354" s="73"/>
      <c r="BZ354" s="73"/>
      <c r="CA354" s="73"/>
      <c r="CB354" s="73"/>
      <c r="CC354" s="73"/>
      <c r="CD354" s="73"/>
      <c r="CE354" s="73"/>
      <c r="CF354" s="73"/>
      <c r="CG354" s="73"/>
      <c r="CH354" s="73"/>
      <c r="CI354" s="73"/>
      <c r="CJ354" s="73"/>
      <c r="CK354" s="73"/>
    </row>
    <row r="355" spans="1:89" s="371" customFormat="1" ht="12.6" customHeight="1" x14ac:dyDescent="0.25">
      <c r="A355" s="339"/>
      <c r="B355" s="340" t="str">
        <f>VLOOKUP(347,Textbausteine_102[],Hilfsgrössen!$D$2,FALSE)</f>
        <v>1) Le sondage sur la satisfaction de la clientèle 2022 constitue un sondage zéro. En raison de changements apportés à la structure organisationnelle et de nouvelles pondérations, les valeurs de l’exercice sous revue ne sont pas comparables avec celles des exercices précédents.</v>
      </c>
      <c r="E355" s="395"/>
      <c r="F355" s="372"/>
      <c r="G355" s="373"/>
      <c r="H355" s="372"/>
      <c r="I355" s="372"/>
      <c r="J355" s="372"/>
      <c r="K355" s="372"/>
      <c r="L355" s="372"/>
      <c r="M355" s="372"/>
      <c r="N355" s="372"/>
      <c r="O355" s="372"/>
      <c r="P355" s="372"/>
      <c r="Q355" s="372"/>
      <c r="R355" s="372"/>
      <c r="S355" s="372"/>
      <c r="T355" s="372"/>
      <c r="U355" s="372"/>
      <c r="V355" s="372"/>
      <c r="W355" s="372"/>
      <c r="X355" s="372"/>
      <c r="Y355" s="372"/>
      <c r="Z355" s="372"/>
      <c r="AA355" s="370"/>
      <c r="AB355" s="372"/>
      <c r="AC355" s="372"/>
      <c r="AD355" s="372"/>
      <c r="AE355" s="372"/>
      <c r="AF355" s="372"/>
      <c r="AG355" s="372"/>
      <c r="AH355" s="372"/>
      <c r="AI355" s="372"/>
      <c r="AJ355" s="372"/>
      <c r="AK355" s="372"/>
      <c r="AL355" s="372"/>
      <c r="AM355" s="372"/>
      <c r="AN355" s="372"/>
      <c r="AO355" s="372"/>
      <c r="AP355" s="372"/>
      <c r="AQ355" s="372"/>
      <c r="AR355" s="372"/>
      <c r="AS355" s="372"/>
      <c r="AT355" s="372"/>
      <c r="AU355" s="372"/>
      <c r="AV355" s="372"/>
      <c r="AW355" s="372"/>
      <c r="AX355" s="372"/>
      <c r="AY355" s="372"/>
      <c r="AZ355" s="372"/>
      <c r="BA355" s="372"/>
      <c r="BB355" s="372"/>
      <c r="BC355" s="372"/>
      <c r="BD355" s="372"/>
      <c r="BE355" s="372"/>
      <c r="BF355" s="372"/>
      <c r="BG355" s="372"/>
      <c r="BH355" s="372"/>
      <c r="BI355" s="372"/>
      <c r="BJ355" s="372"/>
      <c r="BK355" s="372"/>
      <c r="BL355" s="372"/>
      <c r="BM355" s="372"/>
      <c r="BN355" s="372"/>
      <c r="BO355" s="372"/>
      <c r="BP355" s="372"/>
      <c r="BQ355" s="372"/>
      <c r="BR355" s="372"/>
      <c r="BS355" s="372"/>
      <c r="BT355" s="372"/>
      <c r="BU355" s="372"/>
      <c r="BV355" s="372"/>
      <c r="BW355" s="372"/>
      <c r="BX355" s="372"/>
      <c r="BY355" s="372"/>
      <c r="BZ355" s="372"/>
      <c r="CA355" s="372"/>
      <c r="CB355" s="372"/>
      <c r="CC355" s="372"/>
      <c r="CD355" s="372"/>
      <c r="CE355" s="372"/>
      <c r="CF355" s="372"/>
      <c r="CG355" s="372"/>
      <c r="CH355" s="372"/>
      <c r="CI355" s="372"/>
      <c r="CJ355" s="372"/>
      <c r="CK355" s="372"/>
    </row>
    <row r="366" spans="1:89" ht="12.6" customHeight="1" x14ac:dyDescent="0.2">
      <c r="O366" s="9" t="s">
        <v>3127</v>
      </c>
    </row>
  </sheetData>
  <sheetProtection algorithmName="SHA-512" hashValue="kzyhtC7tnhqnMAnaWuFjOFSwKTYTFHmjyDFbed4d0s3fJTVflDQyoxb072VDh96DlctGSiSpFt5092yqhdcPvQ==" saltValue="qgw3mWN3P38kfbdok5nnPQ==" spinCount="100000" sheet="1" objects="1" scenarios="1"/>
  <mergeCells count="14">
    <mergeCell ref="B336:C337"/>
    <mergeCell ref="D2:E2"/>
    <mergeCell ref="B262:C263"/>
    <mergeCell ref="B293:C294"/>
    <mergeCell ref="B2:C2"/>
    <mergeCell ref="B3:C3"/>
    <mergeCell ref="B209:C210"/>
    <mergeCell ref="B248:C249"/>
    <mergeCell ref="B20:C21"/>
    <mergeCell ref="B324:C325"/>
    <mergeCell ref="B47:C48"/>
    <mergeCell ref="B59:C60"/>
    <mergeCell ref="B74:C75"/>
    <mergeCell ref="B182:C183"/>
  </mergeCells>
  <conditionalFormatting sqref="H20:X23 H25:Y27 H35:W35 Y68 H82:X83 H93:S93 H95:S95 Y82:Y85 Y87 H94:T94 U95:X96 H125 N125:X125 H138:X140 H131:Y132 H144:X144 H133:X135 H126:X130 Y125:Y130 H145:Y150 H31:Y34 H36:Y52 H54:Y65 H69:Y81 K215:W215 H213:W214 X213:Y215 H282:K283 H308:Q311 H274:X281 N272:X272 P273:X273 H267:X271 T282:Y282 H306:Y307 Y301 Y305 Y309 Y267:Y281 Y311 H284:Y299 H343:Y344 H349:Y350 H216:Y266 H339:X342 H351:X353 H345:X348 H354:Y10007 H98:Y124 Y133:Y144 H152:Y212 H312:Y338 AA20:CE10007">
    <cfRule type="expression" dxfId="1643" priority="1339">
      <formula>AND($D20&lt;&gt;"",H$20&lt;&gt;"",H20="")</formula>
    </cfRule>
    <cfRule type="expression" dxfId="1642" priority="1373">
      <formula>AND($A20="",ABS(H20)=0)</formula>
    </cfRule>
    <cfRule type="expression" dxfId="1641" priority="1375">
      <formula>AND($A20="",ABS(H20)&lt;10)</formula>
    </cfRule>
    <cfRule type="expression" dxfId="1640" priority="1376">
      <formula>AND($A20="",ABS(H20)&lt;100)</formula>
    </cfRule>
    <cfRule type="expression" dxfId="1639" priority="1377">
      <formula>AND($A20="",ABS(H20)&gt;=100)</formula>
    </cfRule>
  </conditionalFormatting>
  <conditionalFormatting sqref="Y20:Y23">
    <cfRule type="expression" dxfId="1638" priority="204">
      <formula>AND($D20&lt;&gt;"",Y$20&lt;&gt;"",Y20="")</formula>
    </cfRule>
    <cfRule type="expression" dxfId="1637" priority="205">
      <formula>AND($A20="",ABS(Y20)=0)</formula>
    </cfRule>
    <cfRule type="expression" dxfId="1636" priority="206">
      <formula>AND($A20="",ABS(Y20)&lt;10)</formula>
    </cfRule>
    <cfRule type="expression" dxfId="1635" priority="207">
      <formula>AND($A20="",ABS(Y20)&lt;100)</formula>
    </cfRule>
    <cfRule type="expression" dxfId="1634" priority="208">
      <formula>AND($A20="",ABS(Y20)&gt;=100)</formula>
    </cfRule>
  </conditionalFormatting>
  <conditionalFormatting sqref="H29:Y30">
    <cfRule type="expression" dxfId="1633" priority="2906">
      <formula>AND($A28="",ABS(H29)=0)</formula>
    </cfRule>
    <cfRule type="expression" dxfId="1632" priority="2907">
      <formula>AND($A28="",ABS(H29)&lt;10)</formula>
    </cfRule>
    <cfRule type="expression" dxfId="1631" priority="2908">
      <formula>AND($A28="",ABS(H29)&lt;100)</formula>
    </cfRule>
    <cfRule type="expression" dxfId="1630" priority="2909">
      <formula>AND($A28="",ABS(H29)&gt;=100)</formula>
    </cfRule>
  </conditionalFormatting>
  <conditionalFormatting sqref="Z25:Z27 Z87 Z31:Z34 Z36:Z52 Z54:Z65 Z68:Z85 Z301 Z305:Z307 Z309 Z284:Z299 Z343:Z344 Z349:Z350 Z354:Z10007 Z98:Z150 Z152:Z282 Z311:Z338">
    <cfRule type="expression" dxfId="1629" priority="6">
      <formula>AND($D25&lt;&gt;"",Z$20&lt;&gt;"",Z25="")</formula>
    </cfRule>
    <cfRule type="expression" dxfId="1628" priority="7">
      <formula>AND($A25="",ABS(Z25)=0)</formula>
    </cfRule>
    <cfRule type="expression" dxfId="1627" priority="8">
      <formula>AND($A25="",ABS(Z25)&lt;10)</formula>
    </cfRule>
    <cfRule type="expression" dxfId="1626" priority="9">
      <formula>AND($A25="",ABS(Z25)&lt;100)</formula>
    </cfRule>
    <cfRule type="expression" dxfId="1625" priority="10">
      <formula>AND($A25="",ABS(Z25)&gt;=100)</formula>
    </cfRule>
  </conditionalFormatting>
  <conditionalFormatting sqref="Z20:Z23">
    <cfRule type="expression" dxfId="1624" priority="1">
      <formula>AND($D20&lt;&gt;"",Z$20&lt;&gt;"",Z20="")</formula>
    </cfRule>
    <cfRule type="expression" dxfId="1623" priority="2">
      <formula>AND($A20="",ABS(Z20)=0)</formula>
    </cfRule>
    <cfRule type="expression" dxfId="1622" priority="3">
      <formula>AND($A20="",ABS(Z20)&lt;10)</formula>
    </cfRule>
    <cfRule type="expression" dxfId="1621" priority="4">
      <formula>AND($A20="",ABS(Z20)&lt;100)</formula>
    </cfRule>
    <cfRule type="expression" dxfId="1620" priority="5">
      <formula>AND($A20="",ABS(Z20)&gt;=100)</formula>
    </cfRule>
  </conditionalFormatting>
  <conditionalFormatting sqref="Z29:Z30">
    <cfRule type="expression" dxfId="1619" priority="11">
      <formula>AND($A28="",ABS(Z29)=0)</formula>
    </cfRule>
    <cfRule type="expression" dxfId="1618" priority="12">
      <formula>AND($A28="",ABS(Z29)&lt;10)</formula>
    </cfRule>
    <cfRule type="expression" dxfId="1617" priority="13">
      <formula>AND($A28="",ABS(Z29)&lt;100)</formula>
    </cfRule>
    <cfRule type="expression" dxfId="1616" priority="14">
      <formula>AND($A28="",ABS(Z29)&gt;=100)</formula>
    </cfRule>
  </conditionalFormatting>
  <dataValidations count="2">
    <dataValidation type="list" allowBlank="1" showInputMessage="1" showErrorMessage="1" sqref="G2" xr:uid="{00000000-0002-0000-0100-000000000000}">
      <formula1>Sprache</formula1>
    </dataValidation>
    <dataValidation allowBlank="1" showInputMessage="1" showErrorMessage="1" sqref="F2" xr:uid="{2A549811-5692-406E-9DB6-B33FFC429720}"/>
  </dataValidations>
  <hyperlinks>
    <hyperlink ref="D2" location="Home" display="Home" xr:uid="{00000000-0004-0000-0100-000000000000}"/>
    <hyperlink ref="A209" location="GRI_102" display="Ó" xr:uid="{00000000-0004-0000-0100-000001000000}"/>
    <hyperlink ref="A248" location="GRI_102" display="Ó" xr:uid="{00000000-0004-0000-0100-000002000000}"/>
    <hyperlink ref="A293" location="GRI_102" display="Ó" xr:uid="{00000000-0004-0000-0100-000003000000}"/>
    <hyperlink ref="A262" location="GRI_102" display="Ó" xr:uid="{00000000-0004-0000-0100-000004000000}"/>
    <hyperlink ref="C12" location="GRI_102_8a" display="GRI_102_8a" xr:uid="{00000000-0004-0000-0100-000005000000}"/>
    <hyperlink ref="C13" location="GRI_102_8b" display="GRI_102_8b" xr:uid="{00000000-0004-0000-0100-000006000000}"/>
    <hyperlink ref="C14" location="GRI_102_8c" display="GRI_102_8c" xr:uid="{00000000-0004-0000-0100-000007000000}"/>
    <hyperlink ref="C15" location="GRI_102_8d" display="GRI_102_8d" xr:uid="{00000000-0004-0000-0100-000008000000}"/>
    <hyperlink ref="A324" location="GRI_102" display="Ó" xr:uid="{00000000-0004-0000-0100-000009000000}"/>
    <hyperlink ref="A47" location="GRI_102" display="Ó" xr:uid="{00000000-0004-0000-0100-00000A000000}"/>
    <hyperlink ref="A59" location="GRI_102" display="Ó" xr:uid="{00000000-0004-0000-0100-00000B000000}"/>
    <hyperlink ref="A74" location="GRI_102" display="Ó" xr:uid="{00000000-0004-0000-0100-00000C000000}"/>
    <hyperlink ref="A182" location="GRI_102" display="Ó" xr:uid="{00000000-0004-0000-0100-00000D000000}"/>
    <hyperlink ref="A336" location="GRI_102" display="Ó" xr:uid="{00000000-0004-0000-0100-00000E000000}"/>
    <hyperlink ref="C8" location="GRI_102_7a" display="Finanzierung" xr:uid="{00000000-0004-0000-0100-00000F000000}"/>
    <hyperlink ref="C9" location="GRI_102_7b" display="Cashflow und Investitionen" xr:uid="{00000000-0004-0000-0100-000010000000}"/>
    <hyperlink ref="C10" location="GRI_102_7c" display="Mengenentwicklung Konzern, in den Segmenten und Bereichen" xr:uid="{00000000-0004-0000-0100-000011000000}"/>
    <hyperlink ref="C11" location="GRI_102_7d" display="Volumen Zahlungsverkehr" xr:uid="{00000000-0004-0000-0100-000012000000}"/>
    <hyperlink ref="A20" location="GRI_102" display="Ó" xr:uid="{00000000-0004-0000-0100-000013000000}"/>
    <hyperlink ref="C7" location="GRI_102_6a" display="GRI_102_6a" xr:uid="{00000000-0004-0000-0100-000014000000}"/>
    <hyperlink ref="C16" location="GRI_102_9a" display="Lieferkette" xr:uid="{00000000-0004-0000-0100-000015000000}"/>
    <hyperlink ref="C17" location="GRI_102_43a" display="Kundenzufriedenheit" xr:uid="{00000000-0004-0000-0100-000016000000}"/>
  </hyperlinks>
  <pageMargins left="0.7" right="0.7" top="0.78740157499999996" bottom="0.78740157499999996" header="0.3" footer="0.3"/>
  <pageSetup paperSize="9" orientation="portrait" r:id="rId1"/>
  <ignoredErrors>
    <ignoredError sqref="E254:E255 E267:E284 E302:E307 E217:E219 E224:E237 E86:E87 F339:F352" twoDigitTextYear="1"/>
    <ignoredError sqref="C253 C309:C310 D53 D112" formula="1"/>
    <ignoredError sqref="E299 E109:E110" numberStoredAsText="1"/>
    <ignoredError sqref="E308:E309 E114:E116 E112" twoDigitTextYear="1" numberStoredAsText="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2">
    <tabColor rgb="FF523178"/>
  </sheetPr>
  <dimension ref="A2:AF166"/>
  <sheetViews>
    <sheetView showGridLines="0" showRowColHeaders="0" zoomScaleNormal="100" workbookViewId="0">
      <pane xSplit="7" topLeftCell="T1" activePane="topRight" state="frozen"/>
      <selection activeCell="B3" sqref="B3:C3"/>
      <selection pane="topRight" activeCell="B3" sqref="B3:C3"/>
    </sheetView>
  </sheetViews>
  <sheetFormatPr baseColWidth="10" defaultColWidth="10.85546875" defaultRowHeight="12.95" customHeight="1" x14ac:dyDescent="0.2"/>
  <cols>
    <col min="1" max="1" width="2.42578125" style="61" customWidth="1"/>
    <col min="2" max="2" width="2.42578125" style="1" customWidth="1"/>
    <col min="3" max="3" width="88.5703125" style="1" bestFit="1" customWidth="1"/>
    <col min="4" max="4" width="10.28515625" style="1" customWidth="1"/>
    <col min="5" max="5" width="9.42578125" style="9" customWidth="1"/>
    <col min="6" max="6" width="14.140625" style="9" customWidth="1"/>
    <col min="7" max="7" width="2.42578125" style="34" customWidth="1"/>
    <col min="8" max="21" width="11.85546875" style="1" customWidth="1"/>
    <col min="22" max="23" width="12" style="11" customWidth="1"/>
    <col min="24" max="42" width="11.85546875" style="1" customWidth="1"/>
    <col min="43" max="16384" width="10.85546875" style="1"/>
  </cols>
  <sheetData>
    <row r="2" spans="1:31" s="89" customFormat="1" ht="26.1" customHeight="1" x14ac:dyDescent="0.2">
      <c r="A2" s="58"/>
      <c r="B2" s="406" t="str">
        <f>UPPER(RIGHT(Inhaltsverzeichnis!$C$12,LEN(Inhaltsverzeichnis!$C$12)-FIND(" – ",Inhaltsverzeichnis!$C$12,1)-2))</f>
        <v>PERFORMANCE ÉCONOMIQUE</v>
      </c>
      <c r="C2" s="406"/>
      <c r="D2" s="402" t="str">
        <f>VLOOKUP(35,Textbausteine_Menu[],Hilfsgrössen!$D$2,FALSE)</f>
        <v>retour à la table des matières</v>
      </c>
      <c r="E2" s="403"/>
      <c r="F2" s="83" t="s">
        <v>149</v>
      </c>
      <c r="G2" s="96"/>
      <c r="V2" s="71"/>
      <c r="W2" s="71"/>
      <c r="AD2" s="396"/>
    </row>
    <row r="3" spans="1:31" s="90" customFormat="1" ht="26.1" customHeight="1" x14ac:dyDescent="0.2">
      <c r="A3" s="59"/>
      <c r="B3" s="407" t="str">
        <f>UPPER("GRI "&amp;LEFT(Inhaltsverzeichnis!$C$12,3))</f>
        <v>GRI 201</v>
      </c>
      <c r="C3" s="407"/>
      <c r="E3" s="27"/>
      <c r="F3" s="27"/>
      <c r="G3" s="32"/>
      <c r="V3" s="71"/>
      <c r="W3" s="71"/>
      <c r="AD3" s="397"/>
    </row>
    <row r="6" spans="1:31" s="6" customFormat="1" ht="12.95" customHeight="1" x14ac:dyDescent="0.2">
      <c r="A6" s="60"/>
      <c r="B6" s="6" t="str">
        <f>VLOOKUP(31,Textbausteine_Menu[],Hilfsgrössen!$D$2,FALSE)</f>
        <v>Divulgations</v>
      </c>
      <c r="E6" s="28"/>
      <c r="F6" s="28"/>
      <c r="G6" s="33"/>
      <c r="V6" s="11"/>
      <c r="W6" s="11"/>
    </row>
    <row r="7" spans="1:31" ht="12.95" customHeight="1" x14ac:dyDescent="0.2">
      <c r="B7" s="2"/>
      <c r="C7" s="3" t="str">
        <f>VLOOKUP(1,Textbausteine_201[],Hilfsgrössen!$D$2,FALSE)</f>
        <v>Résultat financier</v>
      </c>
      <c r="D7" s="4"/>
    </row>
    <row r="8" spans="1:31" ht="12.95" customHeight="1" x14ac:dyDescent="0.2">
      <c r="B8" s="2"/>
      <c r="C8" s="3" t="str">
        <f>VLOOKUP(3,Textbausteine_201[],Hilfsgrössen!$D$2,FALSE)</f>
        <v>Répartition de la valeur ajoutée</v>
      </c>
      <c r="D8" s="4"/>
    </row>
    <row r="9" spans="1:31" ht="12.95" customHeight="1" x14ac:dyDescent="0.2">
      <c r="B9" s="2"/>
      <c r="C9" s="5" t="str">
        <f>VLOOKUP(2,Textbausteine_201[],Hilfsgrössen!$D$2,FALSE)</f>
        <v>Caisse de pensions</v>
      </c>
    </row>
    <row r="10" spans="1:31" ht="12.95" customHeight="1" x14ac:dyDescent="0.2">
      <c r="B10" s="2"/>
    </row>
    <row r="11" spans="1:31" ht="12.95" customHeight="1" x14ac:dyDescent="0.2">
      <c r="B11" s="2"/>
    </row>
    <row r="12" spans="1:31" s="6" customFormat="1" ht="12.95" customHeight="1" x14ac:dyDescent="0.2">
      <c r="A12" s="56" t="s">
        <v>27</v>
      </c>
      <c r="B12" s="401" t="str">
        <f>$C$7</f>
        <v>Résultat financier</v>
      </c>
      <c r="C12" s="401"/>
      <c r="D12" s="6" t="str">
        <f>VLOOKUP(32,Textbausteine_Menu[],Hilfsgrössen!$D$2,FALSE)</f>
        <v>Unité</v>
      </c>
      <c r="E12" s="28" t="str">
        <f>VLOOKUP(33,Textbausteine_Menu[],Hilfsgrössen!$D$2,FALSE)</f>
        <v>Notes</v>
      </c>
      <c r="F12" s="28" t="str">
        <f>VLOOKUP(34,Textbausteine_Menu[],Hilfsgrössen!$D$2,FALSE)</f>
        <v>GRI</v>
      </c>
      <c r="G12" s="33"/>
      <c r="H12" s="2">
        <v>2004</v>
      </c>
      <c r="I12" s="2">
        <v>2005</v>
      </c>
      <c r="J12" s="2">
        <v>2006</v>
      </c>
      <c r="K12" s="2">
        <v>2007</v>
      </c>
      <c r="L12" s="2">
        <v>2008</v>
      </c>
      <c r="M12" s="2">
        <v>2009</v>
      </c>
      <c r="N12" s="2">
        <v>2010</v>
      </c>
      <c r="O12" s="2">
        <v>2011</v>
      </c>
      <c r="P12" s="7">
        <v>2012</v>
      </c>
      <c r="Q12" s="2">
        <v>2013</v>
      </c>
      <c r="R12" s="7" t="s">
        <v>80</v>
      </c>
      <c r="S12" s="2">
        <v>2014</v>
      </c>
      <c r="T12" s="2">
        <v>2015</v>
      </c>
      <c r="U12" s="7" t="s">
        <v>81</v>
      </c>
      <c r="V12" s="7">
        <v>2016</v>
      </c>
      <c r="W12" s="7">
        <v>2017</v>
      </c>
      <c r="X12" s="7" t="s">
        <v>82</v>
      </c>
      <c r="Y12" s="7">
        <v>2018</v>
      </c>
      <c r="Z12" s="7">
        <v>2019</v>
      </c>
      <c r="AA12" s="7" t="s">
        <v>83</v>
      </c>
      <c r="AB12" s="7">
        <v>2021</v>
      </c>
      <c r="AC12" s="7" t="s">
        <v>84</v>
      </c>
      <c r="AD12" s="7">
        <v>2022</v>
      </c>
    </row>
    <row r="13" spans="1:31" s="6" customFormat="1" ht="12.95" customHeight="1" x14ac:dyDescent="0.2">
      <c r="A13" s="61"/>
      <c r="B13" s="401"/>
      <c r="C13" s="401"/>
      <c r="E13" s="28"/>
      <c r="F13" s="28"/>
      <c r="G13" s="33"/>
      <c r="H13" s="2"/>
      <c r="I13" s="2"/>
      <c r="J13" s="2"/>
      <c r="K13" s="2"/>
      <c r="L13" s="2"/>
      <c r="M13" s="2"/>
      <c r="N13" s="2"/>
      <c r="O13" s="2"/>
      <c r="P13" s="7"/>
      <c r="Q13" s="2"/>
      <c r="R13" s="7"/>
      <c r="S13" s="2"/>
      <c r="T13" s="2"/>
      <c r="U13" s="7"/>
      <c r="V13" s="11"/>
      <c r="W13" s="11"/>
      <c r="X13" s="11"/>
      <c r="Y13" s="11"/>
      <c r="Z13" s="11"/>
      <c r="AA13" s="11"/>
      <c r="AB13" s="11"/>
    </row>
    <row r="14" spans="1:31" ht="12.95" customHeight="1" x14ac:dyDescent="0.2">
      <c r="B14" s="2"/>
      <c r="E14" s="10"/>
      <c r="H14" s="2"/>
      <c r="I14" s="2"/>
      <c r="J14" s="2"/>
      <c r="K14" s="2"/>
      <c r="L14" s="2"/>
      <c r="M14" s="2"/>
      <c r="N14" s="68"/>
      <c r="O14" s="68"/>
      <c r="P14" s="9"/>
      <c r="Q14" s="9"/>
      <c r="R14" s="9"/>
      <c r="S14" s="9"/>
      <c r="T14" s="9"/>
      <c r="U14" s="9"/>
      <c r="X14" s="11"/>
      <c r="Y14" s="11"/>
      <c r="Z14" s="11"/>
      <c r="AA14" s="11"/>
      <c r="AB14" s="11"/>
    </row>
    <row r="15" spans="1:31" ht="12.95" customHeight="1" x14ac:dyDescent="0.2">
      <c r="B15" s="2" t="str">
        <f>VLOOKUP(36,Textbausteine_Menu[],Hilfsgrössen!$D$2,FALSE)</f>
        <v>Groupe</v>
      </c>
      <c r="N15" s="9"/>
      <c r="O15" s="9"/>
      <c r="P15" s="9"/>
      <c r="Q15" s="9"/>
      <c r="R15" s="9"/>
      <c r="S15" s="9"/>
      <c r="T15" s="9"/>
      <c r="U15" s="9"/>
      <c r="X15" s="11"/>
      <c r="Y15" s="11"/>
      <c r="Z15" s="11"/>
      <c r="AA15" s="11"/>
      <c r="AB15" s="11"/>
    </row>
    <row r="16" spans="1:31" ht="12.95" customHeight="1" x14ac:dyDescent="0.2">
      <c r="C16" s="1" t="str">
        <f>VLOOKUP(31,Textbausteine_201[],Hilfsgrössen!$D$2,FALSE)</f>
        <v>Produits d'exploitation</v>
      </c>
      <c r="D16" s="1" t="str">
        <f>VLOOKUP(11,Textbausteine_201[],Hilfsgrössen!$D$2,FALSE)</f>
        <v>Millions de CHF</v>
      </c>
      <c r="F16" s="9" t="s">
        <v>85</v>
      </c>
      <c r="H16" s="94" t="s">
        <v>29</v>
      </c>
      <c r="I16" s="12">
        <v>7499</v>
      </c>
      <c r="J16" s="12">
        <v>7895</v>
      </c>
      <c r="K16" s="12">
        <v>8712</v>
      </c>
      <c r="L16" s="12">
        <v>8980</v>
      </c>
      <c r="M16" s="12">
        <v>8558</v>
      </c>
      <c r="N16" s="12">
        <v>8736</v>
      </c>
      <c r="O16" s="12">
        <v>8599</v>
      </c>
      <c r="P16" s="12">
        <v>8576</v>
      </c>
      <c r="Q16" s="189">
        <v>8470</v>
      </c>
      <c r="R16" s="189">
        <v>8575</v>
      </c>
      <c r="S16" s="11" t="s">
        <v>86</v>
      </c>
      <c r="T16" s="12">
        <v>8224</v>
      </c>
      <c r="U16" s="12">
        <v>8224</v>
      </c>
      <c r="V16" s="12">
        <v>8188</v>
      </c>
      <c r="W16" s="12">
        <v>8007</v>
      </c>
      <c r="X16" s="12">
        <v>8064</v>
      </c>
      <c r="Y16" s="12">
        <v>7254</v>
      </c>
      <c r="Z16" s="12">
        <v>7168</v>
      </c>
      <c r="AA16" s="12">
        <v>6548</v>
      </c>
      <c r="AB16" s="12">
        <v>6877</v>
      </c>
      <c r="AC16" s="12">
        <v>6877</v>
      </c>
      <c r="AD16" s="12">
        <v>6859</v>
      </c>
      <c r="AE16" s="349"/>
    </row>
    <row r="17" spans="1:31" ht="12.95" customHeight="1" x14ac:dyDescent="0.2">
      <c r="A17" s="44"/>
      <c r="C17" s="13" t="str">
        <f>VLOOKUP(32,Textbausteine_201[],Hilfsgrössen!$D$2,FALSE)</f>
        <v>réalisés à l’étranger et transfrontalier</v>
      </c>
      <c r="D17" s="1" t="str">
        <f>VLOOKUP(11,Textbausteine_201[],Hilfsgrössen!$D$2,FALSE)</f>
        <v>Millions de CHF</v>
      </c>
      <c r="E17" s="9">
        <v>1</v>
      </c>
      <c r="F17" s="9" t="s">
        <v>85</v>
      </c>
      <c r="H17" s="94" t="s">
        <v>29</v>
      </c>
      <c r="I17" s="12">
        <v>1089</v>
      </c>
      <c r="J17" s="12">
        <v>1391</v>
      </c>
      <c r="K17" s="12">
        <v>1741</v>
      </c>
      <c r="L17" s="12">
        <v>1608</v>
      </c>
      <c r="M17" s="12">
        <v>1391</v>
      </c>
      <c r="N17" s="12">
        <v>1218</v>
      </c>
      <c r="O17" s="12">
        <v>1095</v>
      </c>
      <c r="P17" s="12">
        <v>1025</v>
      </c>
      <c r="Q17" s="11" t="s">
        <v>87</v>
      </c>
      <c r="R17" s="11" t="s">
        <v>87</v>
      </c>
      <c r="S17" s="231">
        <v>1233</v>
      </c>
      <c r="T17" s="12">
        <v>1149</v>
      </c>
      <c r="U17" s="12">
        <v>1149</v>
      </c>
      <c r="V17" s="12">
        <v>1124</v>
      </c>
      <c r="W17" s="12">
        <v>1153</v>
      </c>
      <c r="X17" s="12">
        <v>1153</v>
      </c>
      <c r="Y17" s="12">
        <v>1061</v>
      </c>
      <c r="Z17" s="12">
        <v>1060</v>
      </c>
      <c r="AA17" s="12">
        <v>622</v>
      </c>
      <c r="AB17" s="12">
        <v>685</v>
      </c>
      <c r="AC17" s="12">
        <v>685</v>
      </c>
      <c r="AD17" s="12">
        <v>682</v>
      </c>
      <c r="AE17" s="349"/>
    </row>
    <row r="18" spans="1:31" ht="12.95" customHeight="1" x14ac:dyDescent="0.2">
      <c r="A18" s="62"/>
      <c r="C18" s="26" t="str">
        <f>VLOOKUP(37,Textbausteine_201[],Hilfsgrössen!$D$2,FALSE)</f>
        <v>en proportion des produits d'exploitation</v>
      </c>
      <c r="D18" s="1" t="str">
        <f>VLOOKUP(12,Textbausteine_201[],Hilfsgrössen!$D$2,FALSE)</f>
        <v>%</v>
      </c>
      <c r="F18" s="9" t="s">
        <v>85</v>
      </c>
      <c r="H18" s="94" t="s">
        <v>29</v>
      </c>
      <c r="I18" s="1">
        <v>14.1</v>
      </c>
      <c r="J18" s="1">
        <v>17.600000000000001</v>
      </c>
      <c r="K18" s="1">
        <v>20</v>
      </c>
      <c r="L18" s="1">
        <v>17.899999999999999</v>
      </c>
      <c r="M18" s="11">
        <v>16.3</v>
      </c>
      <c r="N18" s="11">
        <v>13.9</v>
      </c>
      <c r="O18" s="11">
        <v>12.7</v>
      </c>
      <c r="P18" s="213">
        <f>P17/P16*100</f>
        <v>11.95195895522388</v>
      </c>
      <c r="Q18" s="79">
        <v>13.4</v>
      </c>
      <c r="R18" s="79">
        <v>13.2</v>
      </c>
      <c r="S18" s="79">
        <v>14.7</v>
      </c>
      <c r="T18" s="79">
        <v>14</v>
      </c>
      <c r="U18" s="79">
        <v>14</v>
      </c>
      <c r="V18" s="75">
        <v>13.9</v>
      </c>
      <c r="W18" s="75">
        <v>14.4</v>
      </c>
      <c r="X18" s="75">
        <v>14.3</v>
      </c>
      <c r="Y18" s="75">
        <v>14.6</v>
      </c>
      <c r="Z18" s="75">
        <v>14.8</v>
      </c>
      <c r="AA18" s="218">
        <v>9.5</v>
      </c>
      <c r="AB18" s="203">
        <f>AB17/AB16*100</f>
        <v>9.9607386941980511</v>
      </c>
      <c r="AC18" s="203">
        <f>AC17/AC16*100</f>
        <v>9.9607386941980511</v>
      </c>
      <c r="AD18" s="203">
        <v>9.9</v>
      </c>
      <c r="AE18" s="349"/>
    </row>
    <row r="19" spans="1:31" ht="12.95" customHeight="1" x14ac:dyDescent="0.2">
      <c r="C19" s="13" t="str">
        <f>VLOOKUP(33,Textbausteine_201[],Hilfsgrössen!$D$2,FALSE)</f>
        <v>Services réservés</v>
      </c>
      <c r="D19" s="1" t="str">
        <f>VLOOKUP(11,Textbausteine_201[],Hilfsgrössen!$D$2,FALSE)</f>
        <v>Millions de CHF</v>
      </c>
      <c r="E19" s="9">
        <v>2</v>
      </c>
      <c r="F19" s="9" t="s">
        <v>85</v>
      </c>
      <c r="H19" s="94" t="s">
        <v>29</v>
      </c>
      <c r="I19" s="215">
        <v>2395</v>
      </c>
      <c r="J19" s="215">
        <v>2028</v>
      </c>
      <c r="K19" s="215">
        <v>1893</v>
      </c>
      <c r="L19" s="215">
        <v>1835</v>
      </c>
      <c r="M19" s="12">
        <v>1641</v>
      </c>
      <c r="N19" s="12">
        <v>1469</v>
      </c>
      <c r="O19" s="12">
        <v>1378</v>
      </c>
      <c r="P19" s="189">
        <v>1360</v>
      </c>
      <c r="Q19" s="189">
        <v>1237</v>
      </c>
      <c r="R19" s="189">
        <v>1237</v>
      </c>
      <c r="S19" s="189">
        <v>1213</v>
      </c>
      <c r="T19" s="189">
        <v>1225</v>
      </c>
      <c r="U19" s="189">
        <v>1225</v>
      </c>
      <c r="V19" s="12">
        <v>1161</v>
      </c>
      <c r="W19" s="12">
        <v>1153</v>
      </c>
      <c r="X19" s="12">
        <v>1153</v>
      </c>
      <c r="Y19" s="12">
        <v>1106</v>
      </c>
      <c r="Z19" s="12">
        <v>1046</v>
      </c>
      <c r="AA19" s="12">
        <v>994</v>
      </c>
      <c r="AB19" s="12">
        <v>957</v>
      </c>
      <c r="AC19" s="12">
        <v>957</v>
      </c>
      <c r="AD19" s="12">
        <v>961</v>
      </c>
      <c r="AE19" s="349"/>
    </row>
    <row r="20" spans="1:31" ht="12.95" customHeight="1" x14ac:dyDescent="0.2">
      <c r="C20" s="26" t="str">
        <f>VLOOKUP(37,Textbausteine_201[],Hilfsgrössen!$D$2,FALSE)</f>
        <v>en proportion des produits d'exploitation</v>
      </c>
      <c r="D20" s="1" t="str">
        <f>VLOOKUP(12,Textbausteine_201[],Hilfsgrössen!$D$2,FALSE)</f>
        <v>%</v>
      </c>
      <c r="F20" s="9" t="s">
        <v>85</v>
      </c>
      <c r="H20" s="94" t="s">
        <v>29</v>
      </c>
      <c r="I20" s="1">
        <v>31.9</v>
      </c>
      <c r="J20" s="1">
        <v>25.7</v>
      </c>
      <c r="K20" s="212">
        <v>21.728650137741045</v>
      </c>
      <c r="L20" s="1">
        <v>20.399999999999999</v>
      </c>
      <c r="M20" s="11">
        <v>19.2</v>
      </c>
      <c r="N20" s="11">
        <v>16.8</v>
      </c>
      <c r="O20" s="203">
        <v>16</v>
      </c>
      <c r="P20" s="213">
        <f>P19/P16*100</f>
        <v>15.858208955223882</v>
      </c>
      <c r="Q20" s="213">
        <f>Q19/Q16*100</f>
        <v>14.604486422668241</v>
      </c>
      <c r="R20" s="213">
        <f>R19/R16*100</f>
        <v>14.425655976676385</v>
      </c>
      <c r="S20" s="213">
        <f>S19/8371*100</f>
        <v>14.490502926770995</v>
      </c>
      <c r="T20" s="79">
        <v>14.9</v>
      </c>
      <c r="U20" s="79">
        <v>14.9</v>
      </c>
      <c r="V20" s="9">
        <v>14.2</v>
      </c>
      <c r="W20" s="9">
        <v>14.4</v>
      </c>
      <c r="X20" s="9">
        <v>14.3</v>
      </c>
      <c r="Y20" s="11">
        <v>15.2</v>
      </c>
      <c r="Z20" s="9">
        <v>14.6</v>
      </c>
      <c r="AA20" s="14">
        <f>AA19/AA16*100</f>
        <v>15.18020769700672</v>
      </c>
      <c r="AB20" s="203">
        <v>13.9159517231351</v>
      </c>
      <c r="AC20" s="203">
        <v>13.915951723135089</v>
      </c>
      <c r="AD20" s="203">
        <v>14</v>
      </c>
      <c r="AE20" s="349"/>
    </row>
    <row r="21" spans="1:31" ht="12.95" customHeight="1" x14ac:dyDescent="0.2">
      <c r="C21" s="8" t="str">
        <f>VLOOKUP(34,Textbausteine_201[],Hilfsgrössen!$D$2,FALSE)</f>
        <v>Charges d'exploitation</v>
      </c>
      <c r="D21" s="1" t="str">
        <f>VLOOKUP(11,Textbausteine_201[],Hilfsgrössen!$D$2,FALSE)</f>
        <v>Millions de CHF</v>
      </c>
      <c r="F21" s="9" t="s">
        <v>85</v>
      </c>
      <c r="H21" s="94" t="s">
        <v>29</v>
      </c>
      <c r="I21" s="215">
        <v>6694</v>
      </c>
      <c r="J21" s="12">
        <v>7072</v>
      </c>
      <c r="K21" s="12">
        <v>7846</v>
      </c>
      <c r="L21" s="12">
        <v>8168</v>
      </c>
      <c r="M21" s="12">
        <v>7837</v>
      </c>
      <c r="N21" s="12">
        <v>7806</v>
      </c>
      <c r="O21" s="12">
        <v>7691</v>
      </c>
      <c r="P21" s="189">
        <v>7717</v>
      </c>
      <c r="Q21" s="189">
        <v>7229</v>
      </c>
      <c r="R21" s="189">
        <v>7664</v>
      </c>
      <c r="S21" s="189">
        <v>7654</v>
      </c>
      <c r="T21" s="15">
        <v>7348</v>
      </c>
      <c r="U21" s="15">
        <v>7401</v>
      </c>
      <c r="V21" s="15">
        <v>7484</v>
      </c>
      <c r="W21" s="15">
        <v>7346</v>
      </c>
      <c r="X21" s="15">
        <v>7346</v>
      </c>
      <c r="Y21" s="15">
        <v>6749</v>
      </c>
      <c r="Z21" s="15">
        <v>6718</v>
      </c>
      <c r="AA21" s="12">
        <v>6290</v>
      </c>
      <c r="AB21" s="12">
        <v>6231</v>
      </c>
      <c r="AC21" s="12">
        <v>6362</v>
      </c>
      <c r="AD21" s="12">
        <v>6501</v>
      </c>
      <c r="AE21" s="349"/>
    </row>
    <row r="22" spans="1:31" ht="12.95" customHeight="1" x14ac:dyDescent="0.2">
      <c r="C22" s="13" t="str">
        <f>VLOOKUP(35,Textbausteine_201[],Hilfsgrössen!$D$2,FALSE)</f>
        <v>Charges de personnel</v>
      </c>
      <c r="D22" s="1" t="str">
        <f>VLOOKUP(11,Textbausteine_201[],Hilfsgrössen!$D$2,FALSE)</f>
        <v>Millions de CHF</v>
      </c>
      <c r="F22" s="9" t="s">
        <v>85</v>
      </c>
      <c r="H22" s="94" t="s">
        <v>29</v>
      </c>
      <c r="I22" s="215">
        <v>3704</v>
      </c>
      <c r="J22" s="12">
        <v>3711</v>
      </c>
      <c r="K22" s="12">
        <v>3851</v>
      </c>
      <c r="L22" s="12">
        <v>3873</v>
      </c>
      <c r="M22" s="12">
        <v>4032</v>
      </c>
      <c r="N22" s="12">
        <v>4076</v>
      </c>
      <c r="O22" s="12">
        <v>4026</v>
      </c>
      <c r="P22" s="189">
        <v>4161</v>
      </c>
      <c r="Q22" s="189">
        <v>3701</v>
      </c>
      <c r="R22" s="189">
        <v>4131</v>
      </c>
      <c r="S22" s="189">
        <v>4108</v>
      </c>
      <c r="T22" s="15">
        <v>4022</v>
      </c>
      <c r="U22" s="15">
        <v>4074</v>
      </c>
      <c r="V22" s="15">
        <v>4034</v>
      </c>
      <c r="W22" s="15">
        <v>3989</v>
      </c>
      <c r="X22" s="15">
        <v>3989</v>
      </c>
      <c r="Y22" s="15">
        <v>3802</v>
      </c>
      <c r="Z22" s="15">
        <v>3764</v>
      </c>
      <c r="AA22" s="12">
        <v>3529</v>
      </c>
      <c r="AB22" s="12">
        <v>3317</v>
      </c>
      <c r="AC22" s="12">
        <v>3448</v>
      </c>
      <c r="AD22" s="12">
        <v>3496</v>
      </c>
      <c r="AE22" s="349"/>
    </row>
    <row r="23" spans="1:31" ht="12.95" customHeight="1" x14ac:dyDescent="0.2">
      <c r="C23" s="8" t="str">
        <f>VLOOKUP(36,Textbausteine_201[],Hilfsgrössen!$D$2,FALSE)</f>
        <v>Résultat d'exploitation</v>
      </c>
      <c r="D23" s="1" t="str">
        <f>VLOOKUP(11,Textbausteine_201[],Hilfsgrössen!$D$2,FALSE)</f>
        <v>Millions de CHF</v>
      </c>
      <c r="F23" s="9" t="s">
        <v>85</v>
      </c>
      <c r="H23" s="94" t="s">
        <v>29</v>
      </c>
      <c r="I23" s="1">
        <v>805</v>
      </c>
      <c r="J23" s="1">
        <v>823</v>
      </c>
      <c r="K23" s="1">
        <v>866</v>
      </c>
      <c r="L23" s="1">
        <v>812</v>
      </c>
      <c r="M23" s="11">
        <v>721</v>
      </c>
      <c r="N23" s="11">
        <v>930</v>
      </c>
      <c r="O23" s="11">
        <v>908</v>
      </c>
      <c r="P23" s="79">
        <v>860</v>
      </c>
      <c r="Q23" s="79">
        <v>1241</v>
      </c>
      <c r="R23" s="79">
        <v>911</v>
      </c>
      <c r="S23" s="79">
        <v>803</v>
      </c>
      <c r="T23" s="9">
        <v>876</v>
      </c>
      <c r="U23" s="9">
        <v>823</v>
      </c>
      <c r="V23" s="9">
        <v>704</v>
      </c>
      <c r="W23" s="9">
        <v>661</v>
      </c>
      <c r="X23" s="9">
        <v>718</v>
      </c>
      <c r="Y23" s="9">
        <v>505</v>
      </c>
      <c r="Z23" s="9">
        <v>450</v>
      </c>
      <c r="AA23" s="11">
        <v>258</v>
      </c>
      <c r="AB23" s="12">
        <v>646</v>
      </c>
      <c r="AC23" s="12">
        <v>515</v>
      </c>
      <c r="AD23" s="12">
        <v>358</v>
      </c>
      <c r="AE23" s="349"/>
    </row>
    <row r="24" spans="1:31" ht="12.95" customHeight="1" x14ac:dyDescent="0.2">
      <c r="C24" s="13" t="str">
        <f>VLOOKUP(37,Textbausteine_201[],Hilfsgrössen!$D$2,FALSE)</f>
        <v>en proportion des produits d'exploitation</v>
      </c>
      <c r="D24" s="1" t="str">
        <f>VLOOKUP(12,Textbausteine_201[],Hilfsgrössen!$D$2,FALSE)</f>
        <v>%</v>
      </c>
      <c r="F24" s="9" t="s">
        <v>85</v>
      </c>
      <c r="H24" s="202" t="s">
        <v>29</v>
      </c>
      <c r="I24" s="212">
        <v>10.7</v>
      </c>
      <c r="J24" s="212">
        <v>10.4</v>
      </c>
      <c r="K24" s="212">
        <v>9.9</v>
      </c>
      <c r="L24" s="212">
        <v>9</v>
      </c>
      <c r="M24" s="203">
        <v>8.3000000000000007</v>
      </c>
      <c r="N24" s="203">
        <v>10.7</v>
      </c>
      <c r="O24" s="203">
        <v>10.6</v>
      </c>
      <c r="P24" s="213">
        <f>P23/P16*100</f>
        <v>10.027985074626866</v>
      </c>
      <c r="Q24" s="213">
        <v>14.651711924439201</v>
      </c>
      <c r="R24" s="213">
        <f>R23/R16*100</f>
        <v>10.623906705539358</v>
      </c>
      <c r="S24" s="192">
        <v>9.6</v>
      </c>
      <c r="T24" s="192">
        <v>10.7</v>
      </c>
      <c r="U24" s="192">
        <v>10</v>
      </c>
      <c r="V24" s="192">
        <v>8.6</v>
      </c>
      <c r="W24" s="192">
        <v>8.3000000000000007</v>
      </c>
      <c r="X24" s="192">
        <v>8.9</v>
      </c>
      <c r="Y24" s="192">
        <v>7</v>
      </c>
      <c r="Z24" s="192">
        <v>6.3</v>
      </c>
      <c r="AA24" s="203">
        <v>3.9401343921808185</v>
      </c>
      <c r="AB24" s="309">
        <v>9.3936309437254621</v>
      </c>
      <c r="AC24" s="309">
        <v>7.4887305511123996</v>
      </c>
      <c r="AD24" s="309">
        <v>5.2</v>
      </c>
      <c r="AE24" s="349"/>
    </row>
    <row r="25" spans="1:31" ht="12.95" customHeight="1" x14ac:dyDescent="0.2">
      <c r="C25" s="13" t="str">
        <f>VLOOKUP(39,Textbausteine_201[],Hilfsgrössen!$D$2,FALSE)</f>
        <v>réalisés à l’étranger et transfrontalier</v>
      </c>
      <c r="D25" s="1" t="str">
        <f>VLOOKUP(11,Textbausteine_201[],Hilfsgrössen!$D$2,FALSE)</f>
        <v>Millions de CHF</v>
      </c>
      <c r="E25" s="9" t="s">
        <v>2932</v>
      </c>
      <c r="F25" s="9" t="s">
        <v>85</v>
      </c>
      <c r="H25" s="94" t="s">
        <v>29</v>
      </c>
      <c r="I25" s="1">
        <v>38</v>
      </c>
      <c r="J25" s="1">
        <v>54.2</v>
      </c>
      <c r="K25" s="1">
        <v>60.6</v>
      </c>
      <c r="L25" s="1">
        <v>32.700000000000003</v>
      </c>
      <c r="M25" s="1">
        <v>35</v>
      </c>
      <c r="N25" s="11">
        <v>24.4</v>
      </c>
      <c r="O25" s="11">
        <v>52</v>
      </c>
      <c r="P25" s="79">
        <v>35</v>
      </c>
      <c r="Q25" s="11" t="s">
        <v>88</v>
      </c>
      <c r="R25" s="11" t="s">
        <v>88</v>
      </c>
      <c r="S25" s="79">
        <v>72</v>
      </c>
      <c r="T25" s="9">
        <v>57</v>
      </c>
      <c r="U25" s="9">
        <v>57</v>
      </c>
      <c r="V25" s="9">
        <v>64</v>
      </c>
      <c r="W25" s="9">
        <v>82</v>
      </c>
      <c r="X25" s="9">
        <v>82</v>
      </c>
      <c r="Y25" s="9">
        <v>91</v>
      </c>
      <c r="Z25" s="9">
        <v>67</v>
      </c>
      <c r="AA25" s="11">
        <v>42</v>
      </c>
      <c r="AB25" s="310">
        <v>57</v>
      </c>
      <c r="AC25" s="310">
        <v>57</v>
      </c>
      <c r="AD25" s="310" t="s">
        <v>37</v>
      </c>
      <c r="AE25" s="349"/>
    </row>
    <row r="26" spans="1:31" ht="12.95" customHeight="1" x14ac:dyDescent="0.2">
      <c r="C26" s="26" t="str">
        <f>VLOOKUP(38,Textbausteine_201[],Hilfsgrössen!$D$2,FALSE)</f>
        <v>en proportion des produits d'exploitation</v>
      </c>
      <c r="D26" s="1" t="str">
        <f>VLOOKUP(12,Textbausteine_201[],Hilfsgrössen!$D$2,FALSE)</f>
        <v>%</v>
      </c>
      <c r="E26" s="9">
        <v>10</v>
      </c>
      <c r="F26" s="9" t="s">
        <v>85</v>
      </c>
      <c r="H26" s="202" t="s">
        <v>29</v>
      </c>
      <c r="I26" s="212">
        <v>4.7</v>
      </c>
      <c r="J26" s="212">
        <v>6.6</v>
      </c>
      <c r="K26" s="212">
        <v>7</v>
      </c>
      <c r="L26" s="212">
        <v>4</v>
      </c>
      <c r="M26" s="203">
        <v>4.9000000000000004</v>
      </c>
      <c r="N26" s="203">
        <v>2.6</v>
      </c>
      <c r="O26" s="203">
        <v>5.7</v>
      </c>
      <c r="P26" s="213">
        <f>P25/P23*100</f>
        <v>4.0697674418604652</v>
      </c>
      <c r="Q26" s="213">
        <v>4.8</v>
      </c>
      <c r="R26" s="213">
        <v>6.6</v>
      </c>
      <c r="S26" s="213">
        <v>9</v>
      </c>
      <c r="T26" s="192">
        <v>6.5</v>
      </c>
      <c r="U26" s="192">
        <v>6.9</v>
      </c>
      <c r="V26" s="192">
        <v>9.1</v>
      </c>
      <c r="W26" s="192">
        <v>12.4</v>
      </c>
      <c r="X26" s="192">
        <v>11.4</v>
      </c>
      <c r="Y26" s="192">
        <v>18</v>
      </c>
      <c r="Z26" s="192">
        <v>14.9</v>
      </c>
      <c r="AA26" s="203">
        <v>16.2790697674419</v>
      </c>
      <c r="AB26" s="309">
        <v>8.8000000000000007</v>
      </c>
      <c r="AC26" s="309">
        <v>11.0679611650485</v>
      </c>
      <c r="AD26" s="309" t="s">
        <v>37</v>
      </c>
      <c r="AE26" s="349"/>
    </row>
    <row r="27" spans="1:31" ht="12.95" customHeight="1" x14ac:dyDescent="0.2">
      <c r="C27" s="1" t="str">
        <f>VLOOKUP(40,Textbausteine_201[],Hilfsgrössen!$D$2,FALSE)</f>
        <v>Bénéfice consolidé</v>
      </c>
      <c r="D27" s="1" t="str">
        <f>VLOOKUP(11,Textbausteine_201[],Hilfsgrössen!$D$2,FALSE)</f>
        <v>Millions de CHF</v>
      </c>
      <c r="F27" s="9" t="s">
        <v>85</v>
      </c>
      <c r="H27" s="94" t="s">
        <v>29</v>
      </c>
      <c r="I27" s="1">
        <v>811</v>
      </c>
      <c r="J27" s="1">
        <v>837</v>
      </c>
      <c r="K27" s="1">
        <v>909</v>
      </c>
      <c r="L27" s="1">
        <v>825</v>
      </c>
      <c r="M27" s="11">
        <v>728</v>
      </c>
      <c r="N27" s="11">
        <v>910</v>
      </c>
      <c r="O27" s="11">
        <v>904</v>
      </c>
      <c r="P27" s="79">
        <v>772</v>
      </c>
      <c r="Q27" s="79">
        <v>1751</v>
      </c>
      <c r="R27" s="79">
        <v>626</v>
      </c>
      <c r="S27" s="79">
        <v>638</v>
      </c>
      <c r="T27" s="9">
        <v>631</v>
      </c>
      <c r="U27" s="9">
        <v>645</v>
      </c>
      <c r="V27" s="9">
        <v>558</v>
      </c>
      <c r="W27" s="9">
        <v>482</v>
      </c>
      <c r="X27" s="9">
        <v>527</v>
      </c>
      <c r="Y27" s="9">
        <v>404</v>
      </c>
      <c r="Z27" s="9">
        <v>255</v>
      </c>
      <c r="AA27" s="11">
        <v>178</v>
      </c>
      <c r="AB27" s="12">
        <v>565</v>
      </c>
      <c r="AC27" s="12">
        <v>457</v>
      </c>
      <c r="AD27" s="12">
        <v>295</v>
      </c>
      <c r="AE27" s="349"/>
    </row>
    <row r="28" spans="1:31" ht="12.95" customHeight="1" x14ac:dyDescent="0.2">
      <c r="C28" s="1" t="str">
        <f>VLOOKUP(41,Textbausteine_201[],Hilfsgrössen!$D$2,FALSE)</f>
        <v>Flux de trésorerie des activités opérationnelles</v>
      </c>
      <c r="D28" s="1" t="str">
        <f>VLOOKUP(11,Textbausteine_201[],Hilfsgrössen!$D$2,FALSE)</f>
        <v>Millions de CHF</v>
      </c>
      <c r="F28" s="9" t="s">
        <v>85</v>
      </c>
      <c r="H28" s="94" t="s">
        <v>29</v>
      </c>
      <c r="I28" s="215">
        <v>3603</v>
      </c>
      <c r="J28" s="215">
        <v>3247</v>
      </c>
      <c r="K28" s="215">
        <v>-3312</v>
      </c>
      <c r="L28" s="215">
        <v>8281</v>
      </c>
      <c r="M28" s="12">
        <v>-357</v>
      </c>
      <c r="N28" s="12">
        <v>-2271</v>
      </c>
      <c r="O28" s="12">
        <v>19679</v>
      </c>
      <c r="P28" s="189">
        <v>13424</v>
      </c>
      <c r="Q28" s="189">
        <v>-367</v>
      </c>
      <c r="R28" s="189">
        <v>-367</v>
      </c>
      <c r="S28" s="189">
        <v>-1925</v>
      </c>
      <c r="T28" s="15">
        <v>-2990</v>
      </c>
      <c r="U28" s="15">
        <v>-2990</v>
      </c>
      <c r="V28" s="15">
        <v>-385</v>
      </c>
      <c r="W28" s="15">
        <v>1941</v>
      </c>
      <c r="X28" s="15">
        <v>1941</v>
      </c>
      <c r="Y28" s="15">
        <v>-1309</v>
      </c>
      <c r="Z28" s="15">
        <v>10261</v>
      </c>
      <c r="AA28" s="12">
        <v>-7995</v>
      </c>
      <c r="AB28" s="12">
        <v>8252</v>
      </c>
      <c r="AC28" s="12">
        <v>8252</v>
      </c>
      <c r="AD28" s="12">
        <v>-6118</v>
      </c>
      <c r="AE28" s="349"/>
    </row>
    <row r="29" spans="1:31" ht="12.95" customHeight="1" x14ac:dyDescent="0.2">
      <c r="A29" s="41"/>
      <c r="C29" s="1" t="str">
        <f>VLOOKUP(42,Textbausteine_201[],Hilfsgrössen!$D$2,FALSE)</f>
        <v>Valeur ajoutée de l'entreprise</v>
      </c>
      <c r="D29" s="1" t="str">
        <f>VLOOKUP(11,Textbausteine_201[],Hilfsgrössen!$D$2,FALSE)</f>
        <v>Millions de CHF</v>
      </c>
      <c r="E29" s="9">
        <v>3</v>
      </c>
      <c r="F29" s="9" t="s">
        <v>85</v>
      </c>
      <c r="H29" s="94" t="s">
        <v>29</v>
      </c>
      <c r="I29" s="1">
        <v>532</v>
      </c>
      <c r="J29" s="1">
        <v>532</v>
      </c>
      <c r="K29" s="1">
        <v>559</v>
      </c>
      <c r="L29" s="1">
        <v>416</v>
      </c>
      <c r="M29" s="11">
        <v>272</v>
      </c>
      <c r="N29" s="11">
        <v>452</v>
      </c>
      <c r="O29" s="11">
        <v>390</v>
      </c>
      <c r="P29" s="79">
        <v>269</v>
      </c>
      <c r="Q29" s="11" t="s">
        <v>89</v>
      </c>
      <c r="R29" s="11" t="s">
        <v>89</v>
      </c>
      <c r="S29" s="9">
        <v>207</v>
      </c>
      <c r="T29" s="9">
        <v>169</v>
      </c>
      <c r="U29" s="9">
        <v>169</v>
      </c>
      <c r="V29" s="9">
        <v>121</v>
      </c>
      <c r="W29" s="9">
        <v>102</v>
      </c>
      <c r="X29" s="9">
        <v>102</v>
      </c>
      <c r="Y29" s="9">
        <v>-24</v>
      </c>
      <c r="Z29" s="9">
        <v>-17</v>
      </c>
      <c r="AA29" s="11">
        <v>-125</v>
      </c>
      <c r="AB29" s="12">
        <v>-19</v>
      </c>
      <c r="AC29" s="12">
        <v>-19</v>
      </c>
      <c r="AD29" s="12">
        <v>-96</v>
      </c>
      <c r="AE29" s="349"/>
    </row>
    <row r="30" spans="1:31" ht="12.95" customHeight="1" x14ac:dyDescent="0.2">
      <c r="M30" s="11"/>
      <c r="N30" s="9"/>
      <c r="O30" s="9"/>
      <c r="P30" s="9"/>
      <c r="Q30" s="9"/>
      <c r="R30" s="9"/>
      <c r="S30" s="9"/>
      <c r="T30" s="9"/>
      <c r="U30" s="9"/>
      <c r="V30" s="9"/>
      <c r="W30" s="9"/>
      <c r="X30" s="9"/>
      <c r="Y30" s="9"/>
      <c r="Z30" s="9"/>
      <c r="AA30" s="9"/>
      <c r="AB30" s="9"/>
      <c r="AC30" s="9"/>
      <c r="AD30" s="9"/>
      <c r="AE30" s="326"/>
    </row>
    <row r="31" spans="1:31" ht="12.95" customHeight="1" x14ac:dyDescent="0.2">
      <c r="B31" s="2" t="str">
        <f>VLOOKUP(45,Textbausteine_Menu[],Hilfsgrössen!$D$2,FALSE)</f>
        <v>Services logistiques</v>
      </c>
      <c r="E31" s="9">
        <v>8</v>
      </c>
      <c r="F31" s="11"/>
      <c r="G31" s="267"/>
      <c r="L31" s="9"/>
      <c r="M31" s="11"/>
      <c r="N31" s="9"/>
      <c r="O31" s="9"/>
      <c r="P31" s="11"/>
      <c r="Q31" s="11"/>
      <c r="R31" s="11"/>
      <c r="S31" s="11"/>
      <c r="T31" s="11"/>
      <c r="U31" s="11"/>
      <c r="V31" s="9"/>
      <c r="W31" s="9"/>
      <c r="X31" s="9"/>
      <c r="Y31" s="9"/>
      <c r="Z31" s="9"/>
      <c r="AA31" s="9"/>
      <c r="AB31" s="9"/>
      <c r="AC31" s="9"/>
      <c r="AD31" s="9"/>
      <c r="AE31" s="326"/>
    </row>
    <row r="32" spans="1:31" ht="12.95" customHeight="1" x14ac:dyDescent="0.2">
      <c r="C32" s="1" t="str">
        <f>VLOOKUP(31,Textbausteine_201[],Hilfsgrössen!$D$2,FALSE)</f>
        <v>Produits d'exploitation</v>
      </c>
      <c r="D32" s="1" t="str">
        <f>VLOOKUP(11,Textbausteine_201[],Hilfsgrössen!$D$2,FALSE)</f>
        <v>Millions de CHF</v>
      </c>
      <c r="F32" s="9" t="s">
        <v>85</v>
      </c>
      <c r="H32" s="94" t="s">
        <v>29</v>
      </c>
      <c r="I32" s="94" t="s">
        <v>29</v>
      </c>
      <c r="J32" s="94" t="s">
        <v>29</v>
      </c>
      <c r="K32" s="94" t="s">
        <v>29</v>
      </c>
      <c r="L32" s="94" t="s">
        <v>29</v>
      </c>
      <c r="M32" s="94" t="s">
        <v>29</v>
      </c>
      <c r="N32" s="94" t="s">
        <v>29</v>
      </c>
      <c r="O32" s="94" t="s">
        <v>29</v>
      </c>
      <c r="P32" s="94" t="s">
        <v>29</v>
      </c>
      <c r="Q32" s="94" t="s">
        <v>29</v>
      </c>
      <c r="R32" s="94" t="s">
        <v>29</v>
      </c>
      <c r="S32" s="94" t="s">
        <v>29</v>
      </c>
      <c r="T32" s="94" t="s">
        <v>29</v>
      </c>
      <c r="U32" s="94" t="s">
        <v>29</v>
      </c>
      <c r="V32" s="94" t="s">
        <v>29</v>
      </c>
      <c r="W32" s="94" t="s">
        <v>29</v>
      </c>
      <c r="X32" s="94" t="s">
        <v>29</v>
      </c>
      <c r="Y32" s="94" t="s">
        <v>29</v>
      </c>
      <c r="Z32" s="94" t="s">
        <v>29</v>
      </c>
      <c r="AA32" s="191">
        <v>4049</v>
      </c>
      <c r="AB32" s="12">
        <v>4176</v>
      </c>
      <c r="AC32" s="12">
        <v>4176</v>
      </c>
      <c r="AD32" s="12">
        <v>4194</v>
      </c>
      <c r="AE32" s="349"/>
    </row>
    <row r="33" spans="2:31" ht="12.95" customHeight="1" x14ac:dyDescent="0.2">
      <c r="C33" s="13" t="str">
        <f>VLOOKUP(33,Textbausteine_201[],Hilfsgrössen!$D$2,FALSE)</f>
        <v>Services réservés</v>
      </c>
      <c r="D33" s="1" t="str">
        <f>VLOOKUP(12,Textbausteine_201[],Hilfsgrössen!$D$2,FALSE)</f>
        <v>%</v>
      </c>
      <c r="F33" s="9" t="s">
        <v>85</v>
      </c>
      <c r="H33" s="94" t="s">
        <v>29</v>
      </c>
      <c r="I33" s="94" t="s">
        <v>29</v>
      </c>
      <c r="J33" s="94" t="s">
        <v>29</v>
      </c>
      <c r="K33" s="94" t="s">
        <v>29</v>
      </c>
      <c r="L33" s="94" t="s">
        <v>29</v>
      </c>
      <c r="M33" s="94" t="s">
        <v>29</v>
      </c>
      <c r="N33" s="94" t="s">
        <v>29</v>
      </c>
      <c r="O33" s="94" t="s">
        <v>29</v>
      </c>
      <c r="P33" s="94" t="s">
        <v>29</v>
      </c>
      <c r="Q33" s="94" t="s">
        <v>29</v>
      </c>
      <c r="R33" s="94" t="s">
        <v>29</v>
      </c>
      <c r="S33" s="94" t="s">
        <v>29</v>
      </c>
      <c r="T33" s="94" t="s">
        <v>29</v>
      </c>
      <c r="U33" s="94" t="s">
        <v>29</v>
      </c>
      <c r="V33" s="94" t="s">
        <v>29</v>
      </c>
      <c r="W33" s="94" t="s">
        <v>29</v>
      </c>
      <c r="X33" s="94" t="s">
        <v>29</v>
      </c>
      <c r="Y33" s="94" t="s">
        <v>29</v>
      </c>
      <c r="Z33" s="94" t="s">
        <v>29</v>
      </c>
      <c r="AA33" s="136">
        <v>24.549271425043219</v>
      </c>
      <c r="AB33" s="136">
        <v>22.916666666666664</v>
      </c>
      <c r="AC33" s="136">
        <v>22.916666666666664</v>
      </c>
      <c r="AD33" s="136">
        <v>24</v>
      </c>
      <c r="AE33" s="326"/>
    </row>
    <row r="34" spans="2:31" ht="12.95" customHeight="1" x14ac:dyDescent="0.2">
      <c r="C34" s="1" t="str">
        <f>VLOOKUP(36,Textbausteine_201[],Hilfsgrössen!$D$2,FALSE)</f>
        <v>Résultat d'exploitation</v>
      </c>
      <c r="D34" s="1" t="str">
        <f>VLOOKUP(11,Textbausteine_201[],Hilfsgrössen!$D$2,FALSE)</f>
        <v>Millions de CHF</v>
      </c>
      <c r="F34" s="9" t="s">
        <v>85</v>
      </c>
      <c r="H34" s="94" t="s">
        <v>29</v>
      </c>
      <c r="I34" s="94" t="s">
        <v>29</v>
      </c>
      <c r="J34" s="94" t="s">
        <v>29</v>
      </c>
      <c r="K34" s="94" t="s">
        <v>29</v>
      </c>
      <c r="L34" s="94" t="s">
        <v>29</v>
      </c>
      <c r="M34" s="94" t="s">
        <v>29</v>
      </c>
      <c r="N34" s="94" t="s">
        <v>29</v>
      </c>
      <c r="O34" s="94" t="s">
        <v>29</v>
      </c>
      <c r="P34" s="94" t="s">
        <v>29</v>
      </c>
      <c r="Q34" s="94" t="s">
        <v>29</v>
      </c>
      <c r="R34" s="94" t="s">
        <v>29</v>
      </c>
      <c r="S34" s="94" t="s">
        <v>29</v>
      </c>
      <c r="T34" s="94" t="s">
        <v>29</v>
      </c>
      <c r="U34" s="94" t="s">
        <v>29</v>
      </c>
      <c r="V34" s="94" t="s">
        <v>29</v>
      </c>
      <c r="W34" s="94" t="s">
        <v>29</v>
      </c>
      <c r="X34" s="94" t="s">
        <v>29</v>
      </c>
      <c r="Y34" s="94" t="s">
        <v>29</v>
      </c>
      <c r="Z34" s="94" t="s">
        <v>29</v>
      </c>
      <c r="AA34" s="80">
        <v>470</v>
      </c>
      <c r="AB34" s="11">
        <v>465</v>
      </c>
      <c r="AC34" s="12">
        <v>538</v>
      </c>
      <c r="AD34" s="12">
        <v>358</v>
      </c>
      <c r="AE34" s="349"/>
    </row>
    <row r="35" spans="2:31" ht="12.95" customHeight="1" x14ac:dyDescent="0.2">
      <c r="F35" s="11"/>
      <c r="G35" s="267"/>
      <c r="L35" s="9"/>
      <c r="M35" s="9"/>
      <c r="N35" s="9"/>
      <c r="O35" s="9"/>
      <c r="P35" s="11"/>
      <c r="Q35" s="81"/>
      <c r="R35" s="81"/>
      <c r="S35" s="11"/>
      <c r="T35" s="11"/>
      <c r="U35" s="11"/>
      <c r="V35" s="9"/>
      <c r="W35" s="9"/>
      <c r="X35" s="9"/>
      <c r="Y35" s="9"/>
      <c r="Z35" s="9"/>
      <c r="AA35" s="9"/>
      <c r="AB35" s="9"/>
      <c r="AC35" s="9"/>
      <c r="AD35" s="9"/>
      <c r="AE35" s="326"/>
    </row>
    <row r="36" spans="2:31" ht="12.95" customHeight="1" x14ac:dyDescent="0.2">
      <c r="B36" s="2" t="str">
        <f>VLOOKUP(46,Textbausteine_Menu[],Hilfsgrössen!$D$2,FALSE)</f>
        <v>Swiss Post Solutions</v>
      </c>
      <c r="D36" s="2"/>
      <c r="E36" s="11"/>
      <c r="F36" s="11"/>
      <c r="G36" s="267"/>
      <c r="L36" s="9"/>
      <c r="M36" s="11"/>
      <c r="N36" s="11"/>
      <c r="O36" s="11"/>
      <c r="P36" s="11"/>
      <c r="Q36" s="81"/>
      <c r="R36" s="81"/>
      <c r="S36" s="11"/>
      <c r="T36" s="11"/>
      <c r="U36" s="11"/>
      <c r="V36" s="9"/>
      <c r="W36" s="9"/>
      <c r="X36" s="9"/>
      <c r="Y36" s="9"/>
      <c r="Z36" s="9"/>
      <c r="AA36" s="9"/>
      <c r="AB36" s="9"/>
      <c r="AC36" s="9"/>
      <c r="AD36" s="9"/>
      <c r="AE36" s="326"/>
    </row>
    <row r="37" spans="2:31" ht="12.95" customHeight="1" x14ac:dyDescent="0.2">
      <c r="C37" s="1" t="str">
        <f>VLOOKUP(31,Textbausteine_201[],Hilfsgrössen!$D$2,FALSE)</f>
        <v>Produits d'exploitation</v>
      </c>
      <c r="D37" s="16" t="str">
        <f>VLOOKUP(11,Textbausteine_201[],Hilfsgrössen!$D$2,FALSE)</f>
        <v>Millions de CHF</v>
      </c>
      <c r="E37" s="327" t="s">
        <v>90</v>
      </c>
      <c r="F37" s="9" t="s">
        <v>85</v>
      </c>
      <c r="H37" s="94" t="s">
        <v>29</v>
      </c>
      <c r="I37" s="94" t="s">
        <v>29</v>
      </c>
      <c r="J37" s="94" t="s">
        <v>29</v>
      </c>
      <c r="K37" s="1">
        <v>692</v>
      </c>
      <c r="L37" s="9">
        <v>708</v>
      </c>
      <c r="M37" s="11">
        <v>696</v>
      </c>
      <c r="N37" s="11">
        <v>665</v>
      </c>
      <c r="O37" s="11">
        <v>549</v>
      </c>
      <c r="P37" s="9">
        <v>549</v>
      </c>
      <c r="Q37" s="79">
        <v>616</v>
      </c>
      <c r="R37" s="79">
        <v>616</v>
      </c>
      <c r="S37" s="9">
        <v>659</v>
      </c>
      <c r="T37" s="9">
        <v>609</v>
      </c>
      <c r="U37" s="9">
        <v>609</v>
      </c>
      <c r="V37" s="9">
        <v>558</v>
      </c>
      <c r="W37" s="9">
        <v>551</v>
      </c>
      <c r="X37" s="9">
        <v>551</v>
      </c>
      <c r="Y37" s="9">
        <v>583</v>
      </c>
      <c r="Z37" s="9">
        <v>599</v>
      </c>
      <c r="AA37" s="9">
        <v>539</v>
      </c>
      <c r="AB37" s="11" t="s">
        <v>37</v>
      </c>
      <c r="AC37" s="11" t="s">
        <v>37</v>
      </c>
      <c r="AD37" s="11" t="s">
        <v>37</v>
      </c>
      <c r="AE37" s="349"/>
    </row>
    <row r="38" spans="2:31" ht="12.95" customHeight="1" x14ac:dyDescent="0.2">
      <c r="C38" s="1" t="str">
        <f>VLOOKUP(36,Textbausteine_201[],Hilfsgrössen!$D$2,FALSE)</f>
        <v>Résultat d'exploitation</v>
      </c>
      <c r="D38" s="16" t="str">
        <f>VLOOKUP(11,Textbausteine_201[],Hilfsgrössen!$D$2,FALSE)</f>
        <v>Millions de CHF</v>
      </c>
      <c r="E38" s="327" t="s">
        <v>90</v>
      </c>
      <c r="F38" s="9" t="s">
        <v>85</v>
      </c>
      <c r="H38" s="94" t="s">
        <v>29</v>
      </c>
      <c r="I38" s="94" t="s">
        <v>29</v>
      </c>
      <c r="J38" s="198" t="s">
        <v>29</v>
      </c>
      <c r="K38" s="197">
        <v>-1</v>
      </c>
      <c r="L38" s="181">
        <v>9</v>
      </c>
      <c r="M38" s="188">
        <v>-25</v>
      </c>
      <c r="N38" s="188">
        <v>7</v>
      </c>
      <c r="O38" s="188">
        <v>11</v>
      </c>
      <c r="P38" s="181">
        <v>3</v>
      </c>
      <c r="Q38" s="214">
        <v>15</v>
      </c>
      <c r="R38" s="214">
        <v>5</v>
      </c>
      <c r="S38" s="181">
        <v>12</v>
      </c>
      <c r="T38" s="181">
        <v>16</v>
      </c>
      <c r="U38" s="181">
        <v>15</v>
      </c>
      <c r="V38" s="181">
        <v>20</v>
      </c>
      <c r="W38" s="181">
        <v>25</v>
      </c>
      <c r="X38" s="181">
        <v>25</v>
      </c>
      <c r="Y38" s="181">
        <v>31</v>
      </c>
      <c r="Z38" s="181">
        <v>32</v>
      </c>
      <c r="AA38" s="181">
        <v>25</v>
      </c>
      <c r="AB38" s="188" t="s">
        <v>37</v>
      </c>
      <c r="AC38" s="188" t="s">
        <v>37</v>
      </c>
      <c r="AD38" s="188" t="s">
        <v>37</v>
      </c>
      <c r="AE38" s="349"/>
    </row>
    <row r="39" spans="2:31" ht="12.75" customHeight="1" x14ac:dyDescent="0.2">
      <c r="F39" s="11"/>
      <c r="G39" s="267"/>
      <c r="L39" s="9"/>
      <c r="M39" s="9"/>
      <c r="N39" s="9"/>
      <c r="O39" s="9"/>
      <c r="P39" s="11"/>
      <c r="Q39" s="81"/>
      <c r="R39" s="81"/>
      <c r="S39" s="11"/>
      <c r="T39" s="11"/>
      <c r="U39" s="11"/>
      <c r="V39" s="9"/>
      <c r="W39" s="9"/>
      <c r="X39" s="9"/>
      <c r="Y39" s="9"/>
      <c r="Z39" s="9"/>
      <c r="AA39" s="9"/>
      <c r="AB39" s="9"/>
      <c r="AC39" s="9"/>
      <c r="AD39" s="9"/>
      <c r="AE39" s="326"/>
    </row>
    <row r="40" spans="2:31" ht="12.75" customHeight="1" x14ac:dyDescent="0.2">
      <c r="B40" s="2" t="str">
        <f>VLOOKUP(47,Textbausteine_Menu[],Hilfsgrössen!$D$2,FALSE)</f>
        <v>RéseauPostal</v>
      </c>
      <c r="E40" s="11"/>
      <c r="F40" s="11"/>
      <c r="G40" s="267"/>
      <c r="L40" s="9"/>
      <c r="M40" s="11"/>
      <c r="N40" s="11"/>
      <c r="O40" s="11"/>
      <c r="P40" s="11"/>
      <c r="Q40" s="81"/>
      <c r="R40" s="81"/>
      <c r="S40" s="11"/>
      <c r="T40" s="11"/>
      <c r="U40" s="11"/>
      <c r="V40" s="9"/>
      <c r="W40" s="9"/>
      <c r="X40" s="9"/>
      <c r="Y40" s="9"/>
      <c r="Z40" s="9"/>
      <c r="AA40" s="9"/>
      <c r="AB40" s="9"/>
      <c r="AC40" s="9"/>
      <c r="AD40" s="9"/>
      <c r="AE40" s="326"/>
    </row>
    <row r="41" spans="2:31" ht="12.95" customHeight="1" x14ac:dyDescent="0.2">
      <c r="C41" s="1" t="str">
        <f>VLOOKUP(31,Textbausteine_201[],Hilfsgrössen!$D$2,FALSE)</f>
        <v>Produits d'exploitation</v>
      </c>
      <c r="D41" s="1" t="str">
        <f>VLOOKUP(11,Textbausteine_201[],Hilfsgrössen!$D$2,FALSE)</f>
        <v>Millions de CHF</v>
      </c>
      <c r="E41" s="11"/>
      <c r="F41" s="9" t="s">
        <v>85</v>
      </c>
      <c r="H41" s="94" t="s">
        <v>29</v>
      </c>
      <c r="I41" s="12">
        <v>1875</v>
      </c>
      <c r="J41" s="12">
        <v>1651</v>
      </c>
      <c r="K41" s="12">
        <v>1736</v>
      </c>
      <c r="L41" s="12">
        <v>1337</v>
      </c>
      <c r="M41" s="12">
        <v>1359</v>
      </c>
      <c r="N41" s="12">
        <v>1769</v>
      </c>
      <c r="O41" s="12">
        <v>1706</v>
      </c>
      <c r="P41" s="12">
        <v>1509</v>
      </c>
      <c r="Q41" s="12">
        <v>1592</v>
      </c>
      <c r="R41" s="12">
        <v>1697</v>
      </c>
      <c r="S41" s="12">
        <v>1663</v>
      </c>
      <c r="T41" s="12">
        <v>1601</v>
      </c>
      <c r="U41" s="12">
        <v>1601</v>
      </c>
      <c r="V41" s="12">
        <v>1196</v>
      </c>
      <c r="W41" s="12">
        <v>1102</v>
      </c>
      <c r="X41" s="12">
        <v>1102</v>
      </c>
      <c r="Y41" s="12">
        <v>753</v>
      </c>
      <c r="Z41" s="12">
        <v>693</v>
      </c>
      <c r="AA41" s="12">
        <v>631</v>
      </c>
      <c r="AB41" s="12">
        <v>613</v>
      </c>
      <c r="AC41" s="12">
        <v>613</v>
      </c>
      <c r="AD41" s="12">
        <v>577</v>
      </c>
      <c r="AE41" s="349"/>
    </row>
    <row r="42" spans="2:31" ht="12.95" customHeight="1" x14ac:dyDescent="0.2">
      <c r="C42" s="17" t="str">
        <f>VLOOKUP(33,Textbausteine_201[],Hilfsgrössen!$D$2,FALSE)</f>
        <v>Services réservés</v>
      </c>
      <c r="D42" s="1" t="str">
        <f>VLOOKUP(12,Textbausteine_201[],Hilfsgrössen!$D$2,FALSE)</f>
        <v>%</v>
      </c>
      <c r="E42" s="11">
        <v>4</v>
      </c>
      <c r="F42" s="9" t="s">
        <v>85</v>
      </c>
      <c r="H42" s="94" t="s">
        <v>29</v>
      </c>
      <c r="I42" s="11" t="s">
        <v>91</v>
      </c>
      <c r="J42" s="11" t="s">
        <v>91</v>
      </c>
      <c r="K42" s="11" t="s">
        <v>91</v>
      </c>
      <c r="L42" s="103" t="s">
        <v>91</v>
      </c>
      <c r="M42" s="11" t="s">
        <v>91</v>
      </c>
      <c r="N42" s="11" t="s">
        <v>91</v>
      </c>
      <c r="O42" s="11">
        <v>18.2</v>
      </c>
      <c r="P42" s="9">
        <v>17.3</v>
      </c>
      <c r="Q42" s="79">
        <v>16.5</v>
      </c>
      <c r="R42" s="79">
        <v>15.5</v>
      </c>
      <c r="S42" s="9">
        <v>15</v>
      </c>
      <c r="T42" s="9">
        <v>15.2</v>
      </c>
      <c r="U42" s="9">
        <v>15.2</v>
      </c>
      <c r="V42" s="9" t="s">
        <v>91</v>
      </c>
      <c r="W42" s="9" t="s">
        <v>91</v>
      </c>
      <c r="X42" s="9" t="s">
        <v>91</v>
      </c>
      <c r="Y42" s="9" t="s">
        <v>91</v>
      </c>
      <c r="Z42" s="9" t="s">
        <v>91</v>
      </c>
      <c r="AA42" s="11" t="s">
        <v>91</v>
      </c>
      <c r="AB42" s="11" t="s">
        <v>91</v>
      </c>
      <c r="AC42" s="11" t="s">
        <v>91</v>
      </c>
      <c r="AD42" s="11" t="s">
        <v>91</v>
      </c>
      <c r="AE42" s="349"/>
    </row>
    <row r="43" spans="2:31" ht="12.95" customHeight="1" x14ac:dyDescent="0.2">
      <c r="C43" s="13" t="str">
        <f>VLOOKUP(43,Textbausteine_201[],Hilfsgrössen!$D$2,FALSE)</f>
        <v>Chiffre d'affaires net autres articles de marque</v>
      </c>
      <c r="D43" s="1" t="str">
        <f>VLOOKUP(11,Textbausteine_201[],Hilfsgrössen!$D$2,FALSE)</f>
        <v>Millions de CHF</v>
      </c>
      <c r="E43" s="11"/>
      <c r="F43" s="9" t="s">
        <v>85</v>
      </c>
      <c r="H43" s="94" t="s">
        <v>29</v>
      </c>
      <c r="I43" s="1">
        <v>390</v>
      </c>
      <c r="J43" s="1">
        <v>405</v>
      </c>
      <c r="K43" s="1">
        <v>420</v>
      </c>
      <c r="L43" s="103">
        <v>444</v>
      </c>
      <c r="M43" s="11">
        <v>462</v>
      </c>
      <c r="N43" s="11">
        <v>482</v>
      </c>
      <c r="O43" s="11">
        <v>495</v>
      </c>
      <c r="P43" s="9">
        <v>498</v>
      </c>
      <c r="Q43" s="79">
        <v>497</v>
      </c>
      <c r="R43" s="79">
        <v>497</v>
      </c>
      <c r="S43" s="79">
        <v>509</v>
      </c>
      <c r="T43" s="9">
        <v>480</v>
      </c>
      <c r="U43" s="9">
        <v>480</v>
      </c>
      <c r="V43" s="9">
        <v>473</v>
      </c>
      <c r="W43" s="9">
        <v>425</v>
      </c>
      <c r="X43" s="9">
        <v>425</v>
      </c>
      <c r="Y43" s="9">
        <v>97.1</v>
      </c>
      <c r="Z43" s="9">
        <v>78.2</v>
      </c>
      <c r="AA43" s="11">
        <v>55.7</v>
      </c>
      <c r="AB43" s="11">
        <v>56.3</v>
      </c>
      <c r="AC43" s="11">
        <v>56.3</v>
      </c>
      <c r="AD43" s="11">
        <v>51.8</v>
      </c>
      <c r="AE43" s="349"/>
    </row>
    <row r="44" spans="2:31" ht="12.95" customHeight="1" x14ac:dyDescent="0.2">
      <c r="C44" s="1" t="str">
        <f>VLOOKUP(36,Textbausteine_201[],Hilfsgrössen!$D$2,FALSE)</f>
        <v>Résultat d'exploitation</v>
      </c>
      <c r="D44" s="1" t="str">
        <f>VLOOKUP(11,Textbausteine_201[],Hilfsgrössen!$D$2,FALSE)</f>
        <v>Millions de CHF</v>
      </c>
      <c r="E44" s="11"/>
      <c r="F44" s="9" t="s">
        <v>85</v>
      </c>
      <c r="H44" s="94" t="s">
        <v>29</v>
      </c>
      <c r="I44" s="215">
        <v>27</v>
      </c>
      <c r="J44" s="215">
        <v>-111</v>
      </c>
      <c r="K44" s="215">
        <v>-25</v>
      </c>
      <c r="L44" s="216">
        <v>-95</v>
      </c>
      <c r="M44" s="12">
        <v>-113</v>
      </c>
      <c r="N44" s="12">
        <v>-108</v>
      </c>
      <c r="O44" s="12">
        <v>-151</v>
      </c>
      <c r="P44" s="15">
        <v>-307</v>
      </c>
      <c r="Q44" s="189">
        <v>-110</v>
      </c>
      <c r="R44" s="189">
        <v>-91</v>
      </c>
      <c r="S44" s="189">
        <v>-100</v>
      </c>
      <c r="T44" s="15">
        <v>-100</v>
      </c>
      <c r="U44" s="15">
        <v>-110</v>
      </c>
      <c r="V44" s="15">
        <v>-193</v>
      </c>
      <c r="W44" s="15">
        <v>-159</v>
      </c>
      <c r="X44" s="15">
        <v>-159</v>
      </c>
      <c r="Y44" s="15">
        <v>-94</v>
      </c>
      <c r="Z44" s="15">
        <v>-132</v>
      </c>
      <c r="AA44" s="12">
        <v>-101</v>
      </c>
      <c r="AB44" s="12">
        <v>-36</v>
      </c>
      <c r="AC44" s="11">
        <v>-68</v>
      </c>
      <c r="AD44" s="11">
        <v>-71</v>
      </c>
      <c r="AE44" s="349"/>
    </row>
    <row r="45" spans="2:31" ht="12.95" customHeight="1" x14ac:dyDescent="0.2">
      <c r="L45" s="9"/>
      <c r="M45" s="9"/>
      <c r="N45" s="9"/>
      <c r="O45" s="9"/>
      <c r="Q45" s="104"/>
      <c r="R45" s="104"/>
      <c r="V45" s="9"/>
      <c r="W45" s="9"/>
      <c r="X45" s="9"/>
      <c r="Y45" s="9"/>
      <c r="Z45" s="9"/>
      <c r="AA45" s="9"/>
      <c r="AB45" s="9"/>
      <c r="AC45" s="274"/>
      <c r="AD45" s="274"/>
      <c r="AE45" s="326"/>
    </row>
    <row r="46" spans="2:31" ht="12.95" customHeight="1" x14ac:dyDescent="0.2">
      <c r="B46" s="2" t="str">
        <f>VLOOKUP(48,Textbausteine_Menu[],Hilfsgrössen!$D$2,FALSE)</f>
        <v>Services de communication</v>
      </c>
      <c r="E46" s="9">
        <v>8</v>
      </c>
      <c r="F46" s="11"/>
      <c r="G46" s="267"/>
      <c r="H46" s="94"/>
      <c r="I46" s="9"/>
      <c r="J46" s="9"/>
      <c r="K46" s="9"/>
      <c r="L46" s="9"/>
      <c r="M46" s="11"/>
      <c r="N46" s="9"/>
      <c r="O46" s="9"/>
      <c r="P46" s="11"/>
      <c r="Q46" s="81"/>
      <c r="R46" s="81"/>
      <c r="S46" s="11"/>
      <c r="T46" s="11"/>
      <c r="U46" s="11"/>
      <c r="V46" s="9"/>
      <c r="W46" s="9"/>
      <c r="X46" s="9"/>
      <c r="Y46" s="9"/>
      <c r="Z46" s="9"/>
      <c r="AA46" s="9"/>
      <c r="AB46" s="9"/>
      <c r="AC46" s="274"/>
      <c r="AD46" s="274"/>
      <c r="AE46" s="326"/>
    </row>
    <row r="47" spans="2:31" ht="12.95" customHeight="1" x14ac:dyDescent="0.2">
      <c r="C47" s="1" t="str">
        <f>VLOOKUP(31,Textbausteine_201[],Hilfsgrössen!$D$2,FALSE)</f>
        <v>Produits d'exploitation</v>
      </c>
      <c r="D47" s="1" t="str">
        <f>VLOOKUP(11,Textbausteine_201[],Hilfsgrössen!$D$2,FALSE)</f>
        <v>Millions de CHF</v>
      </c>
      <c r="F47" s="9" t="s">
        <v>85</v>
      </c>
      <c r="H47" s="94" t="s">
        <v>29</v>
      </c>
      <c r="I47" s="94" t="s">
        <v>29</v>
      </c>
      <c r="J47" s="94" t="s">
        <v>29</v>
      </c>
      <c r="K47" s="94" t="s">
        <v>29</v>
      </c>
      <c r="L47" s="94" t="s">
        <v>29</v>
      </c>
      <c r="M47" s="94" t="s">
        <v>29</v>
      </c>
      <c r="N47" s="94" t="s">
        <v>29</v>
      </c>
      <c r="O47" s="94" t="s">
        <v>29</v>
      </c>
      <c r="P47" s="94" t="s">
        <v>29</v>
      </c>
      <c r="Q47" s="94" t="s">
        <v>29</v>
      </c>
      <c r="R47" s="94" t="s">
        <v>29</v>
      </c>
      <c r="S47" s="94" t="s">
        <v>29</v>
      </c>
      <c r="T47" s="94" t="s">
        <v>29</v>
      </c>
      <c r="U47" s="94" t="s">
        <v>29</v>
      </c>
      <c r="V47" s="94" t="s">
        <v>29</v>
      </c>
      <c r="W47" s="94" t="s">
        <v>29</v>
      </c>
      <c r="X47" s="94" t="s">
        <v>29</v>
      </c>
      <c r="Y47" s="94" t="s">
        <v>29</v>
      </c>
      <c r="Z47" s="94" t="s">
        <v>29</v>
      </c>
      <c r="AA47" s="80">
        <v>23</v>
      </c>
      <c r="AB47" s="12">
        <v>38</v>
      </c>
      <c r="AC47" s="11">
        <v>38</v>
      </c>
      <c r="AD47" s="11">
        <v>73</v>
      </c>
      <c r="AE47" s="349"/>
    </row>
    <row r="48" spans="2:31" ht="12.95" customHeight="1" x14ac:dyDescent="0.2">
      <c r="C48" s="1" t="str">
        <f>VLOOKUP(36,Textbausteine_201[],Hilfsgrössen!$D$2,FALSE)</f>
        <v>Résultat d'exploitation</v>
      </c>
      <c r="D48" s="1" t="str">
        <f>VLOOKUP(11,Textbausteine_201[],Hilfsgrössen!$D$2,FALSE)</f>
        <v>Millions de CHF</v>
      </c>
      <c r="F48" s="9" t="s">
        <v>85</v>
      </c>
      <c r="H48" s="94" t="s">
        <v>29</v>
      </c>
      <c r="I48" s="94" t="s">
        <v>29</v>
      </c>
      <c r="J48" s="94" t="s">
        <v>29</v>
      </c>
      <c r="K48" s="94" t="s">
        <v>29</v>
      </c>
      <c r="L48" s="94" t="s">
        <v>29</v>
      </c>
      <c r="M48" s="94" t="s">
        <v>29</v>
      </c>
      <c r="N48" s="94" t="s">
        <v>29</v>
      </c>
      <c r="O48" s="94" t="s">
        <v>29</v>
      </c>
      <c r="P48" s="94" t="s">
        <v>29</v>
      </c>
      <c r="Q48" s="94" t="s">
        <v>29</v>
      </c>
      <c r="R48" s="94" t="s">
        <v>29</v>
      </c>
      <c r="S48" s="94" t="s">
        <v>29</v>
      </c>
      <c r="T48" s="94" t="s">
        <v>29</v>
      </c>
      <c r="U48" s="94" t="s">
        <v>29</v>
      </c>
      <c r="V48" s="94" t="s">
        <v>29</v>
      </c>
      <c r="W48" s="94" t="s">
        <v>29</v>
      </c>
      <c r="X48" s="94" t="s">
        <v>29</v>
      </c>
      <c r="Y48" s="94" t="s">
        <v>29</v>
      </c>
      <c r="Z48" s="94" t="s">
        <v>29</v>
      </c>
      <c r="AA48" s="80">
        <v>-68</v>
      </c>
      <c r="AB48" s="11">
        <v>-80</v>
      </c>
      <c r="AC48" s="11">
        <v>-80</v>
      </c>
      <c r="AD48" s="11">
        <v>-72</v>
      </c>
      <c r="AE48" s="349"/>
    </row>
    <row r="49" spans="1:31" ht="12.95" customHeight="1" x14ac:dyDescent="0.2">
      <c r="A49" s="41"/>
      <c r="F49" s="11"/>
      <c r="G49" s="267"/>
      <c r="L49" s="9"/>
      <c r="M49" s="9"/>
      <c r="N49" s="9"/>
      <c r="O49" s="9"/>
      <c r="P49" s="11"/>
      <c r="Q49" s="81"/>
      <c r="R49" s="81"/>
      <c r="S49" s="81"/>
      <c r="T49" s="11"/>
      <c r="U49" s="11"/>
      <c r="V49" s="9"/>
      <c r="W49" s="9"/>
      <c r="X49" s="9"/>
      <c r="Y49" s="9"/>
      <c r="Z49" s="9"/>
      <c r="AA49" s="9"/>
      <c r="AB49" s="9"/>
      <c r="AC49" s="274"/>
      <c r="AD49" s="274"/>
      <c r="AE49" s="326"/>
    </row>
    <row r="50" spans="1:31" ht="12.95" customHeight="1" x14ac:dyDescent="0.2">
      <c r="B50" s="2" t="str">
        <f>VLOOKUP(49,Textbausteine_Menu[],Hilfsgrössen!$D$2,FALSE)</f>
        <v>PostFinance</v>
      </c>
      <c r="L50" s="9"/>
      <c r="M50" s="11"/>
      <c r="N50" s="9"/>
      <c r="O50" s="9"/>
      <c r="Q50" s="104"/>
      <c r="R50" s="104"/>
      <c r="S50" s="104"/>
      <c r="V50" s="9"/>
      <c r="W50" s="9"/>
      <c r="X50" s="9"/>
      <c r="Y50" s="9"/>
      <c r="Z50" s="9"/>
      <c r="AA50" s="9"/>
      <c r="AB50" s="9"/>
      <c r="AC50" s="274"/>
      <c r="AD50" s="274"/>
      <c r="AE50" s="326"/>
    </row>
    <row r="51" spans="1:31" ht="12.95" customHeight="1" x14ac:dyDescent="0.2">
      <c r="C51" s="1" t="str">
        <f>VLOOKUP(31,Textbausteine_201[],Hilfsgrössen!$D$2,FALSE)</f>
        <v>Produits d'exploitation</v>
      </c>
      <c r="D51" s="1" t="str">
        <f>VLOOKUP(11,Textbausteine_201[],Hilfsgrössen!$D$2,FALSE)</f>
        <v>Millions de CHF</v>
      </c>
      <c r="F51" s="9" t="s">
        <v>85</v>
      </c>
      <c r="H51" s="94" t="s">
        <v>29</v>
      </c>
      <c r="I51" s="12">
        <v>1529</v>
      </c>
      <c r="J51" s="12">
        <v>1587</v>
      </c>
      <c r="K51" s="12">
        <v>1937</v>
      </c>
      <c r="L51" s="12">
        <v>2191</v>
      </c>
      <c r="M51" s="12">
        <v>2160</v>
      </c>
      <c r="N51" s="12">
        <v>2389</v>
      </c>
      <c r="O51" s="12">
        <v>2451</v>
      </c>
      <c r="P51" s="12">
        <v>2356</v>
      </c>
      <c r="Q51" s="12">
        <v>2377</v>
      </c>
      <c r="R51" s="12">
        <v>2377</v>
      </c>
      <c r="S51" s="12" t="s">
        <v>92</v>
      </c>
      <c r="T51" s="12">
        <v>2143</v>
      </c>
      <c r="U51" s="12">
        <v>2143</v>
      </c>
      <c r="V51" s="12">
        <v>2155</v>
      </c>
      <c r="W51" s="12">
        <v>2076</v>
      </c>
      <c r="X51" s="12">
        <v>2076</v>
      </c>
      <c r="Y51" s="12">
        <v>1704</v>
      </c>
      <c r="Z51" s="12">
        <v>1660</v>
      </c>
      <c r="AA51" s="12">
        <v>1566</v>
      </c>
      <c r="AB51" s="12">
        <v>1624</v>
      </c>
      <c r="AC51" s="12">
        <v>1624</v>
      </c>
      <c r="AD51" s="12">
        <v>1566</v>
      </c>
      <c r="AE51" s="349"/>
    </row>
    <row r="52" spans="1:31" ht="12.95" customHeight="1" x14ac:dyDescent="0.2">
      <c r="C52" s="1" t="str">
        <f>VLOOKUP(36,Textbausteine_201[],Hilfsgrössen!$D$2,FALSE)</f>
        <v>Résultat d'exploitation</v>
      </c>
      <c r="D52" s="1" t="str">
        <f>VLOOKUP(11,Textbausteine_201[],Hilfsgrössen!$D$2,FALSE)</f>
        <v>Millions de CHF</v>
      </c>
      <c r="F52" s="9" t="s">
        <v>85</v>
      </c>
      <c r="H52" s="94" t="s">
        <v>29</v>
      </c>
      <c r="I52" s="104">
        <v>312</v>
      </c>
      <c r="J52" s="104">
        <v>245</v>
      </c>
      <c r="K52" s="104">
        <v>318</v>
      </c>
      <c r="L52" s="105">
        <v>229</v>
      </c>
      <c r="M52" s="11">
        <v>441</v>
      </c>
      <c r="N52" s="11">
        <v>571</v>
      </c>
      <c r="O52" s="11">
        <v>591</v>
      </c>
      <c r="P52" s="9">
        <v>623</v>
      </c>
      <c r="Q52" s="79">
        <v>588</v>
      </c>
      <c r="R52" s="79">
        <v>537</v>
      </c>
      <c r="S52" s="79">
        <v>382</v>
      </c>
      <c r="T52" s="9">
        <v>463</v>
      </c>
      <c r="U52" s="9">
        <v>459</v>
      </c>
      <c r="V52" s="9">
        <v>542</v>
      </c>
      <c r="W52" s="9">
        <v>549</v>
      </c>
      <c r="X52" s="9">
        <v>549</v>
      </c>
      <c r="Y52" s="9">
        <v>220</v>
      </c>
      <c r="Z52" s="9">
        <v>240</v>
      </c>
      <c r="AA52" s="11">
        <v>162</v>
      </c>
      <c r="AB52" s="11">
        <v>272</v>
      </c>
      <c r="AC52" s="11">
        <v>281</v>
      </c>
      <c r="AD52" s="11">
        <v>229</v>
      </c>
      <c r="AE52" s="349"/>
    </row>
    <row r="53" spans="1:31" ht="12.95" customHeight="1" x14ac:dyDescent="0.2">
      <c r="L53" s="9"/>
      <c r="M53" s="9"/>
      <c r="N53" s="9"/>
      <c r="O53" s="9"/>
      <c r="P53" s="9"/>
      <c r="Q53" s="79"/>
      <c r="R53" s="79"/>
      <c r="S53" s="79"/>
      <c r="T53" s="9"/>
      <c r="U53" s="9"/>
      <c r="V53" s="9"/>
      <c r="W53" s="9"/>
      <c r="X53" s="9"/>
      <c r="Y53" s="9"/>
      <c r="Z53" s="9"/>
      <c r="AA53" s="9"/>
      <c r="AB53" s="9"/>
      <c r="AC53" s="274"/>
      <c r="AD53" s="274"/>
      <c r="AE53" s="326"/>
    </row>
    <row r="54" spans="1:31" ht="12.95" customHeight="1" x14ac:dyDescent="0.2">
      <c r="B54" s="2" t="str">
        <f>VLOOKUP(55,Textbausteine_Menu[],Hilfsgrössen!$D$2,FALSE)</f>
        <v>Services de mobilité</v>
      </c>
      <c r="E54" s="9">
        <v>8</v>
      </c>
      <c r="L54" s="9"/>
      <c r="M54" s="11"/>
      <c r="N54" s="9"/>
      <c r="O54" s="9"/>
      <c r="P54" s="9"/>
      <c r="Q54" s="79"/>
      <c r="R54" s="79"/>
      <c r="S54" s="79"/>
      <c r="T54" s="9"/>
      <c r="U54" s="9"/>
      <c r="V54" s="9"/>
      <c r="W54" s="9"/>
      <c r="X54" s="9"/>
      <c r="Y54" s="9"/>
      <c r="Z54" s="9"/>
      <c r="AA54" s="9"/>
      <c r="AB54" s="9"/>
      <c r="AC54" s="274"/>
      <c r="AD54" s="274"/>
      <c r="AE54" s="326"/>
    </row>
    <row r="55" spans="1:31" ht="12.95" customHeight="1" x14ac:dyDescent="0.2">
      <c r="C55" s="1" t="str">
        <f>VLOOKUP(31,Textbausteine_201[],Hilfsgrössen!$D$2,FALSE)</f>
        <v>Produits d'exploitation</v>
      </c>
      <c r="D55" s="1" t="str">
        <f>VLOOKUP(11,Textbausteine_201[],Hilfsgrössen!$D$2,FALSE)</f>
        <v>Millions de CHF</v>
      </c>
      <c r="F55" s="9" t="s">
        <v>85</v>
      </c>
      <c r="H55" s="94" t="s">
        <v>29</v>
      </c>
      <c r="I55" s="94" t="s">
        <v>29</v>
      </c>
      <c r="J55" s="94" t="s">
        <v>29</v>
      </c>
      <c r="K55" s="94" t="s">
        <v>29</v>
      </c>
      <c r="L55" s="94" t="s">
        <v>29</v>
      </c>
      <c r="M55" s="94" t="s">
        <v>29</v>
      </c>
      <c r="N55" s="94" t="s">
        <v>29</v>
      </c>
      <c r="O55" s="94" t="s">
        <v>29</v>
      </c>
      <c r="P55" s="94" t="s">
        <v>29</v>
      </c>
      <c r="Q55" s="94" t="s">
        <v>29</v>
      </c>
      <c r="R55" s="94" t="s">
        <v>29</v>
      </c>
      <c r="S55" s="94" t="s">
        <v>29</v>
      </c>
      <c r="T55" s="94" t="s">
        <v>29</v>
      </c>
      <c r="U55" s="94" t="s">
        <v>29</v>
      </c>
      <c r="V55" s="94" t="s">
        <v>29</v>
      </c>
      <c r="W55" s="94" t="s">
        <v>29</v>
      </c>
      <c r="X55" s="94" t="s">
        <v>29</v>
      </c>
      <c r="Y55" s="94" t="s">
        <v>29</v>
      </c>
      <c r="Z55" s="94" t="s">
        <v>29</v>
      </c>
      <c r="AA55" s="80">
        <v>975</v>
      </c>
      <c r="AB55" s="12">
        <v>1083</v>
      </c>
      <c r="AC55" s="12">
        <v>1083</v>
      </c>
      <c r="AD55" s="12">
        <v>1069</v>
      </c>
      <c r="AE55" s="349"/>
    </row>
    <row r="56" spans="1:31" ht="12.95" customHeight="1" x14ac:dyDescent="0.2">
      <c r="C56" s="13" t="str">
        <f>VLOOKUP(32,Textbausteine_201[],Hilfsgrössen!$D$2,FALSE)</f>
        <v>réalisés à l’étranger et transfrontalier</v>
      </c>
      <c r="D56" s="1" t="str">
        <f>VLOOKUP(12,Textbausteine_201[],Hilfsgrössen!$D$2,FALSE)</f>
        <v>%</v>
      </c>
      <c r="F56" s="9" t="s">
        <v>85</v>
      </c>
      <c r="H56" s="184" t="s">
        <v>29</v>
      </c>
      <c r="I56" s="184" t="s">
        <v>29</v>
      </c>
      <c r="J56" s="184" t="s">
        <v>29</v>
      </c>
      <c r="K56" s="184" t="s">
        <v>29</v>
      </c>
      <c r="L56" s="184" t="s">
        <v>29</v>
      </c>
      <c r="M56" s="184" t="s">
        <v>29</v>
      </c>
      <c r="N56" s="184" t="s">
        <v>29</v>
      </c>
      <c r="O56" s="184" t="s">
        <v>29</v>
      </c>
      <c r="P56" s="184" t="s">
        <v>29</v>
      </c>
      <c r="Q56" s="184" t="s">
        <v>29</v>
      </c>
      <c r="R56" s="184" t="s">
        <v>29</v>
      </c>
      <c r="S56" s="184" t="s">
        <v>29</v>
      </c>
      <c r="T56" s="184" t="s">
        <v>29</v>
      </c>
      <c r="U56" s="184" t="s">
        <v>29</v>
      </c>
      <c r="V56" s="184" t="s">
        <v>29</v>
      </c>
      <c r="W56" s="184" t="s">
        <v>29</v>
      </c>
      <c r="X56" s="184" t="s">
        <v>29</v>
      </c>
      <c r="Y56" s="184" t="s">
        <v>29</v>
      </c>
      <c r="Z56" s="184" t="s">
        <v>29</v>
      </c>
      <c r="AA56" s="136">
        <v>1.7220717948717947</v>
      </c>
      <c r="AB56" s="14">
        <v>1.6042105263157895</v>
      </c>
      <c r="AC56" s="14">
        <v>1.6042105263157895</v>
      </c>
      <c r="AD56" s="14">
        <v>0</v>
      </c>
      <c r="AE56" s="326"/>
    </row>
    <row r="57" spans="1:31" ht="12.95" customHeight="1" x14ac:dyDescent="0.2">
      <c r="C57" s="1" t="str">
        <f>VLOOKUP(36,Textbausteine_201[],Hilfsgrössen!$D$2,FALSE)</f>
        <v>Résultat d'exploitation</v>
      </c>
      <c r="D57" s="1" t="str">
        <f>VLOOKUP(11,Textbausteine_201[],Hilfsgrössen!$D$2,FALSE)</f>
        <v>Millions de CHF</v>
      </c>
      <c r="F57" s="9" t="s">
        <v>85</v>
      </c>
      <c r="H57" s="198" t="s">
        <v>29</v>
      </c>
      <c r="I57" s="198" t="s">
        <v>29</v>
      </c>
      <c r="J57" s="198" t="s">
        <v>29</v>
      </c>
      <c r="K57" s="198" t="s">
        <v>29</v>
      </c>
      <c r="L57" s="198" t="s">
        <v>29</v>
      </c>
      <c r="M57" s="198" t="s">
        <v>29</v>
      </c>
      <c r="N57" s="198" t="s">
        <v>29</v>
      </c>
      <c r="O57" s="198" t="s">
        <v>29</v>
      </c>
      <c r="P57" s="198" t="s">
        <v>29</v>
      </c>
      <c r="Q57" s="198" t="s">
        <v>29</v>
      </c>
      <c r="R57" s="198" t="s">
        <v>29</v>
      </c>
      <c r="S57" s="198" t="s">
        <v>29</v>
      </c>
      <c r="T57" s="198" t="s">
        <v>29</v>
      </c>
      <c r="U57" s="198" t="s">
        <v>29</v>
      </c>
      <c r="V57" s="198" t="s">
        <v>29</v>
      </c>
      <c r="W57" s="198" t="s">
        <v>29</v>
      </c>
      <c r="X57" s="198" t="s">
        <v>29</v>
      </c>
      <c r="Y57" s="198" t="s">
        <v>29</v>
      </c>
      <c r="Z57" s="198" t="s">
        <v>29</v>
      </c>
      <c r="AA57" s="207">
        <v>-63</v>
      </c>
      <c r="AB57" s="188">
        <v>19</v>
      </c>
      <c r="AC57" s="11">
        <v>18</v>
      </c>
      <c r="AD57" s="11">
        <v>27</v>
      </c>
      <c r="AE57" s="349"/>
    </row>
    <row r="58" spans="1:31" ht="12.95" customHeight="1" x14ac:dyDescent="0.2">
      <c r="L58" s="9"/>
      <c r="M58" s="9"/>
      <c r="N58" s="9"/>
      <c r="O58" s="9"/>
      <c r="P58" s="9"/>
      <c r="Q58" s="79"/>
      <c r="R58" s="79"/>
      <c r="S58" s="79"/>
      <c r="T58" s="9"/>
      <c r="U58" s="9"/>
      <c r="V58" s="9"/>
      <c r="W58" s="9"/>
      <c r="X58" s="9"/>
      <c r="Y58" s="9"/>
      <c r="Z58" s="9"/>
      <c r="AA58" s="9"/>
      <c r="AB58" s="9"/>
      <c r="AC58" s="274"/>
      <c r="AD58" s="274"/>
      <c r="AE58" s="326"/>
    </row>
    <row r="59" spans="1:31" ht="12.95" customHeight="1" x14ac:dyDescent="0.2">
      <c r="B59" s="2" t="str">
        <f>VLOOKUP(51,Textbausteine_Menu[],Hilfsgrössen!$D$2,FALSE)</f>
        <v>Fonctions et management</v>
      </c>
      <c r="E59" s="11"/>
      <c r="L59" s="9"/>
      <c r="M59" s="11"/>
      <c r="N59" s="11"/>
      <c r="O59" s="11"/>
      <c r="P59" s="9"/>
      <c r="Q59" s="79"/>
      <c r="R59" s="79"/>
      <c r="S59" s="79"/>
      <c r="T59" s="9"/>
      <c r="U59" s="9"/>
      <c r="V59" s="9"/>
      <c r="W59" s="9"/>
      <c r="X59" s="9"/>
      <c r="Y59" s="9"/>
      <c r="Z59" s="9"/>
      <c r="AA59" s="9"/>
      <c r="AB59" s="9"/>
      <c r="AC59" s="274"/>
      <c r="AD59" s="274"/>
      <c r="AE59" s="326"/>
    </row>
    <row r="60" spans="1:31" ht="12.95" customHeight="1" x14ac:dyDescent="0.2">
      <c r="C60" s="1" t="str">
        <f>VLOOKUP(31,Textbausteine_201[],Hilfsgrössen!$D$2,FALSE)</f>
        <v>Produits d'exploitation</v>
      </c>
      <c r="D60" s="1" t="str">
        <f>VLOOKUP(11,Textbausteine_201[],Hilfsgrössen!$D$2,FALSE)</f>
        <v>Millions de CHF</v>
      </c>
      <c r="E60" s="11"/>
      <c r="F60" s="9" t="s">
        <v>85</v>
      </c>
      <c r="H60" s="94" t="s">
        <v>29</v>
      </c>
      <c r="I60" s="11">
        <v>858</v>
      </c>
      <c r="J60" s="11">
        <v>882</v>
      </c>
      <c r="K60" s="11">
        <v>1018</v>
      </c>
      <c r="L60" s="11">
        <v>1176</v>
      </c>
      <c r="M60" s="11">
        <v>1030</v>
      </c>
      <c r="N60" s="11">
        <v>968</v>
      </c>
      <c r="O60" s="11">
        <v>945</v>
      </c>
      <c r="P60" s="9">
        <v>937</v>
      </c>
      <c r="Q60" s="79">
        <v>897</v>
      </c>
      <c r="R60" s="79">
        <v>897</v>
      </c>
      <c r="S60" s="79">
        <v>886</v>
      </c>
      <c r="T60" s="9">
        <v>941</v>
      </c>
      <c r="U60" s="9">
        <v>941</v>
      </c>
      <c r="V60" s="9">
        <v>919</v>
      </c>
      <c r="W60" s="9">
        <v>889</v>
      </c>
      <c r="X60" s="9">
        <v>889</v>
      </c>
      <c r="Y60" s="9">
        <v>926</v>
      </c>
      <c r="Z60" s="9">
        <v>929</v>
      </c>
      <c r="AA60" s="11">
        <v>933</v>
      </c>
      <c r="AB60" s="11">
        <v>953</v>
      </c>
      <c r="AC60" s="11">
        <v>953</v>
      </c>
      <c r="AD60" s="11">
        <v>936</v>
      </c>
      <c r="AE60" s="349"/>
    </row>
    <row r="61" spans="1:31" ht="12.95" customHeight="1" x14ac:dyDescent="0.2">
      <c r="C61" s="1" t="str">
        <f>VLOOKUP(36,Textbausteine_201[],Hilfsgrössen!$D$2,FALSE)</f>
        <v>Résultat d'exploitation</v>
      </c>
      <c r="D61" s="1" t="str">
        <f>VLOOKUP(11,Textbausteine_201[],Hilfsgrössen!$D$2,FALSE)</f>
        <v>Millions de CHF</v>
      </c>
      <c r="E61" s="11"/>
      <c r="F61" s="9" t="s">
        <v>85</v>
      </c>
      <c r="H61" s="94" t="s">
        <v>29</v>
      </c>
      <c r="I61" s="11">
        <v>92</v>
      </c>
      <c r="J61" s="11">
        <v>136</v>
      </c>
      <c r="K61" s="11">
        <v>196</v>
      </c>
      <c r="L61" s="11">
        <v>318</v>
      </c>
      <c r="M61" s="11">
        <v>95</v>
      </c>
      <c r="N61" s="11">
        <v>20</v>
      </c>
      <c r="O61" s="11">
        <v>11</v>
      </c>
      <c r="P61" s="9">
        <v>7</v>
      </c>
      <c r="Q61" s="79">
        <v>3</v>
      </c>
      <c r="R61" s="79">
        <v>-25</v>
      </c>
      <c r="S61" s="79">
        <v>4</v>
      </c>
      <c r="T61" s="9">
        <v>-71</v>
      </c>
      <c r="U61" s="9">
        <v>-73</v>
      </c>
      <c r="V61" s="9">
        <v>-135</v>
      </c>
      <c r="W61" s="9">
        <v>-201</v>
      </c>
      <c r="X61" s="9">
        <v>-201</v>
      </c>
      <c r="Y61" s="9">
        <v>-130</v>
      </c>
      <c r="Z61" s="9">
        <v>-163</v>
      </c>
      <c r="AA61" s="11">
        <v>-151</v>
      </c>
      <c r="AB61" s="11">
        <v>-95</v>
      </c>
      <c r="AC61" s="11">
        <v>-111</v>
      </c>
      <c r="AD61" s="11">
        <v>-121</v>
      </c>
      <c r="AE61" s="349"/>
    </row>
    <row r="62" spans="1:31" ht="12.95" customHeight="1" x14ac:dyDescent="0.2">
      <c r="N62" s="9"/>
      <c r="O62" s="9"/>
      <c r="P62" s="9"/>
      <c r="Q62" s="9"/>
      <c r="R62" s="9"/>
      <c r="S62" s="9"/>
      <c r="T62" s="9"/>
      <c r="U62" s="9"/>
      <c r="V62" s="9"/>
      <c r="W62" s="9"/>
      <c r="AC62" s="16"/>
      <c r="AD62" s="16"/>
    </row>
    <row r="63" spans="1:31" ht="12.95" customHeight="1" x14ac:dyDescent="0.2">
      <c r="B63" s="19" t="str">
        <f>VLOOKUP(131,Textbausteine_201[],Hilfsgrössen!$D$2,FALSE)</f>
        <v>1) En adéquation avec les comptes par segment dans le rapport financier</v>
      </c>
      <c r="N63" s="9"/>
      <c r="O63" s="9"/>
      <c r="P63" s="9"/>
      <c r="Q63" s="9"/>
      <c r="V63" s="9"/>
      <c r="W63" s="9"/>
    </row>
    <row r="64" spans="1:31" s="18" customFormat="1" ht="12.95" customHeight="1" x14ac:dyDescent="0.25">
      <c r="A64" s="61"/>
      <c r="B64" s="19" t="str">
        <f>VLOOKUP(132,Textbausteine_201[],Hilfsgrössen!$D$2,FALSE)</f>
        <v>2) Les services réservés sont des services faisant partie du service universel postal. Ils sont proposés exclusivement par la Poste, qui est tenue de les fournir. Ils relèvent du monopole.</v>
      </c>
      <c r="D64" s="20"/>
      <c r="E64" s="29"/>
      <c r="F64" s="29"/>
      <c r="G64" s="35"/>
      <c r="H64" s="20"/>
      <c r="I64" s="20"/>
      <c r="J64" s="20"/>
      <c r="K64" s="20"/>
      <c r="L64" s="20"/>
      <c r="M64" s="20"/>
      <c r="N64" s="20"/>
      <c r="O64" s="20"/>
      <c r="P64" s="20"/>
      <c r="Q64" s="20"/>
      <c r="R64" s="20"/>
      <c r="S64" s="20"/>
      <c r="T64" s="20"/>
      <c r="U64" s="20"/>
      <c r="V64" s="9"/>
      <c r="W64" s="9"/>
    </row>
    <row r="65" spans="1:32" s="18" customFormat="1" ht="12.95" customHeight="1" x14ac:dyDescent="0.25">
      <c r="A65" s="61"/>
      <c r="B65" s="19" t="str">
        <f>VLOOKUP(133,Textbausteine_201[],Hilfsgrössen!$D$2,FALSE)</f>
        <v>3) La valeur ajoutée de la Poste s’exprime en valeur absolue (millions de CHF) et rend compte de la plus-value dégagée par l’ensemble de l’entreprise ou par un segment. Il y a plus-value lorsque le résultat d’exploitation après impôt est supérieur à la rémunération exigée du capital investi.</v>
      </c>
      <c r="D65" s="20"/>
      <c r="E65" s="29"/>
      <c r="F65" s="29"/>
      <c r="G65" s="35"/>
      <c r="H65" s="20"/>
      <c r="I65" s="20"/>
      <c r="J65" s="20"/>
      <c r="K65" s="20"/>
      <c r="L65" s="20"/>
      <c r="M65" s="20"/>
      <c r="N65" s="20"/>
      <c r="O65" s="20"/>
      <c r="P65" s="20"/>
      <c r="Q65" s="20"/>
      <c r="R65" s="20"/>
      <c r="S65" s="20"/>
      <c r="T65" s="20"/>
      <c r="U65" s="20"/>
      <c r="V65" s="9"/>
      <c r="W65" s="9"/>
    </row>
    <row r="66" spans="1:32" s="288" customFormat="1" ht="12.95" customHeight="1" x14ac:dyDescent="0.25">
      <c r="A66" s="281"/>
      <c r="B66" s="19" t="str">
        <f>VLOOKUP(134,Textbausteine_201[],Hilfsgrössen!$D$2,FALSE)</f>
        <v>4) La responsabilité des produits pour la clientèle privée a été transférée de RéseauPostal à PostMail et à PostLogistics, unités rattachées au nouveau segment Services logistiques depuis le 1er janvier 2021. RéseauPostal ne présente donc plus de produits d’exploitation provenant des services réservés; ceux-ci figurent désormais exclusivement dans les produits d’exploitation de Services logistiques.</v>
      </c>
      <c r="D66" s="289"/>
      <c r="E66" s="290"/>
      <c r="F66" s="290"/>
      <c r="G66" s="291"/>
      <c r="H66" s="289"/>
      <c r="I66" s="289"/>
      <c r="J66" s="289"/>
      <c r="K66" s="289"/>
      <c r="L66" s="289"/>
      <c r="M66" s="289"/>
      <c r="N66" s="289"/>
      <c r="O66" s="289"/>
      <c r="P66" s="289"/>
      <c r="Q66" s="289"/>
      <c r="R66" s="289"/>
      <c r="S66" s="289"/>
      <c r="T66" s="289"/>
      <c r="U66" s="289"/>
      <c r="V66" s="274"/>
      <c r="W66" s="274"/>
    </row>
    <row r="67" spans="1:32" s="355" customFormat="1" ht="12.95" customHeight="1" x14ac:dyDescent="0.25">
      <c r="A67" s="354"/>
      <c r="B67" s="350" t="str">
        <f>VLOOKUP(135,Textbausteine_201[],Hilfsgrössen!$D$2,FALSE)</f>
        <v>5) En 2007, des sociétés du groupe des segments PostMail (DocumentServices SA, SwissSign SA) et PostLogistics (yellowworld SA) ont été transférées au segment Swiss Post Solutions.</v>
      </c>
      <c r="D67" s="356"/>
      <c r="E67" s="357"/>
      <c r="F67" s="357"/>
      <c r="G67" s="358"/>
      <c r="H67" s="356"/>
      <c r="I67" s="356"/>
      <c r="J67" s="356"/>
      <c r="K67" s="356"/>
      <c r="L67" s="356"/>
      <c r="M67" s="356"/>
      <c r="N67" s="356"/>
      <c r="O67" s="356"/>
      <c r="P67" s="356"/>
      <c r="Q67" s="356"/>
      <c r="R67" s="356"/>
      <c r="S67" s="356"/>
      <c r="T67" s="356"/>
      <c r="U67" s="356"/>
      <c r="V67" s="327"/>
      <c r="W67" s="327"/>
    </row>
    <row r="68" spans="1:32" s="18" customFormat="1" ht="12.95" customHeight="1" x14ac:dyDescent="0.25">
      <c r="A68" s="61"/>
      <c r="B68" s="19" t="str">
        <f>VLOOKUP(136,Textbausteine_201[],Hilfsgrössen!$D$2,FALSE)</f>
        <v>6) Valeurs normalisées 2021, 2017, 2015 et 2013.</v>
      </c>
      <c r="D68" s="20"/>
      <c r="E68" s="29"/>
      <c r="F68" s="29"/>
      <c r="G68" s="35"/>
      <c r="H68" s="20"/>
      <c r="I68" s="20"/>
      <c r="J68" s="20"/>
      <c r="K68" s="20"/>
      <c r="L68" s="20"/>
      <c r="M68" s="20"/>
      <c r="N68" s="20"/>
      <c r="O68" s="20"/>
      <c r="P68" s="20"/>
      <c r="Q68" s="20"/>
      <c r="R68" s="20"/>
      <c r="S68" s="20"/>
      <c r="T68" s="20"/>
      <c r="U68" s="20"/>
      <c r="V68" s="11"/>
      <c r="W68" s="11"/>
    </row>
    <row r="69" spans="1:32" ht="12.95" customHeight="1" x14ac:dyDescent="0.2">
      <c r="B69" s="19" t="str">
        <f>VLOOKUP(137,Textbausteine_201[],Hilfsgrössen!$D$2,FALSE)</f>
        <v>7) Valeurs de l'exercice précédent partiellement adaptées.</v>
      </c>
    </row>
    <row r="70" spans="1:32" s="273" customFormat="1" ht="12.95" customHeight="1" x14ac:dyDescent="0.2">
      <c r="A70" s="281"/>
      <c r="B70" s="19" t="str">
        <f>VLOOKUP(138,Textbausteine_201[],Hilfsgrössen!$D$2,FALSE)</f>
        <v>8) Les segments Services logistiques, Services de communication et Services de mobilité existent depuis le 1er janvier 2021. Les fonctions et le management ont également été nouvellement créés (désignés comme autres jusqu’en 2020). Il n’existe aucune valeur de comparaison pour les exercices 2019 et antérieurs.</v>
      </c>
      <c r="E70" s="274"/>
      <c r="F70" s="274"/>
      <c r="G70" s="282"/>
      <c r="V70" s="274"/>
      <c r="W70" s="274"/>
    </row>
    <row r="71" spans="1:32" s="326" customFormat="1" ht="12.95" customHeight="1" x14ac:dyDescent="0.2">
      <c r="A71" s="354"/>
      <c r="B71" s="350" t="str">
        <f>VLOOKUP(139,Textbausteine_201[],Hilfsgrössen!$D$2,FALSE)</f>
        <v xml:space="preserve">9) Lors de l’exercice 2021, le segment Swiss Post Solutions a été présenté séparément dans le compte de résultat consolidé, en tant qu’activité abandonnée. Le groupe SPS a été vendu le 30 mars 2022. </v>
      </c>
      <c r="E71" s="328"/>
      <c r="F71" s="328"/>
      <c r="G71" s="329"/>
      <c r="V71" s="327"/>
      <c r="W71" s="327"/>
    </row>
    <row r="72" spans="1:32" ht="12.95" customHeight="1" x14ac:dyDescent="0.2">
      <c r="B72" s="350" t="str">
        <f>VLOOKUP(140,Textbausteine_201[],Hilfsgrössen!$D$2,FALSE)</f>
        <v>10) À partir de 2022, aucune valeur n’est plus affichée pour le résultat d’exploitation à l’étranger.</v>
      </c>
    </row>
    <row r="75" spans="1:32" s="6" customFormat="1" ht="12.95" customHeight="1" x14ac:dyDescent="0.2">
      <c r="A75" s="56" t="s">
        <v>27</v>
      </c>
      <c r="B75" s="405" t="str">
        <f>$C$8</f>
        <v>Répartition de la valeur ajoutée</v>
      </c>
      <c r="C75" s="405"/>
      <c r="D75" s="6" t="str">
        <f>VLOOKUP(32,Textbausteine_Menu[],Hilfsgrössen!$D$2,FALSE)</f>
        <v>Unité</v>
      </c>
      <c r="E75" s="28" t="str">
        <f>VLOOKUP(33,Textbausteine_Menu[],Hilfsgrössen!$D$2,FALSE)</f>
        <v>Notes</v>
      </c>
      <c r="F75" s="28" t="str">
        <f>VLOOKUP(34,Textbausteine_Menu[],Hilfsgrössen!$D$2,FALSE)</f>
        <v>GRI</v>
      </c>
      <c r="G75" s="33"/>
      <c r="H75" s="6">
        <v>2004</v>
      </c>
      <c r="I75" s="6">
        <v>2005</v>
      </c>
      <c r="J75" s="7">
        <v>2006</v>
      </c>
      <c r="K75" s="7">
        <v>2007</v>
      </c>
      <c r="L75" s="7">
        <v>2008</v>
      </c>
      <c r="M75" s="7">
        <v>2009</v>
      </c>
      <c r="N75" s="7">
        <v>2010</v>
      </c>
      <c r="O75" s="7">
        <v>2011</v>
      </c>
      <c r="P75" s="7">
        <v>2012</v>
      </c>
      <c r="Q75" s="7">
        <v>2013</v>
      </c>
      <c r="R75" s="7" t="s">
        <v>93</v>
      </c>
      <c r="S75" s="2">
        <v>2014</v>
      </c>
      <c r="T75" s="2">
        <v>2015</v>
      </c>
      <c r="U75" s="7" t="s">
        <v>94</v>
      </c>
      <c r="V75" s="7">
        <v>2016</v>
      </c>
      <c r="W75" s="193">
        <v>2017</v>
      </c>
      <c r="X75" s="194" t="s">
        <v>95</v>
      </c>
      <c r="Y75" s="194" t="s">
        <v>96</v>
      </c>
      <c r="Z75" s="194">
        <v>2019</v>
      </c>
      <c r="AA75" s="194" t="s">
        <v>97</v>
      </c>
      <c r="AB75" s="194">
        <v>2021</v>
      </c>
      <c r="AC75" s="7" t="s">
        <v>2944</v>
      </c>
      <c r="AD75" s="7">
        <v>2022</v>
      </c>
    </row>
    <row r="76" spans="1:32" s="6" customFormat="1" ht="12.95" customHeight="1" x14ac:dyDescent="0.2">
      <c r="A76" s="61"/>
      <c r="B76" s="405"/>
      <c r="C76" s="405"/>
      <c r="E76" s="28"/>
      <c r="F76" s="28"/>
      <c r="G76" s="33"/>
      <c r="J76" s="7"/>
      <c r="K76" s="7"/>
      <c r="L76" s="7"/>
      <c r="M76" s="7"/>
      <c r="N76" s="7"/>
      <c r="O76" s="7"/>
      <c r="P76" s="7"/>
      <c r="Q76" s="7"/>
      <c r="R76" s="7"/>
      <c r="S76" s="2"/>
      <c r="T76" s="2"/>
      <c r="U76" s="2"/>
      <c r="V76" s="11"/>
      <c r="W76" s="188"/>
      <c r="X76" s="195"/>
      <c r="Y76" s="195"/>
      <c r="Z76" s="195"/>
      <c r="AA76" s="195"/>
      <c r="AB76" s="195"/>
    </row>
    <row r="77" spans="1:32" ht="12.95" customHeight="1" x14ac:dyDescent="0.2">
      <c r="A77" s="44"/>
      <c r="C77" s="21"/>
      <c r="D77" s="16"/>
      <c r="E77" s="11"/>
      <c r="J77" s="11"/>
      <c r="K77" s="11"/>
      <c r="L77" s="11"/>
      <c r="M77" s="11"/>
      <c r="N77" s="11"/>
      <c r="O77" s="11"/>
      <c r="P77" s="11"/>
      <c r="Q77" s="11"/>
      <c r="R77" s="9"/>
      <c r="S77" s="9"/>
      <c r="T77" s="9"/>
      <c r="U77" s="9"/>
      <c r="V77" s="75"/>
      <c r="W77" s="196"/>
      <c r="X77" s="197"/>
      <c r="Y77" s="197"/>
      <c r="Z77" s="197"/>
      <c r="AA77" s="197"/>
      <c r="AB77" s="197"/>
    </row>
    <row r="78" spans="1:32" s="6" customFormat="1" ht="12.95" customHeight="1" x14ac:dyDescent="0.2">
      <c r="A78" s="62"/>
      <c r="B78" s="2" t="str">
        <f>VLOOKUP(36,Textbausteine_Menu[],Hilfsgrössen!$D$2,FALSE)</f>
        <v>Groupe</v>
      </c>
      <c r="E78" s="28"/>
      <c r="F78" s="28"/>
      <c r="G78" s="33"/>
      <c r="V78" s="75"/>
      <c r="W78" s="196"/>
      <c r="X78" s="195"/>
      <c r="Y78" s="195"/>
      <c r="Z78" s="195"/>
      <c r="AA78" s="195"/>
      <c r="AB78" s="195"/>
    </row>
    <row r="79" spans="1:32" ht="12.95" customHeight="1" x14ac:dyDescent="0.2">
      <c r="A79" s="62"/>
      <c r="B79" s="16"/>
      <c r="C79" s="1" t="str">
        <f>VLOOKUP(61,Textbausteine_201[],Hilfsgrössen!$D$2,FALSE)</f>
        <v>Valeur ajoutée</v>
      </c>
      <c r="D79" s="1" t="str">
        <f>VLOOKUP(11,Textbausteine_201[],Hilfsgrössen!$D$2,FALSE)</f>
        <v>Millions de CHF</v>
      </c>
      <c r="E79" s="9">
        <v>1</v>
      </c>
      <c r="F79" s="9" t="s">
        <v>85</v>
      </c>
      <c r="H79" s="215">
        <v>4786</v>
      </c>
      <c r="I79" s="215">
        <v>4716</v>
      </c>
      <c r="J79" s="215">
        <v>4735</v>
      </c>
      <c r="K79" s="215">
        <v>4925</v>
      </c>
      <c r="L79" s="215">
        <v>4875</v>
      </c>
      <c r="M79" s="215">
        <v>4983</v>
      </c>
      <c r="N79" s="215">
        <v>5268</v>
      </c>
      <c r="O79" s="215">
        <v>5187</v>
      </c>
      <c r="P79" s="215">
        <v>5314</v>
      </c>
      <c r="Q79" s="217" t="s">
        <v>29</v>
      </c>
      <c r="R79" s="215">
        <v>5328</v>
      </c>
      <c r="S79" s="215">
        <v>5220</v>
      </c>
      <c r="T79" s="217" t="s">
        <v>29</v>
      </c>
      <c r="U79" s="215">
        <v>5193</v>
      </c>
      <c r="V79" s="190">
        <v>5145</v>
      </c>
      <c r="W79" s="217" t="s">
        <v>29</v>
      </c>
      <c r="X79" s="190">
        <v>5143</v>
      </c>
      <c r="Y79" s="190">
        <v>4613</v>
      </c>
      <c r="Z79" s="190">
        <v>4616</v>
      </c>
      <c r="AA79" s="190">
        <v>4180</v>
      </c>
      <c r="AB79" s="217" t="s">
        <v>29</v>
      </c>
      <c r="AC79" s="190">
        <v>4376</v>
      </c>
      <c r="AD79" s="190">
        <v>4296</v>
      </c>
    </row>
    <row r="80" spans="1:32" ht="12.95" customHeight="1" x14ac:dyDescent="0.2">
      <c r="A80" s="62"/>
      <c r="B80" s="16"/>
      <c r="C80" s="13" t="str">
        <f>VLOOKUP(62,Textbausteine_201[],Hilfsgrössen!$D$2,FALSE)</f>
        <v>dont aux collaborateurs</v>
      </c>
      <c r="D80" s="1" t="str">
        <f>VLOOKUP(11,Textbausteine_201[],Hilfsgrössen!$D$2,FALSE)</f>
        <v>Millions de CHF</v>
      </c>
      <c r="E80" s="9">
        <v>2</v>
      </c>
      <c r="F80" s="9" t="s">
        <v>85</v>
      </c>
      <c r="H80" s="215">
        <v>3738</v>
      </c>
      <c r="I80" s="215">
        <v>3704</v>
      </c>
      <c r="J80" s="215">
        <v>3711</v>
      </c>
      <c r="K80" s="215">
        <v>3851</v>
      </c>
      <c r="L80" s="215">
        <v>3873</v>
      </c>
      <c r="M80" s="215">
        <v>4032</v>
      </c>
      <c r="N80" s="215">
        <v>4076</v>
      </c>
      <c r="O80" s="215">
        <v>4026</v>
      </c>
      <c r="P80" s="215">
        <v>4161</v>
      </c>
      <c r="Q80" s="217" t="s">
        <v>29</v>
      </c>
      <c r="R80" s="215">
        <v>4131</v>
      </c>
      <c r="S80" s="215">
        <v>4108</v>
      </c>
      <c r="T80" s="217" t="s">
        <v>29</v>
      </c>
      <c r="U80" s="215">
        <v>4074</v>
      </c>
      <c r="V80" s="190">
        <v>4034</v>
      </c>
      <c r="W80" s="217" t="s">
        <v>29</v>
      </c>
      <c r="X80" s="190">
        <v>3989</v>
      </c>
      <c r="Y80" s="190">
        <v>3802</v>
      </c>
      <c r="Z80" s="190">
        <v>3764</v>
      </c>
      <c r="AA80" s="190">
        <v>3529</v>
      </c>
      <c r="AB80" s="217" t="s">
        <v>29</v>
      </c>
      <c r="AC80" s="190">
        <v>3448</v>
      </c>
      <c r="AD80" s="190">
        <v>3496</v>
      </c>
      <c r="AF80" s="94"/>
    </row>
    <row r="81" spans="1:32" ht="12.95" customHeight="1" x14ac:dyDescent="0.2">
      <c r="A81" s="62"/>
      <c r="B81" s="16"/>
      <c r="C81" s="13" t="str">
        <f>VLOOKUP(63,Textbausteine_201[],Hilfsgrössen!$D$2,FALSE)</f>
        <v>dont aux bailleurs de fonds externes</v>
      </c>
      <c r="D81" s="1" t="str">
        <f>VLOOKUP(11,Textbausteine_201[],Hilfsgrössen!$D$2,FALSE)</f>
        <v>Millions de CHF</v>
      </c>
      <c r="E81" s="9">
        <v>3</v>
      </c>
      <c r="F81" s="9" t="s">
        <v>85</v>
      </c>
      <c r="H81" s="215">
        <v>11</v>
      </c>
      <c r="I81" s="215">
        <v>9</v>
      </c>
      <c r="J81" s="215">
        <v>11</v>
      </c>
      <c r="K81" s="215">
        <v>20</v>
      </c>
      <c r="L81" s="215">
        <v>22</v>
      </c>
      <c r="M81" s="215">
        <v>14</v>
      </c>
      <c r="N81" s="215">
        <v>20</v>
      </c>
      <c r="O81" s="215">
        <v>19</v>
      </c>
      <c r="P81" s="215">
        <v>82</v>
      </c>
      <c r="Q81" s="217" t="s">
        <v>29</v>
      </c>
      <c r="R81" s="215">
        <v>93</v>
      </c>
      <c r="S81" s="215">
        <v>57</v>
      </c>
      <c r="T81" s="217" t="s">
        <v>29</v>
      </c>
      <c r="U81" s="215">
        <v>69</v>
      </c>
      <c r="V81" s="190">
        <v>64</v>
      </c>
      <c r="W81" s="217" t="s">
        <v>29</v>
      </c>
      <c r="X81" s="190">
        <v>48</v>
      </c>
      <c r="Y81" s="190">
        <v>48</v>
      </c>
      <c r="Z81" s="190">
        <v>75</v>
      </c>
      <c r="AA81" s="190">
        <v>50</v>
      </c>
      <c r="AB81" s="217" t="s">
        <v>29</v>
      </c>
      <c r="AC81" s="190">
        <v>44</v>
      </c>
      <c r="AD81" s="190">
        <v>66</v>
      </c>
      <c r="AF81" s="94"/>
    </row>
    <row r="82" spans="1:32" ht="12.95" customHeight="1" x14ac:dyDescent="0.2">
      <c r="A82" s="62"/>
      <c r="B82" s="16"/>
      <c r="C82" s="13" t="str">
        <f>VLOOKUP(64,Textbausteine_201[],Hilfsgrössen!$D$2,FALSE)</f>
        <v>dont aux pouvoirs publics</v>
      </c>
      <c r="D82" s="1" t="str">
        <f>VLOOKUP(11,Textbausteine_201[],Hilfsgrössen!$D$2,FALSE)</f>
        <v>Millions de CHF</v>
      </c>
      <c r="E82" s="9">
        <v>4</v>
      </c>
      <c r="F82" s="9" t="s">
        <v>85</v>
      </c>
      <c r="H82" s="215">
        <v>2</v>
      </c>
      <c r="I82" s="215">
        <v>4</v>
      </c>
      <c r="J82" s="215">
        <v>9</v>
      </c>
      <c r="K82" s="215">
        <v>13</v>
      </c>
      <c r="L82" s="215">
        <v>10</v>
      </c>
      <c r="M82" s="215">
        <v>9</v>
      </c>
      <c r="N82" s="215">
        <v>12</v>
      </c>
      <c r="O82" s="215">
        <v>13</v>
      </c>
      <c r="P82" s="215">
        <v>34</v>
      </c>
      <c r="Q82" s="217" t="s">
        <v>29</v>
      </c>
      <c r="R82" s="215">
        <v>94</v>
      </c>
      <c r="S82" s="215">
        <v>79</v>
      </c>
      <c r="T82" s="217" t="s">
        <v>29</v>
      </c>
      <c r="U82" s="215">
        <v>94</v>
      </c>
      <c r="V82" s="190">
        <v>118</v>
      </c>
      <c r="W82" s="217" t="s">
        <v>29</v>
      </c>
      <c r="X82" s="190">
        <f>74-11</f>
        <v>63</v>
      </c>
      <c r="Y82" s="190">
        <v>42</v>
      </c>
      <c r="Z82" s="190">
        <v>32</v>
      </c>
      <c r="AA82" s="190">
        <v>28</v>
      </c>
      <c r="AB82" s="217" t="s">
        <v>29</v>
      </c>
      <c r="AC82" s="190">
        <v>55</v>
      </c>
      <c r="AD82" s="190">
        <v>37</v>
      </c>
      <c r="AF82" s="94"/>
    </row>
    <row r="83" spans="1:32" ht="12.75" x14ac:dyDescent="0.2">
      <c r="A83" s="62"/>
      <c r="B83" s="16"/>
      <c r="C83" s="13" t="str">
        <f>VLOOKUP(65,Textbausteine_201[],Hilfsgrössen!$D$2,FALSE)</f>
        <v>dont au propriétaire</v>
      </c>
      <c r="D83" s="1" t="str">
        <f>VLOOKUP(11,Textbausteine_201[],Hilfsgrössen!$D$2,FALSE)</f>
        <v>Millions de CHF</v>
      </c>
      <c r="E83" s="9">
        <v>5</v>
      </c>
      <c r="F83" s="9" t="s">
        <v>85</v>
      </c>
      <c r="H83" s="215">
        <v>0</v>
      </c>
      <c r="I83" s="215">
        <v>0</v>
      </c>
      <c r="J83" s="215">
        <v>0</v>
      </c>
      <c r="K83" s="215">
        <v>300</v>
      </c>
      <c r="L83" s="215">
        <v>200</v>
      </c>
      <c r="M83" s="215">
        <v>200</v>
      </c>
      <c r="N83" s="215">
        <v>200</v>
      </c>
      <c r="O83" s="215">
        <v>200</v>
      </c>
      <c r="P83" s="215">
        <v>200</v>
      </c>
      <c r="Q83" s="217" t="s">
        <v>29</v>
      </c>
      <c r="R83" s="215">
        <v>180</v>
      </c>
      <c r="S83" s="215">
        <v>200</v>
      </c>
      <c r="T83" s="217" t="s">
        <v>29</v>
      </c>
      <c r="U83" s="215">
        <v>200</v>
      </c>
      <c r="V83" s="190">
        <v>200</v>
      </c>
      <c r="W83" s="217" t="s">
        <v>29</v>
      </c>
      <c r="X83" s="190">
        <v>200</v>
      </c>
      <c r="Y83" s="190">
        <v>200</v>
      </c>
      <c r="Z83" s="190">
        <v>50</v>
      </c>
      <c r="AA83" s="190">
        <v>50</v>
      </c>
      <c r="AB83" s="217" t="s">
        <v>29</v>
      </c>
      <c r="AC83" s="190">
        <v>50</v>
      </c>
      <c r="AD83" s="190">
        <v>50</v>
      </c>
      <c r="AF83" s="94"/>
    </row>
    <row r="84" spans="1:32" ht="12.95" customHeight="1" x14ac:dyDescent="0.2">
      <c r="A84" s="62"/>
      <c r="B84" s="16"/>
      <c r="C84" s="13" t="str">
        <f>VLOOKUP(66,Textbausteine_201[],Hilfsgrössen!$D$2,FALSE)</f>
        <v>dont à l'entreprise</v>
      </c>
      <c r="D84" s="1" t="str">
        <f>VLOOKUP(11,Textbausteine_201[],Hilfsgrössen!$D$2,FALSE)</f>
        <v>Millions de CHF</v>
      </c>
      <c r="E84" s="9">
        <v>7</v>
      </c>
      <c r="F84" s="9" t="s">
        <v>85</v>
      </c>
      <c r="H84" s="215">
        <v>1036</v>
      </c>
      <c r="I84" s="215">
        <v>999</v>
      </c>
      <c r="J84" s="215">
        <v>1004</v>
      </c>
      <c r="K84" s="215">
        <v>741</v>
      </c>
      <c r="L84" s="215">
        <v>770</v>
      </c>
      <c r="M84" s="215">
        <v>728</v>
      </c>
      <c r="N84" s="215">
        <v>960</v>
      </c>
      <c r="O84" s="215">
        <v>929</v>
      </c>
      <c r="P84" s="215">
        <v>837</v>
      </c>
      <c r="Q84" s="217" t="s">
        <v>29</v>
      </c>
      <c r="R84" s="215">
        <v>830</v>
      </c>
      <c r="S84" s="215">
        <v>776</v>
      </c>
      <c r="T84" s="217" t="s">
        <v>29</v>
      </c>
      <c r="U84" s="215">
        <v>756</v>
      </c>
      <c r="V84" s="190">
        <v>729</v>
      </c>
      <c r="W84" s="217" t="s">
        <v>29</v>
      </c>
      <c r="X84" s="190">
        <v>843</v>
      </c>
      <c r="Y84" s="190">
        <v>521</v>
      </c>
      <c r="Z84" s="190">
        <v>695</v>
      </c>
      <c r="AA84" s="190">
        <v>523</v>
      </c>
      <c r="AB84" s="217" t="s">
        <v>29</v>
      </c>
      <c r="AC84" s="190">
        <v>779</v>
      </c>
      <c r="AD84" s="190">
        <v>647</v>
      </c>
      <c r="AF84" s="94"/>
    </row>
    <row r="85" spans="1:32" ht="12.95" customHeight="1" x14ac:dyDescent="0.2">
      <c r="A85" s="62"/>
      <c r="B85" s="16"/>
      <c r="C85" s="26" t="str">
        <f>VLOOKUP(67,Textbausteine_201[],Hilfsgrössen!$D$2,FALSE)</f>
        <v>dont pour amortissements</v>
      </c>
      <c r="D85" s="1" t="str">
        <f>VLOOKUP(11,Textbausteine_201[],Hilfsgrössen!$D$2,FALSE)</f>
        <v>Millions de CHF</v>
      </c>
      <c r="F85" s="9" t="s">
        <v>85</v>
      </c>
      <c r="H85" s="215">
        <v>255</v>
      </c>
      <c r="I85" s="215">
        <v>252</v>
      </c>
      <c r="J85" s="215">
        <v>257</v>
      </c>
      <c r="K85" s="215">
        <v>284</v>
      </c>
      <c r="L85" s="215">
        <v>279</v>
      </c>
      <c r="M85" s="215">
        <v>325</v>
      </c>
      <c r="N85" s="215">
        <v>309</v>
      </c>
      <c r="O85" s="215">
        <v>293</v>
      </c>
      <c r="P85" s="215">
        <v>312</v>
      </c>
      <c r="Q85" s="217" t="s">
        <v>29</v>
      </c>
      <c r="R85" s="215">
        <v>333</v>
      </c>
      <c r="S85" s="215">
        <v>329</v>
      </c>
      <c r="T85" s="217" t="s">
        <v>29</v>
      </c>
      <c r="U85" s="215">
        <v>336</v>
      </c>
      <c r="V85" s="190">
        <v>447</v>
      </c>
      <c r="W85" s="217" t="s">
        <v>29</v>
      </c>
      <c r="X85" s="190">
        <v>467</v>
      </c>
      <c r="Y85" s="190">
        <v>348</v>
      </c>
      <c r="Z85" s="190">
        <v>451</v>
      </c>
      <c r="AA85" s="190">
        <v>425</v>
      </c>
      <c r="AB85" s="217" t="s">
        <v>29</v>
      </c>
      <c r="AC85" s="190">
        <v>442</v>
      </c>
      <c r="AD85" s="190">
        <v>467</v>
      </c>
      <c r="AF85" s="94"/>
    </row>
    <row r="86" spans="1:32" ht="12.95" customHeight="1" x14ac:dyDescent="0.2">
      <c r="A86" s="62"/>
      <c r="B86" s="16"/>
      <c r="C86" s="26" t="str">
        <f>VLOOKUP(68,Textbausteine_201[],Hilfsgrössen!$D$2,FALSE)</f>
        <v>dont pour renforcement de la Caisse de pensions Poste</v>
      </c>
      <c r="D86" s="1" t="str">
        <f>VLOOKUP(11,Textbausteine_201[],Hilfsgrössen!$D$2,FALSE)</f>
        <v>Millions de CHF</v>
      </c>
      <c r="F86" s="9" t="s">
        <v>85</v>
      </c>
      <c r="H86" s="215">
        <v>350</v>
      </c>
      <c r="I86" s="215">
        <v>350</v>
      </c>
      <c r="J86" s="215">
        <v>212</v>
      </c>
      <c r="K86" s="215">
        <v>250</v>
      </c>
      <c r="L86" s="215">
        <v>250</v>
      </c>
      <c r="M86" s="215">
        <v>250</v>
      </c>
      <c r="N86" s="215">
        <v>100</v>
      </c>
      <c r="O86" s="215">
        <v>100</v>
      </c>
      <c r="P86" s="215">
        <v>100</v>
      </c>
      <c r="Q86" s="217" t="s">
        <v>29</v>
      </c>
      <c r="R86" s="215">
        <v>0</v>
      </c>
      <c r="S86" s="215">
        <v>0</v>
      </c>
      <c r="T86" s="217" t="s">
        <v>29</v>
      </c>
      <c r="U86" s="215">
        <v>0</v>
      </c>
      <c r="V86" s="190">
        <v>0</v>
      </c>
      <c r="W86" s="217" t="s">
        <v>29</v>
      </c>
      <c r="X86" s="190">
        <v>0</v>
      </c>
      <c r="Y86" s="190">
        <v>0</v>
      </c>
      <c r="Z86" s="190">
        <v>0</v>
      </c>
      <c r="AA86" s="190">
        <v>0</v>
      </c>
      <c r="AB86" s="217" t="s">
        <v>29</v>
      </c>
      <c r="AC86" s="190">
        <v>0</v>
      </c>
      <c r="AD86" s="190">
        <v>0</v>
      </c>
      <c r="AF86" s="94"/>
    </row>
    <row r="87" spans="1:32" ht="12.95" customHeight="1" x14ac:dyDescent="0.2">
      <c r="A87" s="62"/>
      <c r="B87" s="16"/>
      <c r="C87" s="26" t="str">
        <f>VLOOKUP(69,Textbausteine_201[],Hilfsgrössen!$D$2,FALSE)</f>
        <v>dont pour constitution de fonds propres</v>
      </c>
      <c r="D87" s="1" t="str">
        <f>VLOOKUP(11,Textbausteine_201[],Hilfsgrössen!$D$2,FALSE)</f>
        <v>Millions de CHF</v>
      </c>
      <c r="F87" s="9" t="s">
        <v>85</v>
      </c>
      <c r="H87" s="215">
        <v>480</v>
      </c>
      <c r="I87" s="215">
        <v>461</v>
      </c>
      <c r="J87" s="215">
        <v>625</v>
      </c>
      <c r="K87" s="215">
        <v>359</v>
      </c>
      <c r="L87" s="215">
        <v>375</v>
      </c>
      <c r="M87" s="215">
        <v>261</v>
      </c>
      <c r="N87" s="215">
        <v>610</v>
      </c>
      <c r="O87" s="215">
        <v>604</v>
      </c>
      <c r="P87" s="215">
        <v>472</v>
      </c>
      <c r="Q87" s="217" t="s">
        <v>29</v>
      </c>
      <c r="R87" s="215">
        <v>446</v>
      </c>
      <c r="S87" s="215">
        <v>552</v>
      </c>
      <c r="T87" s="217" t="s">
        <v>29</v>
      </c>
      <c r="U87" s="215">
        <v>610</v>
      </c>
      <c r="V87" s="190">
        <v>394</v>
      </c>
      <c r="W87" s="217" t="s">
        <v>29</v>
      </c>
      <c r="X87" s="190">
        <v>504</v>
      </c>
      <c r="Y87" s="190">
        <v>339</v>
      </c>
      <c r="Z87" s="190">
        <v>428</v>
      </c>
      <c r="AA87" s="190">
        <v>279</v>
      </c>
      <c r="AB87" s="217" t="s">
        <v>29</v>
      </c>
      <c r="AC87" s="190">
        <v>477</v>
      </c>
      <c r="AD87" s="190">
        <v>319</v>
      </c>
      <c r="AF87" s="94"/>
    </row>
    <row r="88" spans="1:32" ht="12.95" customHeight="1" x14ac:dyDescent="0.2">
      <c r="A88" s="62"/>
      <c r="B88" s="16"/>
      <c r="C88" s="26" t="str">
        <f>VLOOKUP(70,Textbausteine_201[],Hilfsgrössen!$D$2,FALSE)</f>
        <v>dont pour Autres</v>
      </c>
      <c r="D88" s="1" t="str">
        <f>VLOOKUP(11,Textbausteine_201[],Hilfsgrössen!$D$2,FALSE)</f>
        <v>Millions de CHF</v>
      </c>
      <c r="E88" s="9">
        <v>6</v>
      </c>
      <c r="F88" s="9" t="s">
        <v>85</v>
      </c>
      <c r="H88" s="215">
        <v>-49</v>
      </c>
      <c r="I88" s="215">
        <v>-64</v>
      </c>
      <c r="J88" s="215">
        <v>-90</v>
      </c>
      <c r="K88" s="215">
        <v>-152</v>
      </c>
      <c r="L88" s="215">
        <v>-134</v>
      </c>
      <c r="M88" s="215">
        <v>-108</v>
      </c>
      <c r="N88" s="215">
        <v>-59</v>
      </c>
      <c r="O88" s="215">
        <v>-68</v>
      </c>
      <c r="P88" s="215">
        <v>-47</v>
      </c>
      <c r="Q88" s="217" t="s">
        <v>29</v>
      </c>
      <c r="R88" s="215">
        <v>51</v>
      </c>
      <c r="S88" s="215">
        <v>-105</v>
      </c>
      <c r="T88" s="217" t="s">
        <v>29</v>
      </c>
      <c r="U88" s="215">
        <v>-190</v>
      </c>
      <c r="V88" s="190">
        <v>-112</v>
      </c>
      <c r="W88" s="217" t="s">
        <v>29</v>
      </c>
      <c r="X88" s="190">
        <v>-128</v>
      </c>
      <c r="Y88" s="190">
        <v>-166</v>
      </c>
      <c r="Z88" s="190">
        <v>-184</v>
      </c>
      <c r="AA88" s="190">
        <v>-181</v>
      </c>
      <c r="AB88" s="217" t="s">
        <v>29</v>
      </c>
      <c r="AC88" s="190">
        <v>-140</v>
      </c>
      <c r="AD88" s="190">
        <v>-139</v>
      </c>
      <c r="AF88" s="94"/>
    </row>
    <row r="89" spans="1:32" ht="12.95" customHeight="1" x14ac:dyDescent="0.2">
      <c r="A89" s="62"/>
      <c r="B89" s="16"/>
      <c r="V89" s="75"/>
      <c r="W89" s="197"/>
      <c r="X89" s="196"/>
      <c r="Y89" s="196"/>
      <c r="Z89" s="196"/>
      <c r="AA89" s="196"/>
      <c r="AB89" s="197"/>
      <c r="AC89" s="196"/>
      <c r="AD89" s="196"/>
      <c r="AF89" s="94"/>
    </row>
    <row r="90" spans="1:32" ht="12.95" customHeight="1" x14ac:dyDescent="0.2">
      <c r="A90" s="62"/>
      <c r="B90" s="16"/>
      <c r="C90" s="1" t="str">
        <f>VLOOKUP(61,Textbausteine_201[],Hilfsgrössen!$D$2,FALSE)</f>
        <v>Valeur ajoutée</v>
      </c>
      <c r="D90" s="1" t="str">
        <f>VLOOKUP(12,Textbausteine_201[],Hilfsgrössen!$D$2,FALSE)</f>
        <v>%</v>
      </c>
      <c r="E90" s="9">
        <v>1</v>
      </c>
      <c r="F90" s="9" t="s">
        <v>85</v>
      </c>
      <c r="H90" s="212">
        <v>100</v>
      </c>
      <c r="I90" s="212">
        <v>100</v>
      </c>
      <c r="J90" s="212">
        <v>100</v>
      </c>
      <c r="K90" s="212">
        <v>100</v>
      </c>
      <c r="L90" s="212">
        <v>100</v>
      </c>
      <c r="M90" s="212">
        <v>100</v>
      </c>
      <c r="N90" s="212">
        <v>100</v>
      </c>
      <c r="O90" s="212">
        <v>100</v>
      </c>
      <c r="P90" s="212">
        <v>100</v>
      </c>
      <c r="Q90" s="202" t="s">
        <v>29</v>
      </c>
      <c r="R90" s="212">
        <v>100</v>
      </c>
      <c r="S90" s="212">
        <f t="shared" ref="S90" si="0">S79/S$79*100</f>
        <v>100</v>
      </c>
      <c r="T90" s="202" t="s">
        <v>29</v>
      </c>
      <c r="U90" s="212">
        <f t="shared" ref="U90" si="1">U79/U$79*100</f>
        <v>100</v>
      </c>
      <c r="V90" s="218">
        <f t="shared" ref="V90" si="2">V79/V$79*100</f>
        <v>100</v>
      </c>
      <c r="W90" s="202" t="s">
        <v>29</v>
      </c>
      <c r="X90" s="218">
        <f>X79/X$79*100</f>
        <v>100</v>
      </c>
      <c r="Y90" s="218">
        <v>100</v>
      </c>
      <c r="Z90" s="218">
        <v>100</v>
      </c>
      <c r="AA90" s="218">
        <v>100</v>
      </c>
      <c r="AB90" s="202" t="s">
        <v>29</v>
      </c>
      <c r="AC90" s="218">
        <v>100</v>
      </c>
      <c r="AD90" s="218">
        <v>100</v>
      </c>
    </row>
    <row r="91" spans="1:32" ht="12.95" customHeight="1" x14ac:dyDescent="0.2">
      <c r="A91" s="62"/>
      <c r="B91" s="16"/>
      <c r="C91" s="13" t="str">
        <f>VLOOKUP(62,Textbausteine_201[],Hilfsgrössen!$D$2,FALSE)</f>
        <v>dont aux collaborateurs</v>
      </c>
      <c r="D91" s="1" t="str">
        <f>VLOOKUP(12,Textbausteine_201[],Hilfsgrössen!$D$2,FALSE)</f>
        <v>%</v>
      </c>
      <c r="E91" s="9">
        <v>2</v>
      </c>
      <c r="F91" s="9" t="s">
        <v>85</v>
      </c>
      <c r="H91" s="212">
        <v>78.102799832845804</v>
      </c>
      <c r="I91" s="212">
        <v>78.541136556403728</v>
      </c>
      <c r="J91" s="212">
        <v>78.373812038014776</v>
      </c>
      <c r="K91" s="212">
        <v>78.192893401015226</v>
      </c>
      <c r="L91" s="212">
        <v>79.446153846153848</v>
      </c>
      <c r="M91" s="212">
        <v>80.915111378687541</v>
      </c>
      <c r="N91" s="212">
        <v>77.372817008352314</v>
      </c>
      <c r="O91" s="212">
        <v>77.617119722382881</v>
      </c>
      <c r="P91" s="212">
        <v>78.302596913812579</v>
      </c>
      <c r="Q91" s="202" t="s">
        <v>29</v>
      </c>
      <c r="R91" s="212">
        <v>77.53378378378379</v>
      </c>
      <c r="S91" s="212">
        <f t="shared" ref="S91" si="3">S80/S$79*100</f>
        <v>78.69731800766283</v>
      </c>
      <c r="T91" s="202" t="s">
        <v>29</v>
      </c>
      <c r="U91" s="212">
        <f t="shared" ref="U91" si="4">U80/U$79*100</f>
        <v>78.451761987290581</v>
      </c>
      <c r="V91" s="218">
        <f t="shared" ref="V91:V99" si="5">V80/V$79*100</f>
        <v>78.40621963070943</v>
      </c>
      <c r="W91" s="202" t="s">
        <v>29</v>
      </c>
      <c r="X91" s="218">
        <f>X80/X$79*100</f>
        <v>77.561734396266772</v>
      </c>
      <c r="Y91" s="218">
        <v>82.419249945805333</v>
      </c>
      <c r="Z91" s="218">
        <v>81.5424610051993</v>
      </c>
      <c r="AA91" s="218">
        <f>AA80/$AA$79*100</f>
        <v>84.425837320574161</v>
      </c>
      <c r="AB91" s="202" t="s">
        <v>29</v>
      </c>
      <c r="AC91" s="218">
        <f>AC80/AC79*100</f>
        <v>78.793418647166362</v>
      </c>
      <c r="AD91" s="218">
        <v>81.400000000000006</v>
      </c>
      <c r="AF91" s="94"/>
    </row>
    <row r="92" spans="1:32" ht="12.95" customHeight="1" x14ac:dyDescent="0.2">
      <c r="A92" s="62"/>
      <c r="B92" s="16"/>
      <c r="C92" s="13" t="str">
        <f>VLOOKUP(63,Textbausteine_201[],Hilfsgrössen!$D$2,FALSE)</f>
        <v>dont aux bailleurs de fonds externes</v>
      </c>
      <c r="D92" s="1" t="str">
        <f>VLOOKUP(12,Textbausteine_201[],Hilfsgrössen!$D$2,FALSE)</f>
        <v>%</v>
      </c>
      <c r="E92" s="9">
        <v>3</v>
      </c>
      <c r="F92" s="9" t="s">
        <v>85</v>
      </c>
      <c r="H92" s="212">
        <v>0.22983702465524447</v>
      </c>
      <c r="I92" s="212">
        <v>0.19083969465648853</v>
      </c>
      <c r="J92" s="212">
        <v>0.23231256599788808</v>
      </c>
      <c r="K92" s="212">
        <v>0.40609137055837563</v>
      </c>
      <c r="L92" s="212">
        <v>0.45128205128205123</v>
      </c>
      <c r="M92" s="212">
        <v>0.28095524784266507</v>
      </c>
      <c r="N92" s="212">
        <v>0.37965072133637051</v>
      </c>
      <c r="O92" s="212">
        <v>0.36630036630036628</v>
      </c>
      <c r="P92" s="212">
        <v>1.543093714715845</v>
      </c>
      <c r="Q92" s="202" t="s">
        <v>29</v>
      </c>
      <c r="R92" s="212">
        <v>1.7454954954954953</v>
      </c>
      <c r="S92" s="212">
        <f t="shared" ref="S92" si="6">S81/S$79*100</f>
        <v>1.0919540229885056</v>
      </c>
      <c r="T92" s="202" t="s">
        <v>29</v>
      </c>
      <c r="U92" s="212">
        <f t="shared" ref="U92" si="7">U81/U$79*100</f>
        <v>1.3287117273252456</v>
      </c>
      <c r="V92" s="218">
        <f t="shared" si="5"/>
        <v>1.2439261418853256</v>
      </c>
      <c r="W92" s="202" t="s">
        <v>29</v>
      </c>
      <c r="X92" s="218">
        <f t="shared" ref="X92" si="8">X81/X$79*100</f>
        <v>0.93330740812755197</v>
      </c>
      <c r="Y92" s="218">
        <v>1.0405376110990678</v>
      </c>
      <c r="Z92" s="218">
        <v>1.6247833622183712</v>
      </c>
      <c r="AA92" s="218">
        <f>AA81/$AA$79*100</f>
        <v>1.1961722488038278</v>
      </c>
      <c r="AB92" s="202" t="s">
        <v>29</v>
      </c>
      <c r="AC92" s="218">
        <f>AC81/AC79*100</f>
        <v>1.0054844606946984</v>
      </c>
      <c r="AD92" s="218">
        <v>1.5</v>
      </c>
      <c r="AF92" s="94"/>
    </row>
    <row r="93" spans="1:32" ht="12.95" customHeight="1" x14ac:dyDescent="0.2">
      <c r="A93" s="62"/>
      <c r="B93" s="16"/>
      <c r="C93" s="13" t="str">
        <f>VLOOKUP(64,Textbausteine_201[],Hilfsgrössen!$D$2,FALSE)</f>
        <v>dont aux pouvoirs publics</v>
      </c>
      <c r="D93" s="1" t="str">
        <f>VLOOKUP(12,Textbausteine_201[],Hilfsgrössen!$D$2,FALSE)</f>
        <v>%</v>
      </c>
      <c r="E93" s="9">
        <v>4</v>
      </c>
      <c r="F93" s="9" t="s">
        <v>85</v>
      </c>
      <c r="H93" s="212">
        <v>4.1788549937317176E-2</v>
      </c>
      <c r="I93" s="212">
        <v>8.4817642069550461E-2</v>
      </c>
      <c r="J93" s="212">
        <v>0.19007391763463569</v>
      </c>
      <c r="K93" s="212">
        <v>0.26395939086294418</v>
      </c>
      <c r="L93" s="212">
        <v>0.20512820512820512</v>
      </c>
      <c r="M93" s="212">
        <v>0.18061408789885611</v>
      </c>
      <c r="N93" s="212">
        <v>0.22779043280182232</v>
      </c>
      <c r="O93" s="212">
        <v>0.25062656641604009</v>
      </c>
      <c r="P93" s="212">
        <v>0.63981934512608207</v>
      </c>
      <c r="Q93" s="202" t="s">
        <v>29</v>
      </c>
      <c r="R93" s="212">
        <v>1.7642642642642643</v>
      </c>
      <c r="S93" s="212">
        <f t="shared" ref="S93" si="9">S82/S$79*100</f>
        <v>1.5134099616858239</v>
      </c>
      <c r="T93" s="202" t="s">
        <v>29</v>
      </c>
      <c r="U93" s="212">
        <f t="shared" ref="U93" si="10">U82/U$79*100</f>
        <v>1.8101290198343924</v>
      </c>
      <c r="V93" s="218">
        <f t="shared" si="5"/>
        <v>2.2934888241010691</v>
      </c>
      <c r="W93" s="202" t="s">
        <v>29</v>
      </c>
      <c r="X93" s="218">
        <f t="shared" ref="X93" si="11">X82/X$79*100</f>
        <v>1.2249659731674121</v>
      </c>
      <c r="Y93" s="218">
        <v>0.91047040971168436</v>
      </c>
      <c r="Z93" s="218">
        <v>0.6932409012131715</v>
      </c>
      <c r="AA93" s="218">
        <f>AA82/$AA$79*100</f>
        <v>0.66985645933014359</v>
      </c>
      <c r="AB93" s="202" t="s">
        <v>29</v>
      </c>
      <c r="AC93" s="218">
        <f>AC82/AC79*100</f>
        <v>1.2568555758683728</v>
      </c>
      <c r="AD93" s="218">
        <v>0.9</v>
      </c>
      <c r="AF93" s="94"/>
    </row>
    <row r="94" spans="1:32" ht="12.95" customHeight="1" x14ac:dyDescent="0.2">
      <c r="A94" s="62"/>
      <c r="B94" s="16"/>
      <c r="C94" s="13" t="str">
        <f>VLOOKUP(65,Textbausteine_201[],Hilfsgrössen!$D$2,FALSE)</f>
        <v>dont au propriétaire</v>
      </c>
      <c r="D94" s="1" t="str">
        <f>VLOOKUP(12,Textbausteine_201[],Hilfsgrössen!$D$2,FALSE)</f>
        <v>%</v>
      </c>
      <c r="E94" s="9">
        <v>5</v>
      </c>
      <c r="F94" s="9" t="s">
        <v>85</v>
      </c>
      <c r="H94" s="212">
        <v>0</v>
      </c>
      <c r="I94" s="212">
        <v>0</v>
      </c>
      <c r="J94" s="212">
        <v>0</v>
      </c>
      <c r="K94" s="212">
        <v>6.091370558375635</v>
      </c>
      <c r="L94" s="212">
        <v>4.1025641025641022</v>
      </c>
      <c r="M94" s="212">
        <v>4.0136463977523578</v>
      </c>
      <c r="N94" s="212">
        <v>3.7965072133637054</v>
      </c>
      <c r="O94" s="212">
        <v>3.8557933294775402</v>
      </c>
      <c r="P94" s="212">
        <v>3.7636432066240122</v>
      </c>
      <c r="Q94" s="202" t="s">
        <v>29</v>
      </c>
      <c r="R94" s="212">
        <v>3.3783783783783785</v>
      </c>
      <c r="S94" s="212">
        <f t="shared" ref="S94" si="12">S83/S$79*100</f>
        <v>3.8314176245210727</v>
      </c>
      <c r="T94" s="202" t="s">
        <v>29</v>
      </c>
      <c r="U94" s="212">
        <f t="shared" ref="U94" si="13">U83/U$79*100</f>
        <v>3.8513383400731751</v>
      </c>
      <c r="V94" s="218">
        <f t="shared" si="5"/>
        <v>3.8872691933916426</v>
      </c>
      <c r="W94" s="202" t="s">
        <v>29</v>
      </c>
      <c r="X94" s="218">
        <f t="shared" ref="X94" si="14">X83/X$79*100</f>
        <v>3.8887808671981334</v>
      </c>
      <c r="Y94" s="218">
        <v>4.3355733795794489</v>
      </c>
      <c r="Z94" s="218">
        <v>1.0831889081455806</v>
      </c>
      <c r="AA94" s="218">
        <f t="shared" ref="AA94" si="15">AA83/$AA$79*100</f>
        <v>1.1961722488038278</v>
      </c>
      <c r="AB94" s="202" t="s">
        <v>29</v>
      </c>
      <c r="AC94" s="218">
        <f>AC83/AC79*100</f>
        <v>1.1425959780621573</v>
      </c>
      <c r="AD94" s="218">
        <v>1.2</v>
      </c>
      <c r="AF94" s="94"/>
    </row>
    <row r="95" spans="1:32" ht="12.95" customHeight="1" x14ac:dyDescent="0.2">
      <c r="A95" s="62"/>
      <c r="B95" s="16"/>
      <c r="C95" s="13" t="str">
        <f>VLOOKUP(66,Textbausteine_201[],Hilfsgrössen!$D$2,FALSE)</f>
        <v>dont à l'entreprise</v>
      </c>
      <c r="D95" s="1" t="str">
        <f>VLOOKUP(12,Textbausteine_201[],Hilfsgrössen!$D$2,FALSE)</f>
        <v>%</v>
      </c>
      <c r="E95" s="9">
        <v>7</v>
      </c>
      <c r="F95" s="9" t="s">
        <v>85</v>
      </c>
      <c r="H95" s="212">
        <v>21.646468867530295</v>
      </c>
      <c r="I95" s="212">
        <v>21.183206106870227</v>
      </c>
      <c r="J95" s="212">
        <v>21.203801478352695</v>
      </c>
      <c r="K95" s="212">
        <v>15.045685279187818</v>
      </c>
      <c r="L95" s="212">
        <v>15.794871794871796</v>
      </c>
      <c r="M95" s="212">
        <v>14.609672887818585</v>
      </c>
      <c r="N95" s="212">
        <v>18.223234624145785</v>
      </c>
      <c r="O95" s="212">
        <v>17.910160015423173</v>
      </c>
      <c r="P95" s="212">
        <v>15.75084681972149</v>
      </c>
      <c r="Q95" s="202" t="s">
        <v>29</v>
      </c>
      <c r="R95" s="212">
        <v>15.578078078078079</v>
      </c>
      <c r="S95" s="212">
        <f t="shared" ref="S95" si="16">S84/S$79*100</f>
        <v>14.865900383141762</v>
      </c>
      <c r="T95" s="202" t="s">
        <v>29</v>
      </c>
      <c r="U95" s="212">
        <f t="shared" ref="U95" si="17">U84/U$79*100</f>
        <v>14.558058925476603</v>
      </c>
      <c r="V95" s="218">
        <f t="shared" si="5"/>
        <v>14.169096209912539</v>
      </c>
      <c r="W95" s="202" t="s">
        <v>29</v>
      </c>
      <c r="X95" s="218">
        <f t="shared" ref="X95" si="18">X84/X$79*100</f>
        <v>16.391211355240131</v>
      </c>
      <c r="Y95" s="218">
        <v>11.294168653804466</v>
      </c>
      <c r="Z95" s="218">
        <v>15.05632582322357</v>
      </c>
      <c r="AA95" s="218">
        <f>AA84/$AA$79*100</f>
        <v>12.511961722488039</v>
      </c>
      <c r="AB95" s="202" t="s">
        <v>29</v>
      </c>
      <c r="AC95" s="218">
        <f>AC84/AC79*100</f>
        <v>17.801645338208409</v>
      </c>
      <c r="AD95" s="218">
        <v>15</v>
      </c>
      <c r="AF95" s="94"/>
    </row>
    <row r="96" spans="1:32" ht="12.95" customHeight="1" x14ac:dyDescent="0.2">
      <c r="A96" s="62"/>
      <c r="B96" s="16"/>
      <c r="C96" s="26" t="str">
        <f>VLOOKUP(67,Textbausteine_201[],Hilfsgrössen!$D$2,FALSE)</f>
        <v>dont pour amortissements</v>
      </c>
      <c r="D96" s="1" t="str">
        <f>VLOOKUP(12,Textbausteine_201[],Hilfsgrössen!$D$2,FALSE)</f>
        <v>%</v>
      </c>
      <c r="F96" s="9" t="s">
        <v>85</v>
      </c>
      <c r="H96" s="212">
        <v>5.3280401170079399</v>
      </c>
      <c r="I96" s="212">
        <v>5.343511450381679</v>
      </c>
      <c r="J96" s="212">
        <v>5.4276663146779303</v>
      </c>
      <c r="K96" s="212">
        <v>5.7664974619289344</v>
      </c>
      <c r="L96" s="212">
        <v>5.7230769230769232</v>
      </c>
      <c r="M96" s="212">
        <v>6.5221753963475821</v>
      </c>
      <c r="N96" s="212">
        <v>5.8656036446469244</v>
      </c>
      <c r="O96" s="212">
        <v>5.6487372276845962</v>
      </c>
      <c r="P96" s="212">
        <v>5.871283402333459</v>
      </c>
      <c r="Q96" s="202" t="s">
        <v>29</v>
      </c>
      <c r="R96" s="212">
        <v>6.25</v>
      </c>
      <c r="S96" s="212">
        <f t="shared" ref="S96" si="19">S85/S$79*100</f>
        <v>6.3026819923371642</v>
      </c>
      <c r="T96" s="202" t="s">
        <v>29</v>
      </c>
      <c r="U96" s="212">
        <f t="shared" ref="U96" si="20">U85/U$79*100</f>
        <v>6.4702484113229346</v>
      </c>
      <c r="V96" s="218">
        <f t="shared" si="5"/>
        <v>8.6880466472303208</v>
      </c>
      <c r="W96" s="202" t="s">
        <v>29</v>
      </c>
      <c r="X96" s="218">
        <f t="shared" ref="X96" si="21">X85/X$79*100</f>
        <v>9.080303324907641</v>
      </c>
      <c r="Y96" s="218">
        <v>7.5438976804682421</v>
      </c>
      <c r="Z96" s="218">
        <v>9.7703639514731364</v>
      </c>
      <c r="AA96" s="218">
        <f>AA85/$AA$79*100</f>
        <v>10.167464114832537</v>
      </c>
      <c r="AB96" s="202" t="s">
        <v>29</v>
      </c>
      <c r="AC96" s="218">
        <f>AC85/$AC$79*100</f>
        <v>10.100548446069469</v>
      </c>
      <c r="AD96" s="218">
        <v>10.9</v>
      </c>
      <c r="AF96" s="94"/>
    </row>
    <row r="97" spans="1:32" ht="12.95" customHeight="1" x14ac:dyDescent="0.2">
      <c r="A97" s="62"/>
      <c r="B97" s="16"/>
      <c r="C97" s="26" t="str">
        <f>VLOOKUP(68,Textbausteine_201[],Hilfsgrössen!$D$2,FALSE)</f>
        <v>dont pour renforcement de la Caisse de pensions Poste</v>
      </c>
      <c r="D97" s="1" t="str">
        <f>VLOOKUP(12,Textbausteine_201[],Hilfsgrössen!$D$2,FALSE)</f>
        <v>%</v>
      </c>
      <c r="F97" s="9" t="s">
        <v>85</v>
      </c>
      <c r="H97" s="212">
        <v>7.3129962390305057</v>
      </c>
      <c r="I97" s="212">
        <v>7.4215436810856659</v>
      </c>
      <c r="J97" s="212">
        <v>4.4772967265047514</v>
      </c>
      <c r="K97" s="212">
        <v>5.0761421319796955</v>
      </c>
      <c r="L97" s="212">
        <v>5.1282051282051277</v>
      </c>
      <c r="M97" s="212">
        <v>5.017057997190447</v>
      </c>
      <c r="N97" s="212">
        <v>1.8982536066818527</v>
      </c>
      <c r="O97" s="212">
        <v>1.9278966647387701</v>
      </c>
      <c r="P97" s="212">
        <v>1.8818216033120061</v>
      </c>
      <c r="Q97" s="202" t="s">
        <v>29</v>
      </c>
      <c r="R97" s="212">
        <v>0</v>
      </c>
      <c r="S97" s="212">
        <f t="shared" ref="S97" si="22">S86/S$79*100</f>
        <v>0</v>
      </c>
      <c r="T97" s="202" t="s">
        <v>29</v>
      </c>
      <c r="U97" s="212">
        <f t="shared" ref="U97" si="23">U86/U$79*100</f>
        <v>0</v>
      </c>
      <c r="V97" s="218">
        <f t="shared" si="5"/>
        <v>0</v>
      </c>
      <c r="W97" s="202" t="s">
        <v>29</v>
      </c>
      <c r="X97" s="218">
        <f t="shared" ref="X97" si="24">X86/X$79*100</f>
        <v>0</v>
      </c>
      <c r="Y97" s="218">
        <v>0</v>
      </c>
      <c r="Z97" s="218">
        <v>0</v>
      </c>
      <c r="AA97" s="218">
        <f t="shared" ref="AA97:AA99" si="25">AA86/$AA$79*100</f>
        <v>0</v>
      </c>
      <c r="AB97" s="202" t="s">
        <v>29</v>
      </c>
      <c r="AC97" s="218">
        <f t="shared" ref="AC97:AC99" si="26">AC86/$AC$79*100</f>
        <v>0</v>
      </c>
      <c r="AD97" s="218">
        <v>0</v>
      </c>
      <c r="AF97" s="94"/>
    </row>
    <row r="98" spans="1:32" ht="12.95" customHeight="1" x14ac:dyDescent="0.2">
      <c r="A98" s="62"/>
      <c r="B98" s="16"/>
      <c r="C98" s="26" t="str">
        <f>VLOOKUP(69,Textbausteine_201[],Hilfsgrössen!$D$2,FALSE)</f>
        <v>dont pour constitution de fonds propres</v>
      </c>
      <c r="D98" s="1" t="str">
        <f>VLOOKUP(12,Textbausteine_201[],Hilfsgrössen!$D$2,FALSE)</f>
        <v>%</v>
      </c>
      <c r="F98" s="9" t="s">
        <v>85</v>
      </c>
      <c r="H98" s="212">
        <v>10.029251984956122</v>
      </c>
      <c r="I98" s="212">
        <v>9.7752332485156916</v>
      </c>
      <c r="J98" s="212">
        <v>13.199577613516366</v>
      </c>
      <c r="K98" s="212">
        <v>7.2893401015228427</v>
      </c>
      <c r="L98" s="212">
        <v>7.6923076923076925</v>
      </c>
      <c r="M98" s="212">
        <v>5.2378085490668278</v>
      </c>
      <c r="N98" s="212">
        <v>11.579347000759302</v>
      </c>
      <c r="O98" s="212">
        <v>11.64449585502217</v>
      </c>
      <c r="P98" s="212">
        <v>8.8821979676326688</v>
      </c>
      <c r="Q98" s="202" t="s">
        <v>29</v>
      </c>
      <c r="R98" s="212">
        <v>8.3708708708708706</v>
      </c>
      <c r="S98" s="212">
        <f t="shared" ref="S98" si="27">S87/S$79*100</f>
        <v>10.574712643678161</v>
      </c>
      <c r="T98" s="202" t="s">
        <v>29</v>
      </c>
      <c r="U98" s="212">
        <f t="shared" ref="U98" si="28">U87/U$79*100</f>
        <v>11.746581937223185</v>
      </c>
      <c r="V98" s="218">
        <f t="shared" si="5"/>
        <v>7.6579203109815346</v>
      </c>
      <c r="W98" s="202" t="s">
        <v>29</v>
      </c>
      <c r="X98" s="218">
        <f t="shared" ref="X98" si="29">X87/X$79*100</f>
        <v>9.7997277853392966</v>
      </c>
      <c r="Y98" s="218">
        <v>7.3487968783871667</v>
      </c>
      <c r="Z98" s="218">
        <v>9.3000000000000007</v>
      </c>
      <c r="AA98" s="218">
        <f t="shared" si="25"/>
        <v>6.6746411483253594</v>
      </c>
      <c r="AB98" s="202" t="s">
        <v>29</v>
      </c>
      <c r="AC98" s="218">
        <f t="shared" si="26"/>
        <v>10.900365630712979</v>
      </c>
      <c r="AD98" s="218">
        <v>7.4</v>
      </c>
      <c r="AF98" s="94"/>
    </row>
    <row r="99" spans="1:32" ht="12.95" customHeight="1" x14ac:dyDescent="0.2">
      <c r="A99" s="62"/>
      <c r="B99" s="16"/>
      <c r="C99" s="26" t="str">
        <f>VLOOKUP(70,Textbausteine_201[],Hilfsgrössen!$D$2,FALSE)</f>
        <v>dont pour Autres</v>
      </c>
      <c r="D99" s="1" t="str">
        <f>VLOOKUP(12,Textbausteine_201[],Hilfsgrössen!$D$2,FALSE)</f>
        <v>%</v>
      </c>
      <c r="E99" s="9">
        <v>6</v>
      </c>
      <c r="F99" s="9" t="s">
        <v>85</v>
      </c>
      <c r="H99" s="212">
        <v>-1.0238194734642709</v>
      </c>
      <c r="I99" s="212">
        <v>-1.3570822731128074</v>
      </c>
      <c r="J99" s="212">
        <v>-1.9007391763463568</v>
      </c>
      <c r="K99" s="212">
        <v>-3.0862944162436547</v>
      </c>
      <c r="L99" s="212">
        <v>-2.7487179487179487</v>
      </c>
      <c r="M99" s="212">
        <v>-2.1673690547862732</v>
      </c>
      <c r="N99" s="212">
        <v>-1.119969627942293</v>
      </c>
      <c r="O99" s="212">
        <v>-1.3109697320223637</v>
      </c>
      <c r="P99" s="212">
        <v>-0.88445615355664287</v>
      </c>
      <c r="Q99" s="202" t="s">
        <v>29</v>
      </c>
      <c r="R99" s="212">
        <v>0.95720720720720709</v>
      </c>
      <c r="S99" s="212">
        <f t="shared" ref="S99" si="30">S88/S$79*100</f>
        <v>-2.0114942528735633</v>
      </c>
      <c r="T99" s="202" t="s">
        <v>29</v>
      </c>
      <c r="U99" s="212">
        <f t="shared" ref="U99" si="31">U88/U$79*100</f>
        <v>-3.6587714230695165</v>
      </c>
      <c r="V99" s="218">
        <f t="shared" si="5"/>
        <v>-2.1768707482993195</v>
      </c>
      <c r="W99" s="202" t="s">
        <v>29</v>
      </c>
      <c r="X99" s="218">
        <f t="shared" ref="X99" si="32">X88/X$79*100</f>
        <v>-2.4888197550068054</v>
      </c>
      <c r="Y99" s="218">
        <v>-3.5985259050509431</v>
      </c>
      <c r="Z99" s="218">
        <v>-4</v>
      </c>
      <c r="AA99" s="218">
        <f t="shared" si="25"/>
        <v>-4.3301435406698561</v>
      </c>
      <c r="AB99" s="202" t="s">
        <v>29</v>
      </c>
      <c r="AC99" s="218">
        <f t="shared" si="26"/>
        <v>-3.1992687385740401</v>
      </c>
      <c r="AD99" s="218">
        <v>-3.2</v>
      </c>
      <c r="AF99" s="94"/>
    </row>
    <row r="100" spans="1:32" ht="12.95" customHeight="1" x14ac:dyDescent="0.2">
      <c r="AF100" s="94"/>
    </row>
    <row r="101" spans="1:32" ht="12.95" customHeight="1" x14ac:dyDescent="0.2">
      <c r="B101" s="19" t="str">
        <f>VLOOKUP(151,Textbausteine_201[],Hilfsgrössen!$D$2,FALSE)</f>
        <v>1) Valeur ajoutée = résultat d'exploitation + charges de personnel + amortissements – résultat de la vente d'immobilisations corporelles, d'immobilisations incorporelles et de participations</v>
      </c>
      <c r="C101" s="23"/>
      <c r="D101" s="16"/>
      <c r="E101" s="11"/>
      <c r="K101" s="9"/>
      <c r="L101" s="9"/>
      <c r="M101" s="9"/>
      <c r="N101" s="9"/>
      <c r="O101" s="11"/>
      <c r="P101" s="11"/>
      <c r="Q101" s="11"/>
      <c r="R101" s="11"/>
      <c r="S101" s="16"/>
      <c r="T101" s="16"/>
      <c r="U101" s="16"/>
      <c r="V101" s="9"/>
      <c r="W101" s="9"/>
    </row>
    <row r="102" spans="1:32" ht="12.95" customHeight="1" x14ac:dyDescent="0.2">
      <c r="B102" s="19" t="str">
        <f>VLOOKUP(152,Textbausteine_201[],Hilfsgrössen!$D$2,FALSE)</f>
        <v>2) Salaires, appointements, charges sociales légales et volontaires, prestations de prévoyance en faveur du personnel, formation et perfectionnement</v>
      </c>
      <c r="C102" s="23"/>
      <c r="D102" s="16"/>
      <c r="E102" s="11"/>
      <c r="K102" s="9"/>
      <c r="L102" s="9"/>
      <c r="M102" s="9"/>
      <c r="N102" s="9"/>
      <c r="O102" s="11"/>
      <c r="P102" s="11"/>
      <c r="Q102" s="11"/>
      <c r="R102" s="11"/>
      <c r="S102" s="16"/>
      <c r="T102" s="16"/>
      <c r="U102" s="16"/>
      <c r="V102" s="9"/>
      <c r="W102" s="9"/>
    </row>
    <row r="103" spans="1:32" ht="12.95" customHeight="1" x14ac:dyDescent="0.2">
      <c r="B103" s="19" t="str">
        <f>VLOOKUP(153,Textbausteine_201[],Hilfsgrössen!$D$2,FALSE)</f>
        <v>3) Intérêts et charges similaires</v>
      </c>
      <c r="C103" s="23"/>
      <c r="D103" s="16"/>
      <c r="E103" s="11"/>
      <c r="K103" s="9"/>
      <c r="L103" s="9"/>
      <c r="M103" s="9"/>
      <c r="N103" s="9"/>
      <c r="O103" s="11"/>
      <c r="P103" s="11"/>
      <c r="Q103" s="11"/>
      <c r="R103" s="11"/>
      <c r="S103" s="16"/>
      <c r="T103" s="16"/>
      <c r="U103" s="16"/>
      <c r="V103" s="9"/>
      <c r="W103" s="9"/>
    </row>
    <row r="104" spans="1:32" ht="12.95" customHeight="1" x14ac:dyDescent="0.2">
      <c r="B104" s="19" t="str">
        <f>VLOOKUP(154,Textbausteine_201[],Hilfsgrössen!$D$2,FALSE)</f>
        <v>4) Impôts sur le bénéfice</v>
      </c>
      <c r="C104" s="23"/>
      <c r="D104" s="16"/>
      <c r="E104" s="11"/>
      <c r="K104" s="9"/>
      <c r="L104" s="9"/>
      <c r="M104" s="9"/>
      <c r="N104" s="9"/>
      <c r="O104" s="11"/>
      <c r="P104" s="11"/>
      <c r="Q104" s="11"/>
      <c r="R104" s="11"/>
      <c r="S104" s="16"/>
      <c r="T104" s="16"/>
      <c r="U104" s="16"/>
      <c r="V104" s="9"/>
      <c r="W104" s="9"/>
    </row>
    <row r="105" spans="1:32" ht="12.95" customHeight="1" x14ac:dyDescent="0.2">
      <c r="B105" s="19" t="str">
        <f>VLOOKUP(155,Textbausteine_201[],Hilfsgrössen!$D$2,FALSE)</f>
        <v>5) Versement du bénéfice à la Confédération</v>
      </c>
      <c r="C105" s="23"/>
      <c r="D105" s="16"/>
      <c r="E105" s="11"/>
      <c r="K105" s="9"/>
      <c r="L105" s="9"/>
      <c r="M105" s="9"/>
      <c r="N105" s="9"/>
      <c r="O105" s="11"/>
      <c r="P105" s="11"/>
      <c r="Q105" s="11"/>
      <c r="R105" s="11"/>
      <c r="S105" s="16"/>
      <c r="T105" s="16"/>
      <c r="U105" s="16"/>
      <c r="V105" s="9"/>
      <c r="W105" s="9"/>
    </row>
    <row r="106" spans="1:32" ht="12.95" customHeight="1" x14ac:dyDescent="0.2">
      <c r="B106" s="19" t="str">
        <f>VLOOKUP(156,Textbausteine_201[],Hilfsgrössen!$D$2,FALSE)</f>
        <v>6) Le poste «Autres» comprend le bénéfice de la vente d'immobilisations corporelles, les produits des sociétés associées, les produits financiers et les impôts latents.</v>
      </c>
      <c r="C106" s="23"/>
      <c r="D106" s="16"/>
      <c r="E106" s="11"/>
      <c r="K106" s="9"/>
      <c r="L106" s="9"/>
      <c r="M106" s="9"/>
      <c r="N106" s="9"/>
      <c r="O106" s="11"/>
      <c r="P106" s="11"/>
      <c r="Q106" s="11"/>
      <c r="R106" s="11"/>
      <c r="S106" s="16"/>
      <c r="T106" s="16"/>
      <c r="U106" s="16"/>
      <c r="V106" s="9"/>
      <c r="W106" s="9"/>
    </row>
    <row r="107" spans="1:32" ht="12.95" customHeight="1" x14ac:dyDescent="0.2">
      <c r="B107" s="19" t="str">
        <f>VLOOKUP(157,Textbausteine_201[],Hilfsgrössen!$D$2,FALSE)</f>
        <v>7) Proposition d'affectation des bénéfices de la Poste (voir aussi le rapport de gestion, comptes annuels de La Poste Suisse SA).</v>
      </c>
      <c r="C107" s="23"/>
      <c r="D107" s="16"/>
      <c r="E107" s="11"/>
      <c r="K107" s="9"/>
      <c r="L107" s="9"/>
      <c r="M107" s="9"/>
      <c r="N107" s="9"/>
      <c r="O107" s="11"/>
      <c r="P107" s="11"/>
      <c r="Q107" s="11"/>
      <c r="R107" s="11"/>
      <c r="S107" s="16"/>
      <c r="T107" s="16"/>
      <c r="U107" s="16"/>
      <c r="V107" s="9"/>
      <c r="W107" s="9"/>
    </row>
    <row r="108" spans="1:32" ht="12.95" customHeight="1" x14ac:dyDescent="0.2">
      <c r="B108" s="19" t="str">
        <f>VLOOKUP(158,Textbausteine_201[],Hilfsgrössen!$D$2,FALSE)</f>
        <v>8) Valeurs normalisées 2017, 2015 et 2013</v>
      </c>
    </row>
    <row r="109" spans="1:32" ht="12.95" customHeight="1" x14ac:dyDescent="0.2">
      <c r="B109" s="19" t="str">
        <f>VLOOKUP(159,Textbausteine_201[],Hilfsgrössen!$D$2,FALSE)</f>
        <v>9) Valeurs de l'exercice précédent partiellement adaptées.</v>
      </c>
    </row>
    <row r="110" spans="1:32" ht="12.95" customHeight="1" x14ac:dyDescent="0.2">
      <c r="B110" s="19"/>
    </row>
    <row r="112" spans="1:32" s="6" customFormat="1" ht="12.95" customHeight="1" x14ac:dyDescent="0.2">
      <c r="A112" s="56" t="s">
        <v>27</v>
      </c>
      <c r="B112" s="405" t="str">
        <f>$C$9</f>
        <v>Caisse de pensions</v>
      </c>
      <c r="C112" s="405"/>
      <c r="D112" s="6" t="str">
        <f>VLOOKUP(32,Textbausteine_Menu[],Hilfsgrössen!$D$2,FALSE)</f>
        <v>Unité</v>
      </c>
      <c r="E112" s="28" t="str">
        <f>VLOOKUP(33,Textbausteine_Menu[],Hilfsgrössen!$D$2,FALSE)</f>
        <v>Notes</v>
      </c>
      <c r="F112" s="28" t="str">
        <f>VLOOKUP(34,Textbausteine_Menu[],Hilfsgrössen!$D$2,FALSE)</f>
        <v>GRI</v>
      </c>
      <c r="G112" s="33"/>
      <c r="H112" s="7">
        <v>2004</v>
      </c>
      <c r="I112" s="7">
        <v>2005</v>
      </c>
      <c r="J112" s="7">
        <v>2006</v>
      </c>
      <c r="K112" s="7">
        <v>2007</v>
      </c>
      <c r="L112" s="7">
        <v>2008</v>
      </c>
      <c r="M112" s="7">
        <v>2009</v>
      </c>
      <c r="N112" s="7">
        <v>2010</v>
      </c>
      <c r="O112" s="7">
        <v>2011</v>
      </c>
      <c r="P112" s="7">
        <v>2012</v>
      </c>
      <c r="Q112" s="7">
        <v>2013</v>
      </c>
      <c r="R112" s="7" t="s">
        <v>98</v>
      </c>
      <c r="S112" s="2">
        <v>2014</v>
      </c>
      <c r="T112" s="2">
        <v>2015</v>
      </c>
      <c r="U112" s="7" t="s">
        <v>99</v>
      </c>
      <c r="V112" s="7">
        <v>2016</v>
      </c>
      <c r="W112" s="7">
        <v>2017</v>
      </c>
      <c r="X112" s="28" t="s">
        <v>100</v>
      </c>
      <c r="Y112" s="28">
        <v>2018</v>
      </c>
      <c r="Z112" s="28">
        <v>2019</v>
      </c>
      <c r="AA112" s="28">
        <v>2020</v>
      </c>
      <c r="AB112" s="28">
        <v>2021</v>
      </c>
      <c r="AC112" s="7" t="s">
        <v>101</v>
      </c>
      <c r="AD112" s="7">
        <v>2022</v>
      </c>
      <c r="AE112" s="374"/>
    </row>
    <row r="113" spans="1:31" s="6" customFormat="1" ht="12.95" customHeight="1" x14ac:dyDescent="0.2">
      <c r="A113" s="61"/>
      <c r="B113" s="405"/>
      <c r="C113" s="405"/>
      <c r="E113" s="28"/>
      <c r="F113" s="28"/>
      <c r="G113" s="33"/>
      <c r="H113" s="7"/>
      <c r="I113" s="7"/>
      <c r="J113" s="7"/>
      <c r="K113" s="7"/>
      <c r="L113" s="7"/>
      <c r="M113" s="7"/>
      <c r="N113" s="7"/>
      <c r="O113" s="7"/>
      <c r="P113" s="7"/>
      <c r="Q113" s="7"/>
      <c r="R113" s="7"/>
      <c r="S113" s="7"/>
      <c r="T113" s="2"/>
      <c r="U113" s="2"/>
      <c r="V113" s="11"/>
      <c r="W113" s="11"/>
      <c r="AE113" s="374"/>
    </row>
    <row r="114" spans="1:31" ht="12.95" customHeight="1" x14ac:dyDescent="0.2">
      <c r="A114" s="44"/>
      <c r="C114" s="21"/>
      <c r="D114" s="16"/>
      <c r="E114" s="11"/>
      <c r="H114" s="11"/>
      <c r="I114" s="11"/>
      <c r="J114" s="11"/>
      <c r="K114" s="11"/>
      <c r="L114" s="11"/>
      <c r="M114" s="11"/>
      <c r="N114" s="11"/>
      <c r="O114" s="11"/>
      <c r="P114" s="9"/>
      <c r="Q114" s="9"/>
      <c r="R114" s="9"/>
      <c r="S114" s="9"/>
      <c r="T114" s="9"/>
      <c r="U114" s="9"/>
      <c r="V114" s="75"/>
      <c r="W114" s="75"/>
      <c r="AE114" s="326"/>
    </row>
    <row r="115" spans="1:31" s="6" customFormat="1" ht="12.95" customHeight="1" x14ac:dyDescent="0.2">
      <c r="A115" s="62"/>
      <c r="B115" s="2" t="str">
        <f>VLOOKUP(37,Textbausteine_Menu[],Hilfsgrössen!$D$2,FALSE)</f>
        <v>Groupe Suisse</v>
      </c>
      <c r="E115" s="28"/>
      <c r="F115" s="28"/>
      <c r="G115" s="33"/>
      <c r="V115" s="75"/>
      <c r="W115" s="75"/>
      <c r="AE115" s="374"/>
    </row>
    <row r="116" spans="1:31" ht="12.95" customHeight="1" x14ac:dyDescent="0.2">
      <c r="C116" s="22" t="str">
        <f>VLOOKUP(51,Textbausteine_201[],Hilfsgrössen!$D$2,FALSE)</f>
        <v>Découvert/(Excédent de couverture) des engagements de prévoyance/(patrimoine de prévoyance) portés au bilan selon IFRS, net</v>
      </c>
      <c r="D116" s="16" t="str">
        <f>VLOOKUP(11,Textbausteine_201[],Hilfsgrössen!$D$2,FALSE)</f>
        <v>Millions de CHF</v>
      </c>
      <c r="E116" s="11">
        <v>1</v>
      </c>
      <c r="F116" s="9" t="s">
        <v>102</v>
      </c>
      <c r="H116" s="234">
        <v>3153</v>
      </c>
      <c r="I116" s="234">
        <v>2876</v>
      </c>
      <c r="J116" s="234">
        <v>2021</v>
      </c>
      <c r="K116" s="234">
        <v>1642</v>
      </c>
      <c r="L116" s="235">
        <v>3541</v>
      </c>
      <c r="M116" s="235">
        <v>2221</v>
      </c>
      <c r="N116" s="235">
        <v>2555</v>
      </c>
      <c r="O116" s="235">
        <v>2980</v>
      </c>
      <c r="P116" s="189">
        <v>2991</v>
      </c>
      <c r="Q116" s="189">
        <v>2042</v>
      </c>
      <c r="R116" s="217" t="s">
        <v>29</v>
      </c>
      <c r="S116" s="189">
        <v>3489</v>
      </c>
      <c r="T116" s="189">
        <v>4847</v>
      </c>
      <c r="U116" s="217" t="s">
        <v>29</v>
      </c>
      <c r="V116" s="12">
        <v>5080</v>
      </c>
      <c r="W116" s="12">
        <v>2626</v>
      </c>
      <c r="X116" s="217" t="s">
        <v>29</v>
      </c>
      <c r="Y116" s="217">
        <v>2611</v>
      </c>
      <c r="Z116" s="217">
        <v>2824</v>
      </c>
      <c r="AA116" s="217">
        <v>2971</v>
      </c>
      <c r="AB116" s="217">
        <v>929</v>
      </c>
      <c r="AC116" s="217" t="s">
        <v>29</v>
      </c>
      <c r="AD116" s="217">
        <v>-338</v>
      </c>
      <c r="AE116" s="349"/>
    </row>
    <row r="117" spans="1:31" ht="12.95" customHeight="1" x14ac:dyDescent="0.2">
      <c r="C117" s="22" t="str">
        <f>VLOOKUP(52,Textbausteine_201[],Hilfsgrössen!$D$2,FALSE)</f>
        <v>Degré de couverture de la Caisse de pensions Poste selon la LPP</v>
      </c>
      <c r="D117" s="1" t="str">
        <f>VLOOKUP(12,Textbausteine_201[],Hilfsgrössen!$D$2,FALSE)</f>
        <v>%</v>
      </c>
      <c r="E117" s="11" t="s">
        <v>116</v>
      </c>
      <c r="F117" s="9" t="s">
        <v>102</v>
      </c>
      <c r="H117" s="232">
        <v>94.5</v>
      </c>
      <c r="I117" s="232">
        <v>101.1</v>
      </c>
      <c r="J117" s="232">
        <v>103.9</v>
      </c>
      <c r="K117" s="232">
        <v>102.1</v>
      </c>
      <c r="L117" s="233">
        <v>88.1</v>
      </c>
      <c r="M117" s="233">
        <v>95.7</v>
      </c>
      <c r="N117" s="233">
        <v>98.9</v>
      </c>
      <c r="O117" s="233">
        <v>96.7</v>
      </c>
      <c r="P117" s="214">
        <v>98.8</v>
      </c>
      <c r="Q117" s="214">
        <v>101.4</v>
      </c>
      <c r="R117" s="198" t="s">
        <v>29</v>
      </c>
      <c r="S117" s="214">
        <v>101.4</v>
      </c>
      <c r="T117" s="214">
        <v>99.4</v>
      </c>
      <c r="U117" s="198" t="s">
        <v>29</v>
      </c>
      <c r="V117" s="181">
        <v>102.2</v>
      </c>
      <c r="W117" s="214">
        <v>106.3</v>
      </c>
      <c r="X117" s="198" t="s">
        <v>29</v>
      </c>
      <c r="Y117" s="198">
        <v>101.9</v>
      </c>
      <c r="Z117" s="198">
        <v>108</v>
      </c>
      <c r="AA117" s="94">
        <v>105.3</v>
      </c>
      <c r="AB117" s="94">
        <v>109.6</v>
      </c>
      <c r="AC117" s="198" t="s">
        <v>29</v>
      </c>
      <c r="AD117" s="198">
        <v>101.4</v>
      </c>
      <c r="AE117" s="349"/>
    </row>
    <row r="118" spans="1:31" ht="12.95" customHeight="1" x14ac:dyDescent="0.2">
      <c r="C118" s="22"/>
      <c r="D118" s="16"/>
      <c r="E118" s="11"/>
      <c r="M118" s="9"/>
      <c r="R118" s="11"/>
      <c r="S118" s="16"/>
      <c r="T118" s="9"/>
      <c r="U118" s="9"/>
      <c r="V118" s="9"/>
      <c r="W118" s="9"/>
      <c r="AC118" s="16"/>
      <c r="AD118" s="16"/>
      <c r="AE118" s="326"/>
    </row>
    <row r="119" spans="1:31" ht="12.95" customHeight="1" x14ac:dyDescent="0.2">
      <c r="B119" s="19" t="str">
        <f>VLOOKUP(141,Textbausteine_201[],Hilfsgrössen!$D$2,FALSE)</f>
        <v>1) Couverture selon les normes IFRS (voir rapport financier)</v>
      </c>
      <c r="C119" s="23"/>
      <c r="D119" s="16"/>
      <c r="E119" s="11"/>
      <c r="K119" s="9"/>
      <c r="L119" s="9"/>
      <c r="M119" s="9"/>
      <c r="N119" s="9"/>
      <c r="O119" s="11"/>
      <c r="P119" s="11"/>
      <c r="Q119" s="11"/>
      <c r="R119" s="11"/>
      <c r="S119" s="16"/>
      <c r="T119" s="16"/>
      <c r="U119" s="16"/>
      <c r="V119" s="9"/>
      <c r="W119" s="9"/>
      <c r="AE119" s="326"/>
    </row>
    <row r="120" spans="1:31" s="18" customFormat="1" ht="12.95" customHeight="1" x14ac:dyDescent="0.25">
      <c r="A120" s="61"/>
      <c r="B120" s="19" t="str">
        <f>VLOOKUP(142,Textbausteine_201[],Hilfsgrössen!$D$2,FALSE)</f>
        <v>2) Degré de couverture conformément à l'art. 44 de l'ordonnance sur la prévoyance professionnelle vieillesse, survivants et invalidité (OPP 2)</v>
      </c>
      <c r="D120" s="19"/>
      <c r="E120" s="31"/>
      <c r="F120" s="31"/>
      <c r="G120" s="37"/>
      <c r="H120" s="19"/>
      <c r="I120" s="19"/>
      <c r="J120" s="19"/>
      <c r="K120" s="19"/>
      <c r="L120" s="19"/>
      <c r="M120" s="19"/>
      <c r="N120" s="19"/>
      <c r="O120" s="19"/>
      <c r="P120" s="19"/>
      <c r="Q120" s="19"/>
      <c r="R120" s="19"/>
      <c r="S120" s="19"/>
      <c r="T120" s="19"/>
      <c r="U120" s="19"/>
      <c r="V120" s="9"/>
      <c r="W120" s="9"/>
      <c r="AE120" s="355"/>
    </row>
    <row r="121" spans="1:31" s="18" customFormat="1" ht="12.95" customHeight="1" x14ac:dyDescent="0.25">
      <c r="A121" s="61"/>
      <c r="B121" s="19" t="str">
        <f>VLOOKUP(143,Textbausteine_201[],Hilfsgrössen!$D$2,FALSE)</f>
        <v xml:space="preserve">3) Degré de couverture non vérifié </v>
      </c>
      <c r="D121" s="19"/>
      <c r="E121" s="31"/>
      <c r="F121" s="31"/>
      <c r="G121" s="37"/>
      <c r="H121" s="19"/>
      <c r="I121" s="19"/>
      <c r="J121" s="19"/>
      <c r="K121" s="19"/>
      <c r="L121" s="19"/>
      <c r="M121" s="19"/>
      <c r="N121" s="19"/>
      <c r="O121" s="19"/>
      <c r="P121" s="19"/>
      <c r="Q121" s="19"/>
      <c r="R121" s="19"/>
      <c r="S121" s="19"/>
      <c r="T121" s="19"/>
      <c r="U121" s="19"/>
      <c r="V121" s="9"/>
      <c r="W121" s="9"/>
      <c r="AE121" s="355"/>
    </row>
    <row r="122" spans="1:31" s="18" customFormat="1" ht="12.95" customHeight="1" x14ac:dyDescent="0.25">
      <c r="A122" s="61"/>
      <c r="D122" s="19"/>
      <c r="E122" s="31"/>
      <c r="F122" s="31"/>
      <c r="G122" s="37"/>
      <c r="H122" s="19"/>
      <c r="I122" s="19"/>
      <c r="J122" s="19"/>
      <c r="K122" s="19"/>
      <c r="L122" s="19"/>
      <c r="M122" s="19"/>
      <c r="N122" s="19"/>
      <c r="O122" s="19"/>
      <c r="P122" s="19"/>
      <c r="Q122" s="19"/>
      <c r="R122" s="19"/>
      <c r="S122" s="19"/>
      <c r="T122" s="19"/>
      <c r="U122" s="19"/>
      <c r="V122" s="9"/>
      <c r="W122" s="9"/>
      <c r="AE122" s="355"/>
    </row>
    <row r="123" spans="1:31" ht="12.95" customHeight="1" x14ac:dyDescent="0.2">
      <c r="V123" s="9"/>
      <c r="W123" s="9"/>
      <c r="AE123" s="326"/>
    </row>
    <row r="124" spans="1:31" ht="12.95" customHeight="1" x14ac:dyDescent="0.2">
      <c r="V124" s="9"/>
      <c r="W124" s="9"/>
    </row>
    <row r="125" spans="1:31" ht="12.95" customHeight="1" x14ac:dyDescent="0.2">
      <c r="A125" s="44"/>
      <c r="V125" s="75"/>
      <c r="W125" s="75"/>
    </row>
    <row r="126" spans="1:31" ht="12.95" customHeight="1" x14ac:dyDescent="0.2">
      <c r="A126" s="62"/>
      <c r="V126" s="75"/>
      <c r="W126" s="75"/>
    </row>
    <row r="130" spans="22:23" ht="12.95" customHeight="1" x14ac:dyDescent="0.2">
      <c r="V130" s="9"/>
      <c r="W130" s="9"/>
    </row>
    <row r="131" spans="22:23" ht="12.95" customHeight="1" x14ac:dyDescent="0.2">
      <c r="V131" s="9"/>
      <c r="W131" s="9"/>
    </row>
    <row r="132" spans="22:23" ht="12.95" customHeight="1" x14ac:dyDescent="0.2">
      <c r="V132" s="9"/>
      <c r="W132" s="9"/>
    </row>
    <row r="133" spans="22:23" ht="12.95" customHeight="1" x14ac:dyDescent="0.2">
      <c r="V133" s="9"/>
      <c r="W133" s="9"/>
    </row>
    <row r="134" spans="22:23" ht="12.95" customHeight="1" x14ac:dyDescent="0.2">
      <c r="V134" s="9"/>
      <c r="W134" s="9"/>
    </row>
    <row r="135" spans="22:23" ht="12.95" customHeight="1" x14ac:dyDescent="0.2">
      <c r="V135" s="9"/>
      <c r="W135" s="9"/>
    </row>
    <row r="136" spans="22:23" ht="12.95" customHeight="1" x14ac:dyDescent="0.2">
      <c r="V136" s="9"/>
      <c r="W136" s="9"/>
    </row>
    <row r="137" spans="22:23" ht="12.95" customHeight="1" x14ac:dyDescent="0.2">
      <c r="V137" s="9"/>
      <c r="W137" s="9"/>
    </row>
    <row r="138" spans="22:23" ht="12.95" customHeight="1" x14ac:dyDescent="0.2">
      <c r="V138" s="9"/>
      <c r="W138" s="9"/>
    </row>
    <row r="139" spans="22:23" ht="12.95" customHeight="1" x14ac:dyDescent="0.2">
      <c r="V139" s="9"/>
      <c r="W139" s="9"/>
    </row>
    <row r="140" spans="22:23" ht="12.95" customHeight="1" x14ac:dyDescent="0.2">
      <c r="V140" s="9"/>
      <c r="W140" s="9"/>
    </row>
    <row r="141" spans="22:23" ht="12.95" customHeight="1" x14ac:dyDescent="0.2">
      <c r="V141" s="9"/>
      <c r="W141" s="9"/>
    </row>
    <row r="142" spans="22:23" ht="12.95" customHeight="1" x14ac:dyDescent="0.2">
      <c r="V142" s="9"/>
      <c r="W142" s="9"/>
    </row>
    <row r="143" spans="22:23" ht="12.95" customHeight="1" x14ac:dyDescent="0.2">
      <c r="V143" s="9"/>
      <c r="W143" s="9"/>
    </row>
    <row r="144" spans="22:23" ht="12.95" customHeight="1" x14ac:dyDescent="0.2">
      <c r="V144" s="9"/>
      <c r="W144" s="9"/>
    </row>
    <row r="145" spans="1:23" ht="12.95" customHeight="1" x14ac:dyDescent="0.2">
      <c r="V145" s="9"/>
      <c r="W145" s="9"/>
    </row>
    <row r="146" spans="1:23" ht="12.95" customHeight="1" x14ac:dyDescent="0.2">
      <c r="V146" s="9"/>
      <c r="W146" s="9"/>
    </row>
    <row r="147" spans="1:23" ht="12.95" customHeight="1" x14ac:dyDescent="0.2">
      <c r="V147" s="9"/>
      <c r="W147" s="9"/>
    </row>
    <row r="154" spans="1:23" ht="12.95" customHeight="1" x14ac:dyDescent="0.2">
      <c r="A154" s="44"/>
      <c r="V154" s="75"/>
      <c r="W154" s="75"/>
    </row>
    <row r="155" spans="1:23" ht="12.95" customHeight="1" x14ac:dyDescent="0.2">
      <c r="A155" s="62"/>
      <c r="V155" s="75"/>
      <c r="W155" s="75"/>
    </row>
    <row r="159" spans="1:23" ht="12.95" customHeight="1" x14ac:dyDescent="0.2">
      <c r="V159" s="81"/>
      <c r="W159" s="81"/>
    </row>
    <row r="160" spans="1:23" ht="12.95" customHeight="1" x14ac:dyDescent="0.2">
      <c r="V160" s="81"/>
      <c r="W160" s="81"/>
    </row>
    <row r="161" spans="22:23" ht="12.95" customHeight="1" x14ac:dyDescent="0.2">
      <c r="V161" s="81"/>
      <c r="W161" s="81"/>
    </row>
    <row r="162" spans="22:23" ht="12.95" customHeight="1" x14ac:dyDescent="0.2">
      <c r="V162" s="81"/>
      <c r="W162" s="81"/>
    </row>
    <row r="163" spans="22:23" ht="12.95" customHeight="1" x14ac:dyDescent="0.2">
      <c r="V163" s="81"/>
      <c r="W163" s="81"/>
    </row>
    <row r="164" spans="22:23" ht="12.95" customHeight="1" x14ac:dyDescent="0.2">
      <c r="V164" s="81"/>
      <c r="W164" s="81"/>
    </row>
    <row r="165" spans="22:23" ht="12.95" customHeight="1" x14ac:dyDescent="0.2">
      <c r="V165" s="81"/>
      <c r="W165" s="81"/>
    </row>
    <row r="166" spans="22:23" ht="12.95" customHeight="1" x14ac:dyDescent="0.2">
      <c r="V166" s="81"/>
      <c r="W166" s="81"/>
    </row>
  </sheetData>
  <sheetProtection algorithmName="SHA-512" hashValue="cQKND04kHcTAFF+hlA1oK14HeAqxiT6J8/1Q3sKCIaqP27NdbtO2WAplLhUhxjqSf0WC78AO6v3Nndc/cCYKjg==" saltValue="+FJ4lzO0MlK0vXYoMbXBvw==" spinCount="100000" sheet="1" objects="1" scenarios="1"/>
  <mergeCells count="6">
    <mergeCell ref="D2:E2"/>
    <mergeCell ref="B3:C3"/>
    <mergeCell ref="B2:C2"/>
    <mergeCell ref="B12:C13"/>
    <mergeCell ref="B112:C113"/>
    <mergeCell ref="B75:C76"/>
  </mergeCells>
  <conditionalFormatting sqref="AE16">
    <cfRule type="expression" dxfId="1615" priority="216">
      <formula>AND($D16&lt;&gt;"",AE$20&lt;&gt;"",AE16="")</formula>
    </cfRule>
    <cfRule type="expression" dxfId="1614" priority="217">
      <formula>AND($A16="",ABS(AE16)=0)</formula>
    </cfRule>
    <cfRule type="expression" dxfId="1613" priority="218">
      <formula>AND($A16="",ABS(AE16)&lt;10)</formula>
    </cfRule>
    <cfRule type="expression" dxfId="1612" priority="219">
      <formula>AND($A16="",ABS(AE16)&lt;100)</formula>
    </cfRule>
    <cfRule type="expression" dxfId="1611" priority="220">
      <formula>AND($A16="",ABS(AE16)&gt;=100)</formula>
    </cfRule>
  </conditionalFormatting>
  <conditionalFormatting sqref="AE17">
    <cfRule type="expression" dxfId="1610" priority="211">
      <formula>AND($D17&lt;&gt;"",AE$20&lt;&gt;"",AE17="")</formula>
    </cfRule>
    <cfRule type="expression" dxfId="1609" priority="212">
      <formula>AND($A17="",ABS(AE17)=0)</formula>
    </cfRule>
    <cfRule type="expression" dxfId="1608" priority="213">
      <formula>AND($A17="",ABS(AE17)&lt;10)</formula>
    </cfRule>
    <cfRule type="expression" dxfId="1607" priority="214">
      <formula>AND($A17="",ABS(AE17)&lt;100)</formula>
    </cfRule>
    <cfRule type="expression" dxfId="1606" priority="215">
      <formula>AND($A17="",ABS(AE17)&gt;=100)</formula>
    </cfRule>
  </conditionalFormatting>
  <conditionalFormatting sqref="AE18">
    <cfRule type="expression" dxfId="1605" priority="206">
      <formula>AND($D18&lt;&gt;"",AE$20&lt;&gt;"",AE18="")</formula>
    </cfRule>
    <cfRule type="expression" dxfId="1604" priority="207">
      <formula>AND($A18="",ABS(AE18)=0)</formula>
    </cfRule>
    <cfRule type="expression" dxfId="1603" priority="208">
      <formula>AND($A18="",ABS(AE18)&lt;10)</formula>
    </cfRule>
    <cfRule type="expression" dxfId="1602" priority="209">
      <formula>AND($A18="",ABS(AE18)&lt;100)</formula>
    </cfRule>
    <cfRule type="expression" dxfId="1601" priority="210">
      <formula>AND($A18="",ABS(AE18)&gt;=100)</formula>
    </cfRule>
  </conditionalFormatting>
  <conditionalFormatting sqref="AE27">
    <cfRule type="expression" dxfId="1600" priority="156">
      <formula>AND($D27&lt;&gt;"",AE$20&lt;&gt;"",AE27="")</formula>
    </cfRule>
    <cfRule type="expression" dxfId="1599" priority="157">
      <formula>AND($A27="",ABS(AE27)=0)</formula>
    </cfRule>
    <cfRule type="expression" dxfId="1598" priority="158">
      <formula>AND($A27="",ABS(AE27)&lt;10)</formula>
    </cfRule>
    <cfRule type="expression" dxfId="1597" priority="159">
      <formula>AND($A27="",ABS(AE27)&lt;100)</formula>
    </cfRule>
    <cfRule type="expression" dxfId="1596" priority="160">
      <formula>AND($A27="",ABS(AE27)&gt;=100)</formula>
    </cfRule>
  </conditionalFormatting>
  <conditionalFormatting sqref="AE26">
    <cfRule type="expression" dxfId="1595" priority="151">
      <formula>AND($D26&lt;&gt;"",AE$20&lt;&gt;"",AE26="")</formula>
    </cfRule>
    <cfRule type="expression" dxfId="1594" priority="152">
      <formula>AND($A26="",ABS(AE26)=0)</formula>
    </cfRule>
    <cfRule type="expression" dxfId="1593" priority="153">
      <formula>AND($A26="",ABS(AE26)&lt;10)</formula>
    </cfRule>
    <cfRule type="expression" dxfId="1592" priority="154">
      <formula>AND($A26="",ABS(AE26)&lt;100)</formula>
    </cfRule>
    <cfRule type="expression" dxfId="1591" priority="155">
      <formula>AND($A26="",ABS(AE26)&gt;=100)</formula>
    </cfRule>
  </conditionalFormatting>
  <conditionalFormatting sqref="AE25">
    <cfRule type="expression" dxfId="1590" priority="146">
      <formula>AND($D25&lt;&gt;"",AE$20&lt;&gt;"",AE25="")</formula>
    </cfRule>
    <cfRule type="expression" dxfId="1589" priority="147">
      <formula>AND($A25="",ABS(AE25)=0)</formula>
    </cfRule>
    <cfRule type="expression" dxfId="1588" priority="148">
      <formula>AND($A25="",ABS(AE25)&lt;10)</formula>
    </cfRule>
    <cfRule type="expression" dxfId="1587" priority="149">
      <formula>AND($A25="",ABS(AE25)&lt;100)</formula>
    </cfRule>
    <cfRule type="expression" dxfId="1586" priority="150">
      <formula>AND($A25="",ABS(AE25)&gt;=100)</formula>
    </cfRule>
  </conditionalFormatting>
  <conditionalFormatting sqref="AE24">
    <cfRule type="expression" dxfId="1585" priority="136">
      <formula>AND($D24&lt;&gt;"",AE$20&lt;&gt;"",AE24="")</formula>
    </cfRule>
    <cfRule type="expression" dxfId="1584" priority="137">
      <formula>AND($A24="",ABS(AE24)=0)</formula>
    </cfRule>
    <cfRule type="expression" dxfId="1583" priority="138">
      <formula>AND($A24="",ABS(AE24)&lt;10)</formula>
    </cfRule>
    <cfRule type="expression" dxfId="1582" priority="139">
      <formula>AND($A24="",ABS(AE24)&lt;100)</formula>
    </cfRule>
    <cfRule type="expression" dxfId="1581" priority="140">
      <formula>AND($A24="",ABS(AE24)&gt;=100)</formula>
    </cfRule>
  </conditionalFormatting>
  <conditionalFormatting sqref="AE19">
    <cfRule type="expression" dxfId="1580" priority="131">
      <formula>AND($D19&lt;&gt;"",AE$20&lt;&gt;"",AE19="")</formula>
    </cfRule>
    <cfRule type="expression" dxfId="1579" priority="132">
      <formula>AND($A19="",ABS(AE19)=0)</formula>
    </cfRule>
    <cfRule type="expression" dxfId="1578" priority="133">
      <formula>AND($A19="",ABS(AE19)&lt;10)</formula>
    </cfRule>
    <cfRule type="expression" dxfId="1577" priority="134">
      <formula>AND($A19="",ABS(AE19)&lt;100)</formula>
    </cfRule>
    <cfRule type="expression" dxfId="1576" priority="135">
      <formula>AND($A19="",ABS(AE19)&gt;=100)</formula>
    </cfRule>
  </conditionalFormatting>
  <conditionalFormatting sqref="AE20">
    <cfRule type="expression" dxfId="1575" priority="126">
      <formula>AND($D20&lt;&gt;"",AE$20&lt;&gt;"",AE20="")</formula>
    </cfRule>
    <cfRule type="expression" dxfId="1574" priority="127">
      <formula>AND($A20="",ABS(AE20)=0)</formula>
    </cfRule>
    <cfRule type="expression" dxfId="1573" priority="128">
      <formula>AND($A20="",ABS(AE20)&lt;10)</formula>
    </cfRule>
    <cfRule type="expression" dxfId="1572" priority="129">
      <formula>AND($A20="",ABS(AE20)&lt;100)</formula>
    </cfRule>
    <cfRule type="expression" dxfId="1571" priority="130">
      <formula>AND($A20="",ABS(AE20)&gt;=100)</formula>
    </cfRule>
  </conditionalFormatting>
  <conditionalFormatting sqref="AE21">
    <cfRule type="expression" dxfId="1570" priority="121">
      <formula>AND($D21&lt;&gt;"",AE$20&lt;&gt;"",AE21="")</formula>
    </cfRule>
    <cfRule type="expression" dxfId="1569" priority="122">
      <formula>AND($A21="",ABS(AE21)=0)</formula>
    </cfRule>
    <cfRule type="expression" dxfId="1568" priority="123">
      <formula>AND($A21="",ABS(AE21)&lt;10)</formula>
    </cfRule>
    <cfRule type="expression" dxfId="1567" priority="124">
      <formula>AND($A21="",ABS(AE21)&lt;100)</formula>
    </cfRule>
    <cfRule type="expression" dxfId="1566" priority="125">
      <formula>AND($A21="",ABS(AE21)&gt;=100)</formula>
    </cfRule>
  </conditionalFormatting>
  <conditionalFormatting sqref="AE22">
    <cfRule type="expression" dxfId="1565" priority="116">
      <formula>AND($D22&lt;&gt;"",AE$20&lt;&gt;"",AE22="")</formula>
    </cfRule>
    <cfRule type="expression" dxfId="1564" priority="117">
      <formula>AND($A22="",ABS(AE22)=0)</formula>
    </cfRule>
    <cfRule type="expression" dxfId="1563" priority="118">
      <formula>AND($A22="",ABS(AE22)&lt;10)</formula>
    </cfRule>
    <cfRule type="expression" dxfId="1562" priority="119">
      <formula>AND($A22="",ABS(AE22)&lt;100)</formula>
    </cfRule>
    <cfRule type="expression" dxfId="1561" priority="120">
      <formula>AND($A22="",ABS(AE22)&gt;=100)</formula>
    </cfRule>
  </conditionalFormatting>
  <conditionalFormatting sqref="AE23">
    <cfRule type="expression" dxfId="1560" priority="111">
      <formula>AND($D23&lt;&gt;"",AE$20&lt;&gt;"",AE23="")</formula>
    </cfRule>
    <cfRule type="expression" dxfId="1559" priority="112">
      <formula>AND($A23="",ABS(AE23)=0)</formula>
    </cfRule>
    <cfRule type="expression" dxfId="1558" priority="113">
      <formula>AND($A23="",ABS(AE23)&lt;10)</formula>
    </cfRule>
    <cfRule type="expression" dxfId="1557" priority="114">
      <formula>AND($A23="",ABS(AE23)&lt;100)</formula>
    </cfRule>
    <cfRule type="expression" dxfId="1556" priority="115">
      <formula>AND($A23="",ABS(AE23)&gt;=100)</formula>
    </cfRule>
  </conditionalFormatting>
  <conditionalFormatting sqref="AE28">
    <cfRule type="expression" dxfId="1555" priority="106">
      <formula>AND($D28&lt;&gt;"",AE$20&lt;&gt;"",AE28="")</formula>
    </cfRule>
    <cfRule type="expression" dxfId="1554" priority="107">
      <formula>AND($A28="",ABS(AE28)=0)</formula>
    </cfRule>
    <cfRule type="expression" dxfId="1553" priority="108">
      <formula>AND($A28="",ABS(AE28)&lt;10)</formula>
    </cfRule>
    <cfRule type="expression" dxfId="1552" priority="109">
      <formula>AND($A28="",ABS(AE28)&lt;100)</formula>
    </cfRule>
    <cfRule type="expression" dxfId="1551" priority="110">
      <formula>AND($A28="",ABS(AE28)&gt;=100)</formula>
    </cfRule>
  </conditionalFormatting>
  <conditionalFormatting sqref="AE29">
    <cfRule type="expression" dxfId="1550" priority="101">
      <formula>AND($D29&lt;&gt;"",AE$20&lt;&gt;"",AE29="")</formula>
    </cfRule>
    <cfRule type="expression" dxfId="1549" priority="102">
      <formula>AND($A29="",ABS(AE29)=0)</formula>
    </cfRule>
    <cfRule type="expression" dxfId="1548" priority="103">
      <formula>AND($A29="",ABS(AE29)&lt;10)</formula>
    </cfRule>
    <cfRule type="expression" dxfId="1547" priority="104">
      <formula>AND($A29="",ABS(AE29)&lt;100)</formula>
    </cfRule>
    <cfRule type="expression" dxfId="1546" priority="105">
      <formula>AND($A29="",ABS(AE29)&gt;=100)</formula>
    </cfRule>
  </conditionalFormatting>
  <conditionalFormatting sqref="AE32">
    <cfRule type="expression" dxfId="1545" priority="91">
      <formula>AND($D32&lt;&gt;"",AE$20&lt;&gt;"",AE32="")</formula>
    </cfRule>
    <cfRule type="expression" dxfId="1544" priority="92">
      <formula>AND($A32="",ABS(AE32)=0)</formula>
    </cfRule>
    <cfRule type="expression" dxfId="1543" priority="93">
      <formula>AND($A32="",ABS(AE32)&lt;10)</formula>
    </cfRule>
    <cfRule type="expression" dxfId="1542" priority="94">
      <formula>AND($A32="",ABS(AE32)&lt;100)</formula>
    </cfRule>
    <cfRule type="expression" dxfId="1541" priority="95">
      <formula>AND($A32="",ABS(AE32)&gt;=100)</formula>
    </cfRule>
  </conditionalFormatting>
  <conditionalFormatting sqref="AE34">
    <cfRule type="expression" dxfId="1540" priority="86">
      <formula>AND($D34&lt;&gt;"",AE$20&lt;&gt;"",AE34="")</formula>
    </cfRule>
    <cfRule type="expression" dxfId="1539" priority="87">
      <formula>AND($A34="",ABS(AE34)=0)</formula>
    </cfRule>
    <cfRule type="expression" dxfId="1538" priority="88">
      <formula>AND($A34="",ABS(AE34)&lt;10)</formula>
    </cfRule>
    <cfRule type="expression" dxfId="1537" priority="89">
      <formula>AND($A34="",ABS(AE34)&lt;100)</formula>
    </cfRule>
    <cfRule type="expression" dxfId="1536" priority="90">
      <formula>AND($A34="",ABS(AE34)&gt;=100)</formula>
    </cfRule>
  </conditionalFormatting>
  <conditionalFormatting sqref="AE37">
    <cfRule type="expression" dxfId="1535" priority="81">
      <formula>AND($D37&lt;&gt;"",AE$20&lt;&gt;"",AE37="")</formula>
    </cfRule>
    <cfRule type="expression" dxfId="1534" priority="82">
      <formula>AND($A37="",ABS(AE37)=0)</formula>
    </cfRule>
    <cfRule type="expression" dxfId="1533" priority="83">
      <formula>AND($A37="",ABS(AE37)&lt;10)</formula>
    </cfRule>
    <cfRule type="expression" dxfId="1532" priority="84">
      <formula>AND($A37="",ABS(AE37)&lt;100)</formula>
    </cfRule>
    <cfRule type="expression" dxfId="1531" priority="85">
      <formula>AND($A37="",ABS(AE37)&gt;=100)</formula>
    </cfRule>
  </conditionalFormatting>
  <conditionalFormatting sqref="AE38">
    <cfRule type="expression" dxfId="1530" priority="76">
      <formula>AND($D38&lt;&gt;"",AE$20&lt;&gt;"",AE38="")</formula>
    </cfRule>
    <cfRule type="expression" dxfId="1529" priority="77">
      <formula>AND($A38="",ABS(AE38)=0)</formula>
    </cfRule>
    <cfRule type="expression" dxfId="1528" priority="78">
      <formula>AND($A38="",ABS(AE38)&lt;10)</formula>
    </cfRule>
    <cfRule type="expression" dxfId="1527" priority="79">
      <formula>AND($A38="",ABS(AE38)&lt;100)</formula>
    </cfRule>
    <cfRule type="expression" dxfId="1526" priority="80">
      <formula>AND($A38="",ABS(AE38)&gt;=100)</formula>
    </cfRule>
  </conditionalFormatting>
  <conditionalFormatting sqref="AE41">
    <cfRule type="expression" dxfId="1525" priority="71">
      <formula>AND($D41&lt;&gt;"",AE$20&lt;&gt;"",AE41="")</formula>
    </cfRule>
    <cfRule type="expression" dxfId="1524" priority="72">
      <formula>AND($A41="",ABS(AE41)=0)</formula>
    </cfRule>
    <cfRule type="expression" dxfId="1523" priority="73">
      <formula>AND($A41="",ABS(AE41)&lt;10)</formula>
    </cfRule>
    <cfRule type="expression" dxfId="1522" priority="74">
      <formula>AND($A41="",ABS(AE41)&lt;100)</formula>
    </cfRule>
    <cfRule type="expression" dxfId="1521" priority="75">
      <formula>AND($A41="",ABS(AE41)&gt;=100)</formula>
    </cfRule>
  </conditionalFormatting>
  <conditionalFormatting sqref="AE43">
    <cfRule type="expression" dxfId="1520" priority="66">
      <formula>AND($D43&lt;&gt;"",AE$20&lt;&gt;"",AE43="")</formula>
    </cfRule>
    <cfRule type="expression" dxfId="1519" priority="67">
      <formula>AND($A43="",ABS(AE43)=0)</formula>
    </cfRule>
    <cfRule type="expression" dxfId="1518" priority="68">
      <formula>AND($A43="",ABS(AE43)&lt;10)</formula>
    </cfRule>
    <cfRule type="expression" dxfId="1517" priority="69">
      <formula>AND($A43="",ABS(AE43)&lt;100)</formula>
    </cfRule>
    <cfRule type="expression" dxfId="1516" priority="70">
      <formula>AND($A43="",ABS(AE43)&gt;=100)</formula>
    </cfRule>
  </conditionalFormatting>
  <conditionalFormatting sqref="AE42">
    <cfRule type="expression" dxfId="1515" priority="61">
      <formula>AND($D42&lt;&gt;"",AE$20&lt;&gt;"",AE42="")</formula>
    </cfRule>
    <cfRule type="expression" dxfId="1514" priority="62">
      <formula>AND($A42="",ABS(AE42)=0)</formula>
    </cfRule>
    <cfRule type="expression" dxfId="1513" priority="63">
      <formula>AND($A42="",ABS(AE42)&lt;10)</formula>
    </cfRule>
    <cfRule type="expression" dxfId="1512" priority="64">
      <formula>AND($A42="",ABS(AE42)&lt;100)</formula>
    </cfRule>
    <cfRule type="expression" dxfId="1511" priority="65">
      <formula>AND($A42="",ABS(AE42)&gt;=100)</formula>
    </cfRule>
  </conditionalFormatting>
  <conditionalFormatting sqref="AE44">
    <cfRule type="expression" dxfId="1510" priority="56">
      <formula>AND($D44&lt;&gt;"",AE$20&lt;&gt;"",AE44="")</formula>
    </cfRule>
    <cfRule type="expression" dxfId="1509" priority="57">
      <formula>AND($A44="",ABS(AE44)=0)</formula>
    </cfRule>
    <cfRule type="expression" dxfId="1508" priority="58">
      <formula>AND($A44="",ABS(AE44)&lt;10)</formula>
    </cfRule>
    <cfRule type="expression" dxfId="1507" priority="59">
      <formula>AND($A44="",ABS(AE44)&lt;100)</formula>
    </cfRule>
    <cfRule type="expression" dxfId="1506" priority="60">
      <formula>AND($A44="",ABS(AE44)&gt;=100)</formula>
    </cfRule>
  </conditionalFormatting>
  <conditionalFormatting sqref="AE47">
    <cfRule type="expression" dxfId="1505" priority="51">
      <formula>AND($D47&lt;&gt;"",AE$20&lt;&gt;"",AE47="")</formula>
    </cfRule>
    <cfRule type="expression" dxfId="1504" priority="52">
      <formula>AND($A47="",ABS(AE47)=0)</formula>
    </cfRule>
    <cfRule type="expression" dxfId="1503" priority="53">
      <formula>AND($A47="",ABS(AE47)&lt;10)</formula>
    </cfRule>
    <cfRule type="expression" dxfId="1502" priority="54">
      <formula>AND($A47="",ABS(AE47)&lt;100)</formula>
    </cfRule>
    <cfRule type="expression" dxfId="1501" priority="55">
      <formula>AND($A47="",ABS(AE47)&gt;=100)</formula>
    </cfRule>
  </conditionalFormatting>
  <conditionalFormatting sqref="AE48">
    <cfRule type="expression" dxfId="1500" priority="46">
      <formula>AND($D48&lt;&gt;"",AE$20&lt;&gt;"",AE48="")</formula>
    </cfRule>
    <cfRule type="expression" dxfId="1499" priority="47">
      <formula>AND($A48="",ABS(AE48)=0)</formula>
    </cfRule>
    <cfRule type="expression" dxfId="1498" priority="48">
      <formula>AND($A48="",ABS(AE48)&lt;10)</formula>
    </cfRule>
    <cfRule type="expression" dxfId="1497" priority="49">
      <formula>AND($A48="",ABS(AE48)&lt;100)</formula>
    </cfRule>
    <cfRule type="expression" dxfId="1496" priority="50">
      <formula>AND($A48="",ABS(AE48)&gt;=100)</formula>
    </cfRule>
  </conditionalFormatting>
  <conditionalFormatting sqref="AE51">
    <cfRule type="expression" dxfId="1495" priority="41">
      <formula>AND($D51&lt;&gt;"",AE$20&lt;&gt;"",AE51="")</formula>
    </cfRule>
    <cfRule type="expression" dxfId="1494" priority="42">
      <formula>AND($A51="",ABS(AE51)=0)</formula>
    </cfRule>
    <cfRule type="expression" dxfId="1493" priority="43">
      <formula>AND($A51="",ABS(AE51)&lt;10)</formula>
    </cfRule>
    <cfRule type="expression" dxfId="1492" priority="44">
      <formula>AND($A51="",ABS(AE51)&lt;100)</formula>
    </cfRule>
    <cfRule type="expression" dxfId="1491" priority="45">
      <formula>AND($A51="",ABS(AE51)&gt;=100)</formula>
    </cfRule>
  </conditionalFormatting>
  <conditionalFormatting sqref="AE52">
    <cfRule type="expression" dxfId="1490" priority="36">
      <formula>AND($D52&lt;&gt;"",AE$20&lt;&gt;"",AE52="")</formula>
    </cfRule>
    <cfRule type="expression" dxfId="1489" priority="37">
      <formula>AND($A52="",ABS(AE52)=0)</formula>
    </cfRule>
    <cfRule type="expression" dxfId="1488" priority="38">
      <formula>AND($A52="",ABS(AE52)&lt;10)</formula>
    </cfRule>
    <cfRule type="expression" dxfId="1487" priority="39">
      <formula>AND($A52="",ABS(AE52)&lt;100)</formula>
    </cfRule>
    <cfRule type="expression" dxfId="1486" priority="40">
      <formula>AND($A52="",ABS(AE52)&gt;=100)</formula>
    </cfRule>
  </conditionalFormatting>
  <conditionalFormatting sqref="AE55">
    <cfRule type="expression" dxfId="1485" priority="31">
      <formula>AND($D55&lt;&gt;"",AE$20&lt;&gt;"",AE55="")</formula>
    </cfRule>
    <cfRule type="expression" dxfId="1484" priority="32">
      <formula>AND($A55="",ABS(AE55)=0)</formula>
    </cfRule>
    <cfRule type="expression" dxfId="1483" priority="33">
      <formula>AND($A55="",ABS(AE55)&lt;10)</formula>
    </cfRule>
    <cfRule type="expression" dxfId="1482" priority="34">
      <formula>AND($A55="",ABS(AE55)&lt;100)</formula>
    </cfRule>
    <cfRule type="expression" dxfId="1481" priority="35">
      <formula>AND($A55="",ABS(AE55)&gt;=100)</formula>
    </cfRule>
  </conditionalFormatting>
  <conditionalFormatting sqref="AE57">
    <cfRule type="expression" dxfId="1480" priority="21">
      <formula>AND($D57&lt;&gt;"",AE$20&lt;&gt;"",AE57="")</formula>
    </cfRule>
    <cfRule type="expression" dxfId="1479" priority="22">
      <formula>AND($A57="",ABS(AE57)=0)</formula>
    </cfRule>
    <cfRule type="expression" dxfId="1478" priority="23">
      <formula>AND($A57="",ABS(AE57)&lt;10)</formula>
    </cfRule>
    <cfRule type="expression" dxfId="1477" priority="24">
      <formula>AND($A57="",ABS(AE57)&lt;100)</formula>
    </cfRule>
    <cfRule type="expression" dxfId="1476" priority="25">
      <formula>AND($A57="",ABS(AE57)&gt;=100)</formula>
    </cfRule>
  </conditionalFormatting>
  <conditionalFormatting sqref="AE60">
    <cfRule type="expression" dxfId="1475" priority="16">
      <formula>AND($D60&lt;&gt;"",AE$20&lt;&gt;"",AE60="")</formula>
    </cfRule>
    <cfRule type="expression" dxfId="1474" priority="17">
      <formula>AND($A60="",ABS(AE60)=0)</formula>
    </cfRule>
    <cfRule type="expression" dxfId="1473" priority="18">
      <formula>AND($A60="",ABS(AE60)&lt;10)</formula>
    </cfRule>
    <cfRule type="expression" dxfId="1472" priority="19">
      <formula>AND($A60="",ABS(AE60)&lt;100)</formula>
    </cfRule>
    <cfRule type="expression" dxfId="1471" priority="20">
      <formula>AND($A60="",ABS(AE60)&gt;=100)</formula>
    </cfRule>
  </conditionalFormatting>
  <conditionalFormatting sqref="AE61">
    <cfRule type="expression" dxfId="1470" priority="11">
      <formula>AND($D61&lt;&gt;"",AE$20&lt;&gt;"",AE61="")</formula>
    </cfRule>
    <cfRule type="expression" dxfId="1469" priority="12">
      <formula>AND($A61="",ABS(AE61)=0)</formula>
    </cfRule>
    <cfRule type="expression" dxfId="1468" priority="13">
      <formula>AND($A61="",ABS(AE61)&lt;10)</formula>
    </cfRule>
    <cfRule type="expression" dxfId="1467" priority="14">
      <formula>AND($A61="",ABS(AE61)&lt;100)</formula>
    </cfRule>
    <cfRule type="expression" dxfId="1466" priority="15">
      <formula>AND($A61="",ABS(AE61)&gt;=100)</formula>
    </cfRule>
  </conditionalFormatting>
  <conditionalFormatting sqref="AE116">
    <cfRule type="expression" dxfId="1465" priority="6">
      <formula>AND($D116&lt;&gt;"",AE$20&lt;&gt;"",AE116="")</formula>
    </cfRule>
    <cfRule type="expression" dxfId="1464" priority="7">
      <formula>AND($A116="",ABS(AE116)=0)</formula>
    </cfRule>
    <cfRule type="expression" dxfId="1463" priority="8">
      <formula>AND($A116="",ABS(AE116)&lt;10)</formula>
    </cfRule>
    <cfRule type="expression" dxfId="1462" priority="9">
      <formula>AND($A116="",ABS(AE116)&lt;100)</formula>
    </cfRule>
    <cfRule type="expression" dxfId="1461" priority="10">
      <formula>AND($A116="",ABS(AE116)&gt;=100)</formula>
    </cfRule>
  </conditionalFormatting>
  <conditionalFormatting sqref="AE117">
    <cfRule type="expression" dxfId="1460" priority="1">
      <formula>AND($D117&lt;&gt;"",AE$20&lt;&gt;"",AE117="")</formula>
    </cfRule>
    <cfRule type="expression" dxfId="1459" priority="2">
      <formula>AND($A117="",ABS(AE117)=0)</formula>
    </cfRule>
    <cfRule type="expression" dxfId="1458" priority="3">
      <formula>AND($A117="",ABS(AE117)&lt;10)</formula>
    </cfRule>
    <cfRule type="expression" dxfId="1457" priority="4">
      <formula>AND($A117="",ABS(AE117)&lt;100)</formula>
    </cfRule>
    <cfRule type="expression" dxfId="1456" priority="5">
      <formula>AND($A117="",ABS(AE117)&gt;=100)</formula>
    </cfRule>
  </conditionalFormatting>
  <dataValidations disablePrompts="1" count="2">
    <dataValidation type="list" allowBlank="1" showInputMessage="1" showErrorMessage="1" sqref="G2" xr:uid="{00000000-0002-0000-0200-000000000000}">
      <formula1>Sprache</formula1>
    </dataValidation>
    <dataValidation allowBlank="1" showInputMessage="1" showErrorMessage="1" sqref="F2" xr:uid="{C4F7D387-1177-4383-93E9-14CC0FB6E9CC}"/>
  </dataValidations>
  <hyperlinks>
    <hyperlink ref="C7" location="GRI_201_1a" display="GRI_201_1a" xr:uid="{00000000-0004-0000-0200-000000000000}"/>
    <hyperlink ref="C9" location="GRI_201_3" display="201-3 – Defined benefit plan obligations and other retirement plans" xr:uid="{00000000-0004-0000-0200-000001000000}"/>
    <hyperlink ref="A12" location="GRI_201" display="Ó" xr:uid="{00000000-0004-0000-0200-000002000000}"/>
    <hyperlink ref="A112" location="GRI_201" display="Ó" xr:uid="{00000000-0004-0000-0200-000003000000}"/>
    <hyperlink ref="A75" location="GRI_201" display="Ó" xr:uid="{00000000-0004-0000-0200-000004000000}"/>
    <hyperlink ref="C8" location="GRI_201_1b" display="GRI_201_1b" xr:uid="{00000000-0004-0000-0200-000005000000}"/>
    <hyperlink ref="D2" location="Home" display="Home" xr:uid="{00000000-0004-0000-0200-000006000000}"/>
  </hyperlinks>
  <pageMargins left="0.7" right="0.7" top="0.78740157499999996" bottom="0.78740157499999996" header="0.3" footer="0.3"/>
  <pageSetup paperSize="9" orientation="portrait" r:id="rId1"/>
  <ignoredErrors>
    <ignoredError sqref="C19 D56 D19:D42" formula="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belle3">
    <tabColor rgb="FF523178"/>
  </sheetPr>
  <dimension ref="A2:Z127"/>
  <sheetViews>
    <sheetView showGridLines="0" showRowColHeaders="0" zoomScaleNormal="100" workbookViewId="0">
      <pane xSplit="7" topLeftCell="N1" activePane="topRight" state="frozen"/>
      <selection activeCell="B3" sqref="B3:C3"/>
      <selection pane="topRight" activeCell="B3" sqref="B3:C3"/>
    </sheetView>
  </sheetViews>
  <sheetFormatPr baseColWidth="10" defaultColWidth="10.85546875" defaultRowHeight="12.95" customHeight="1" x14ac:dyDescent="0.2"/>
  <cols>
    <col min="1" max="1" width="2.42578125" style="66" customWidth="1"/>
    <col min="2" max="2" width="2.42578125" style="1" customWidth="1"/>
    <col min="3" max="3" width="55.140625" style="1" customWidth="1"/>
    <col min="4" max="4" width="23.5703125" style="1" customWidth="1"/>
    <col min="5" max="5" width="9.42578125" style="9" customWidth="1"/>
    <col min="6" max="6" width="14.140625" style="9" customWidth="1"/>
    <col min="7" max="7" width="2.28515625" style="34" customWidth="1"/>
    <col min="8" max="19" width="11.7109375" style="1" customWidth="1"/>
    <col min="20" max="26" width="11.7109375" style="11" customWidth="1"/>
    <col min="27" max="83" width="11.7109375" style="1" customWidth="1"/>
    <col min="84" max="16384" width="10.85546875" style="1"/>
  </cols>
  <sheetData>
    <row r="2" spans="1:26" s="89" customFormat="1" ht="26.1" customHeight="1" x14ac:dyDescent="0.2">
      <c r="A2" s="63"/>
      <c r="B2" s="406" t="str">
        <f>UPPER(RIGHT(Inhaltsverzeichnis!$C$13,LEN(Inhaltsverzeichnis!$C$13)-FIND(" – ",Inhaltsverzeichnis!$C$13,1)-2))</f>
        <v>PRÉSENCE SUR LE MARCHÉ</v>
      </c>
      <c r="C2" s="406"/>
      <c r="D2" s="402" t="str">
        <f>VLOOKUP(35,Textbausteine_Menu[],Hilfsgrössen!$D$2,FALSE)</f>
        <v>retour à la table des matières</v>
      </c>
      <c r="E2" s="403"/>
      <c r="F2" s="83" t="s">
        <v>149</v>
      </c>
      <c r="G2" s="96"/>
      <c r="T2" s="71"/>
      <c r="U2" s="71"/>
      <c r="V2" s="71"/>
      <c r="W2" s="71"/>
      <c r="X2" s="71"/>
      <c r="Y2" s="71"/>
      <c r="Z2" s="71"/>
    </row>
    <row r="3" spans="1:26" s="90" customFormat="1" ht="26.1" customHeight="1" x14ac:dyDescent="0.2">
      <c r="A3" s="64"/>
      <c r="B3" s="407" t="str">
        <f>UPPER("GRI "&amp;LEFT(Inhaltsverzeichnis!$C$13,3))</f>
        <v>GRI 202</v>
      </c>
      <c r="C3" s="407"/>
      <c r="E3" s="27"/>
      <c r="F3" s="27"/>
      <c r="G3" s="32"/>
      <c r="T3" s="71"/>
      <c r="U3" s="71"/>
      <c r="V3" s="71"/>
      <c r="W3" s="71"/>
      <c r="X3" s="71"/>
      <c r="Y3" s="71"/>
      <c r="Z3" s="71"/>
    </row>
    <row r="6" spans="1:26" s="6" customFormat="1" ht="12.95" customHeight="1" x14ac:dyDescent="0.2">
      <c r="A6" s="65"/>
      <c r="B6" s="6" t="str">
        <f>VLOOKUP(31,Textbausteine_Menu[],Hilfsgrössen!$D$2,FALSE)</f>
        <v>Divulgations</v>
      </c>
      <c r="E6" s="28"/>
      <c r="F6" s="28"/>
      <c r="G6" s="33"/>
      <c r="T6" s="11"/>
      <c r="U6" s="11"/>
      <c r="V6" s="11"/>
      <c r="W6" s="11"/>
      <c r="X6" s="11"/>
      <c r="Y6" s="11"/>
      <c r="Z6" s="11"/>
    </row>
    <row r="7" spans="1:26" ht="12.95" customHeight="1" x14ac:dyDescent="0.2">
      <c r="B7" s="2"/>
      <c r="C7" s="5" t="str">
        <f>VLOOKUP(1,Textbausteine_202[],Hilfsgrössen!$D$2,FALSE)</f>
        <v>Indemnités</v>
      </c>
      <c r="D7" s="4"/>
    </row>
    <row r="8" spans="1:26" ht="12.95" customHeight="1" x14ac:dyDescent="0.2">
      <c r="B8" s="2"/>
    </row>
    <row r="9" spans="1:26" ht="12.95" customHeight="1" x14ac:dyDescent="0.2">
      <c r="B9" s="2"/>
    </row>
    <row r="10" spans="1:26" s="6" customFormat="1" ht="12.95" customHeight="1" x14ac:dyDescent="0.2">
      <c r="A10" s="39" t="s">
        <v>27</v>
      </c>
      <c r="B10" s="401" t="str">
        <f>$C$7</f>
        <v>Indemnités</v>
      </c>
      <c r="C10" s="401"/>
      <c r="D10" s="6" t="str">
        <f>VLOOKUP(32,Textbausteine_Menu[],Hilfsgrössen!$D$2,FALSE)</f>
        <v>Unité</v>
      </c>
      <c r="E10" s="28" t="str">
        <f>VLOOKUP(33,Textbausteine_Menu[],Hilfsgrössen!$D$2,FALSE)</f>
        <v>Notes</v>
      </c>
      <c r="F10" s="28" t="str">
        <f>VLOOKUP(34,Textbausteine_Menu[],Hilfsgrössen!$D$2,FALSE)</f>
        <v>GRI</v>
      </c>
      <c r="G10" s="33"/>
      <c r="H10" s="2">
        <v>2004</v>
      </c>
      <c r="I10" s="2">
        <v>2005</v>
      </c>
      <c r="J10" s="2">
        <v>2006</v>
      </c>
      <c r="K10" s="2">
        <v>2007</v>
      </c>
      <c r="L10" s="2">
        <v>2008</v>
      </c>
      <c r="M10" s="2">
        <v>2009</v>
      </c>
      <c r="N10" s="7">
        <v>2010</v>
      </c>
      <c r="O10" s="2">
        <v>2011</v>
      </c>
      <c r="P10" s="7">
        <v>2012</v>
      </c>
      <c r="Q10" s="2">
        <v>2013</v>
      </c>
      <c r="R10" s="2">
        <v>2014</v>
      </c>
      <c r="S10" s="7">
        <v>2015</v>
      </c>
      <c r="T10" s="7">
        <v>2016</v>
      </c>
      <c r="U10" s="7">
        <v>2017</v>
      </c>
      <c r="V10" s="7">
        <v>2018</v>
      </c>
      <c r="W10" s="7">
        <v>2019</v>
      </c>
      <c r="X10" s="7">
        <v>2020</v>
      </c>
      <c r="Y10" s="7">
        <v>2021</v>
      </c>
      <c r="Z10" s="7">
        <v>2022</v>
      </c>
    </row>
    <row r="11" spans="1:26" ht="12.95" customHeight="1" x14ac:dyDescent="0.2">
      <c r="B11" s="401"/>
      <c r="C11" s="401"/>
      <c r="E11" s="28"/>
      <c r="F11" s="28"/>
      <c r="G11" s="33"/>
      <c r="H11" s="2"/>
      <c r="I11" s="2"/>
      <c r="J11" s="2"/>
      <c r="K11" s="2"/>
      <c r="L11" s="68"/>
      <c r="M11" s="68"/>
      <c r="N11" s="9"/>
      <c r="O11" s="9"/>
      <c r="P11" s="9"/>
      <c r="Q11" s="9"/>
      <c r="R11" s="9"/>
      <c r="S11" s="9"/>
    </row>
    <row r="12" spans="1:26" ht="12.95" customHeight="1" x14ac:dyDescent="0.2">
      <c r="B12" s="24"/>
      <c r="C12" s="24"/>
      <c r="E12" s="28"/>
      <c r="F12" s="28"/>
      <c r="G12" s="33"/>
      <c r="H12" s="2"/>
      <c r="I12" s="2"/>
      <c r="J12" s="2"/>
      <c r="K12" s="2"/>
      <c r="L12" s="68"/>
      <c r="M12" s="68"/>
      <c r="N12" s="9"/>
      <c r="O12" s="9"/>
      <c r="P12" s="9"/>
      <c r="Q12" s="9"/>
      <c r="R12" s="9"/>
      <c r="S12" s="9"/>
    </row>
    <row r="13" spans="1:26" ht="12.95" customHeight="1" x14ac:dyDescent="0.2">
      <c r="B13" s="2" t="str">
        <f>VLOOKUP(36,Textbausteine_Menu[],Hilfsgrössen!$D$2,FALSE)</f>
        <v>Groupe</v>
      </c>
      <c r="E13" s="10"/>
      <c r="L13" s="9"/>
      <c r="M13" s="9"/>
      <c r="N13" s="9"/>
      <c r="O13" s="9"/>
      <c r="P13" s="9"/>
      <c r="Q13" s="9"/>
      <c r="R13" s="9"/>
      <c r="S13" s="9"/>
    </row>
    <row r="14" spans="1:26" ht="12.95" customHeight="1" x14ac:dyDescent="0.2">
      <c r="C14" s="1" t="str">
        <f>VLOOKUP(31,Textbausteine_202[],Hilfsgrössen!$D$2,FALSE)</f>
        <v>Indemnités versées au président du Conseil d'administration</v>
      </c>
      <c r="D14" s="1" t="str">
        <f>VLOOKUP(11,Textbausteine_202[],Hilfsgrössen!$D$2,FALSE)</f>
        <v>CHF</v>
      </c>
      <c r="E14" s="9">
        <v>1</v>
      </c>
      <c r="H14" s="1">
        <v>231750</v>
      </c>
      <c r="I14" s="1">
        <v>251500</v>
      </c>
      <c r="J14" s="1">
        <v>250000</v>
      </c>
      <c r="K14" s="1">
        <v>245000</v>
      </c>
      <c r="L14" s="11">
        <v>248560</v>
      </c>
      <c r="M14" s="11">
        <v>292785</v>
      </c>
      <c r="N14" s="11">
        <v>254859</v>
      </c>
      <c r="O14" s="11">
        <v>252650</v>
      </c>
      <c r="P14" s="9">
        <v>251700</v>
      </c>
      <c r="Q14" s="9">
        <v>252000</v>
      </c>
      <c r="R14" s="91">
        <v>252000</v>
      </c>
      <c r="S14" s="91">
        <v>252135</v>
      </c>
      <c r="T14" s="11">
        <v>253025</v>
      </c>
      <c r="U14" s="11">
        <v>253470</v>
      </c>
      <c r="V14" s="11">
        <v>253470</v>
      </c>
      <c r="W14" s="11">
        <v>253470</v>
      </c>
      <c r="X14" s="12">
        <v>253470</v>
      </c>
      <c r="Y14" s="11">
        <v>251211</v>
      </c>
      <c r="Z14" s="11">
        <v>253170</v>
      </c>
    </row>
    <row r="15" spans="1:26" ht="12.95" customHeight="1" x14ac:dyDescent="0.2">
      <c r="C15" s="16" t="str">
        <f>VLOOKUP(32,Textbausteine_202[],Hilfsgrössen!$D$2,FALSE)</f>
        <v>Indemnités moyennes versées aux membres du Conseil d'administration</v>
      </c>
      <c r="D15" s="1" t="str">
        <f>VLOOKUP(11,Textbausteine_202[],Hilfsgrössen!$D$2,FALSE)</f>
        <v>CHF</v>
      </c>
      <c r="E15" s="9" t="s">
        <v>72</v>
      </c>
      <c r="H15" s="1">
        <v>84506</v>
      </c>
      <c r="I15" s="1">
        <v>83106</v>
      </c>
      <c r="J15" s="1">
        <v>80880</v>
      </c>
      <c r="K15" s="1">
        <v>83698</v>
      </c>
      <c r="L15" s="11">
        <v>84525</v>
      </c>
      <c r="M15" s="11">
        <v>100739</v>
      </c>
      <c r="N15" s="11">
        <v>97782</v>
      </c>
      <c r="O15" s="11">
        <v>108456</v>
      </c>
      <c r="P15" s="9">
        <v>99800</v>
      </c>
      <c r="Q15" s="9">
        <v>99226</v>
      </c>
      <c r="R15" s="91">
        <v>91858</v>
      </c>
      <c r="S15" s="91">
        <v>89037</v>
      </c>
      <c r="T15" s="11">
        <v>97325</v>
      </c>
      <c r="U15" s="11">
        <v>97725</v>
      </c>
      <c r="V15" s="11">
        <v>112956</v>
      </c>
      <c r="W15" s="11">
        <v>101011</v>
      </c>
      <c r="X15" s="12">
        <v>92289</v>
      </c>
      <c r="Y15" s="11">
        <v>92266</v>
      </c>
      <c r="Z15" s="11">
        <v>91784</v>
      </c>
    </row>
    <row r="16" spans="1:26" ht="12.95" customHeight="1" x14ac:dyDescent="0.2">
      <c r="C16" s="1" t="str">
        <f>VLOOKUP(33,Textbausteine_202[],Hilfsgrössen!$D$2,FALSE)</f>
        <v>Indemnités versées au directeur/à la directrice général(e)</v>
      </c>
      <c r="D16" s="1" t="str">
        <f>VLOOKUP(11,Textbausteine_202[],Hilfsgrössen!$D$2,FALSE)</f>
        <v>CHF</v>
      </c>
      <c r="E16" s="9" t="s">
        <v>103</v>
      </c>
      <c r="H16" s="16">
        <v>700000</v>
      </c>
      <c r="I16" s="16">
        <v>689000</v>
      </c>
      <c r="J16" s="11">
        <v>787830</v>
      </c>
      <c r="K16" s="11">
        <v>817138</v>
      </c>
      <c r="L16" s="11">
        <v>829387</v>
      </c>
      <c r="M16" s="11">
        <v>789101</v>
      </c>
      <c r="N16" s="11">
        <v>903384</v>
      </c>
      <c r="O16" s="11">
        <v>924501</v>
      </c>
      <c r="P16" s="9">
        <v>1059476</v>
      </c>
      <c r="Q16" s="9">
        <v>766732</v>
      </c>
      <c r="R16" s="91">
        <v>824585</v>
      </c>
      <c r="S16" s="91">
        <v>984521</v>
      </c>
      <c r="T16" s="75">
        <v>974178</v>
      </c>
      <c r="U16" s="75">
        <v>970425</v>
      </c>
      <c r="V16" s="75">
        <v>1107488</v>
      </c>
      <c r="W16" s="75">
        <v>693123</v>
      </c>
      <c r="X16" s="190">
        <v>809621</v>
      </c>
      <c r="Y16" s="75">
        <v>821285</v>
      </c>
      <c r="Z16" s="75">
        <v>822246</v>
      </c>
    </row>
    <row r="17" spans="1:26" ht="12.95" customHeight="1" x14ac:dyDescent="0.2">
      <c r="C17" s="1" t="str">
        <f>VLOOKUP(34,Textbausteine_202[],Hilfsgrössen!$D$2,FALSE)</f>
        <v>Indemnités moyennes versées aux membres de la Direction du groupe</v>
      </c>
      <c r="D17" s="1" t="str">
        <f>VLOOKUP(11,Textbausteine_202[],Hilfsgrössen!$D$2,FALSE)</f>
        <v>CHF</v>
      </c>
      <c r="E17" s="9" t="s">
        <v>104</v>
      </c>
      <c r="H17" s="1">
        <v>374160</v>
      </c>
      <c r="I17" s="1">
        <v>426498</v>
      </c>
      <c r="J17" s="1">
        <v>444187</v>
      </c>
      <c r="K17" s="1">
        <v>487611</v>
      </c>
      <c r="L17" s="16">
        <v>492781</v>
      </c>
      <c r="M17" s="11">
        <v>491200</v>
      </c>
      <c r="N17" s="11">
        <v>495590</v>
      </c>
      <c r="O17" s="11">
        <v>504986</v>
      </c>
      <c r="P17" s="9">
        <v>515441</v>
      </c>
      <c r="Q17" s="9">
        <v>499281</v>
      </c>
      <c r="R17" s="91">
        <v>477719</v>
      </c>
      <c r="S17" s="91">
        <v>591574</v>
      </c>
      <c r="T17" s="75">
        <v>588377</v>
      </c>
      <c r="U17" s="75">
        <v>559044</v>
      </c>
      <c r="V17" s="75">
        <v>588916</v>
      </c>
      <c r="W17" s="75">
        <v>582289</v>
      </c>
      <c r="X17" s="190">
        <v>575822</v>
      </c>
      <c r="Y17" s="75">
        <v>583501</v>
      </c>
      <c r="Z17" s="75">
        <v>575349</v>
      </c>
    </row>
    <row r="18" spans="1:26" ht="12.95" customHeight="1" x14ac:dyDescent="0.2">
      <c r="C18" s="16" t="str">
        <f>VLOOKUP(35,Textbausteine_202[],Hilfsgrössen!$D$2,FALSE)</f>
        <v>Salaire moyen du personnel</v>
      </c>
      <c r="D18" s="1" t="str">
        <f>VLOOKUP(11,Textbausteine_202[],Hilfsgrössen!$D$2,FALSE)</f>
        <v>CHF</v>
      </c>
      <c r="E18" s="9" t="s">
        <v>105</v>
      </c>
      <c r="H18" s="1">
        <v>73222</v>
      </c>
      <c r="I18" s="1">
        <v>73593</v>
      </c>
      <c r="J18" s="1">
        <v>75127</v>
      </c>
      <c r="K18" s="1">
        <v>77160</v>
      </c>
      <c r="L18" s="11">
        <v>78141</v>
      </c>
      <c r="M18" s="11">
        <v>80361</v>
      </c>
      <c r="N18" s="11">
        <v>81082</v>
      </c>
      <c r="O18" s="11">
        <v>81293.248463022479</v>
      </c>
      <c r="P18" s="80">
        <v>82554</v>
      </c>
      <c r="Q18" s="9">
        <v>82695</v>
      </c>
      <c r="R18" s="91">
        <v>83039</v>
      </c>
      <c r="S18" s="91">
        <v>83472</v>
      </c>
      <c r="T18" s="11">
        <v>82231</v>
      </c>
      <c r="U18" s="11">
        <v>83178</v>
      </c>
      <c r="V18" s="11">
        <v>83383</v>
      </c>
      <c r="W18" s="11">
        <v>82741</v>
      </c>
      <c r="X18" s="12">
        <v>83636</v>
      </c>
      <c r="Y18" s="11">
        <v>84490.350185638803</v>
      </c>
      <c r="Z18" s="11">
        <v>84629</v>
      </c>
    </row>
    <row r="19" spans="1:26" ht="12.95" customHeight="1" x14ac:dyDescent="0.2">
      <c r="C19" s="1" t="str">
        <f>VLOOKUP(36,Textbausteine_202[],Hilfsgrössen!$D$2,FALSE)</f>
        <v>Salaire minimal CCT Poste (18 ans, sans apprentissage)</v>
      </c>
      <c r="D19" s="1" t="str">
        <f>VLOOKUP(11,Textbausteine_202[],Hilfsgrössen!$D$2,FALSE)</f>
        <v>CHF</v>
      </c>
      <c r="E19" s="9">
        <v>7</v>
      </c>
      <c r="F19" s="9" t="s">
        <v>106</v>
      </c>
      <c r="H19" s="1">
        <v>40000</v>
      </c>
      <c r="I19" s="1">
        <v>40400</v>
      </c>
      <c r="J19" s="1">
        <v>41006</v>
      </c>
      <c r="K19" s="1">
        <v>41826</v>
      </c>
      <c r="L19" s="11">
        <v>42746</v>
      </c>
      <c r="M19" s="11">
        <v>44071</v>
      </c>
      <c r="N19" s="11">
        <v>44379</v>
      </c>
      <c r="O19" s="11">
        <v>44823</v>
      </c>
      <c r="P19" s="9">
        <v>45047</v>
      </c>
      <c r="Q19" s="9">
        <v>45047</v>
      </c>
      <c r="R19" s="91">
        <v>47620</v>
      </c>
      <c r="S19" s="91">
        <v>47620</v>
      </c>
      <c r="T19" s="9">
        <v>47620</v>
      </c>
      <c r="U19" s="9">
        <v>47620</v>
      </c>
      <c r="V19" s="9">
        <v>47620</v>
      </c>
      <c r="W19" s="9">
        <v>47620</v>
      </c>
      <c r="X19" s="15">
        <v>47820</v>
      </c>
      <c r="Y19" s="11" t="s">
        <v>107</v>
      </c>
      <c r="Z19" s="11" t="s">
        <v>107</v>
      </c>
    </row>
    <row r="20" spans="1:26" ht="12.95" customHeight="1" x14ac:dyDescent="0.2">
      <c r="C20" s="1" t="str">
        <f>VLOOKUP(38,Textbausteine_202[],Hilfsgrössen!$D$2,FALSE)</f>
        <v>Salaire minimal selon CCT Poste (salaire minimum région D)</v>
      </c>
      <c r="D20" s="1" t="str">
        <f>VLOOKUP(11,Textbausteine_202[],Hilfsgrössen!$D$2,FALSE)</f>
        <v>CHF</v>
      </c>
      <c r="E20" s="9">
        <v>7</v>
      </c>
      <c r="F20" s="9" t="s">
        <v>106</v>
      </c>
      <c r="H20" s="94" t="s">
        <v>29</v>
      </c>
      <c r="I20" s="94" t="s">
        <v>29</v>
      </c>
      <c r="J20" s="94" t="s">
        <v>29</v>
      </c>
      <c r="K20" s="94" t="s">
        <v>29</v>
      </c>
      <c r="L20" s="94" t="s">
        <v>29</v>
      </c>
      <c r="M20" s="94" t="s">
        <v>29</v>
      </c>
      <c r="N20" s="94" t="s">
        <v>29</v>
      </c>
      <c r="O20" s="94" t="s">
        <v>29</v>
      </c>
      <c r="P20" s="94" t="s">
        <v>29</v>
      </c>
      <c r="Q20" s="94" t="s">
        <v>29</v>
      </c>
      <c r="R20" s="94" t="s">
        <v>29</v>
      </c>
      <c r="S20" s="94" t="s">
        <v>29</v>
      </c>
      <c r="T20" s="94" t="s">
        <v>29</v>
      </c>
      <c r="U20" s="94" t="s">
        <v>29</v>
      </c>
      <c r="V20" s="94" t="s">
        <v>29</v>
      </c>
      <c r="W20" s="94" t="s">
        <v>29</v>
      </c>
      <c r="X20" s="94" t="s">
        <v>29</v>
      </c>
      <c r="Y20" s="11">
        <v>50451</v>
      </c>
      <c r="Z20" s="11">
        <v>50653</v>
      </c>
    </row>
    <row r="21" spans="1:26" ht="12.95" customHeight="1" x14ac:dyDescent="0.2">
      <c r="C21" s="1" t="str">
        <f>VLOOKUP(37,Textbausteine_202[],Hilfsgrössen!$D$2,FALSE)</f>
        <v>Ecart salarial</v>
      </c>
      <c r="D21" s="1" t="str">
        <f>VLOOKUP(12,Textbausteine_202[],Hilfsgrössen!$D$2,FALSE)</f>
        <v>Facteur</v>
      </c>
      <c r="E21" s="9">
        <v>8</v>
      </c>
      <c r="H21" s="1">
        <v>5.0999999999999996</v>
      </c>
      <c r="I21" s="1">
        <v>5.8</v>
      </c>
      <c r="J21" s="1">
        <v>5.9</v>
      </c>
      <c r="K21" s="1">
        <v>6.3</v>
      </c>
      <c r="L21" s="11">
        <v>6.3</v>
      </c>
      <c r="M21" s="11">
        <v>6.1</v>
      </c>
      <c r="N21" s="11">
        <v>6.1</v>
      </c>
      <c r="O21" s="11">
        <v>6.2</v>
      </c>
      <c r="P21" s="9">
        <v>6.2</v>
      </c>
      <c r="Q21" s="9">
        <v>6</v>
      </c>
      <c r="R21" s="9">
        <v>5.8</v>
      </c>
      <c r="S21" s="91">
        <v>7.1</v>
      </c>
      <c r="T21" s="9">
        <v>7.2</v>
      </c>
      <c r="U21" s="9">
        <v>6.7</v>
      </c>
      <c r="V21" s="9">
        <v>7.09</v>
      </c>
      <c r="W21" s="9">
        <v>7</v>
      </c>
      <c r="X21" s="9">
        <v>6.87</v>
      </c>
      <c r="Y21" s="11">
        <v>6.91</v>
      </c>
      <c r="Z21" s="11">
        <v>6.8</v>
      </c>
    </row>
    <row r="22" spans="1:26" ht="12.95" customHeight="1" x14ac:dyDescent="0.2">
      <c r="T22" s="9"/>
      <c r="U22" s="9"/>
      <c r="V22" s="9"/>
      <c r="W22" s="9"/>
      <c r="X22" s="9"/>
      <c r="Y22" s="9"/>
      <c r="Z22" s="9"/>
    </row>
    <row r="23" spans="1:26" ht="12.95" customHeight="1" x14ac:dyDescent="0.25">
      <c r="B23" s="18" t="str">
        <f>VLOOKUP(131,Textbausteine_202[],Hilfsgrössen!$D$2,FALSE)</f>
        <v>1) Indemnités du Conseil d'administration = honoraires plus prestations accessoires; indemnités de la Direction du groupe = salaire de base plus part variable.</v>
      </c>
      <c r="T23" s="9"/>
      <c r="U23" s="9"/>
      <c r="V23" s="9"/>
      <c r="W23" s="9"/>
      <c r="X23" s="9"/>
      <c r="Y23" s="9"/>
      <c r="Z23" s="9"/>
    </row>
    <row r="24" spans="1:26" ht="12.95" customHeight="1" x14ac:dyDescent="0.25">
      <c r="B24" s="18" t="str">
        <f>VLOOKUP(132,Textbausteine_202[],Hilfsgrössen!$D$2,FALSE)</f>
        <v>2) sans le président/la présidente</v>
      </c>
      <c r="T24" s="9"/>
      <c r="U24" s="9"/>
      <c r="V24" s="9"/>
      <c r="W24" s="9"/>
      <c r="X24" s="9"/>
      <c r="Y24" s="9"/>
      <c r="Z24" s="9"/>
    </row>
    <row r="25" spans="1:26" ht="12.95" customHeight="1" x14ac:dyDescent="0.25">
      <c r="B25" s="18" t="str">
        <f>VLOOKUP(133,Textbausteine_202[],Hilfsgrössen!$D$2,FALSE)</f>
        <v>3) 2012: Jürg Bucher 8 mois, Susanne Ruoff 7 mois, annualisation CHF 847'581.</v>
      </c>
      <c r="T25" s="9"/>
      <c r="U25" s="9"/>
      <c r="V25" s="9"/>
      <c r="W25" s="9"/>
      <c r="X25" s="9"/>
      <c r="Y25" s="9"/>
      <c r="Z25" s="9"/>
    </row>
    <row r="26" spans="1:26" ht="12.95" customHeight="1" x14ac:dyDescent="0.25">
      <c r="B26" s="18" t="str">
        <f>VLOOKUP(134,Textbausteine_202[],Hilfsgrössen!$D$2,FALSE)</f>
        <v>4) sans le directeur général/la directrice générale</v>
      </c>
      <c r="T26" s="9"/>
      <c r="U26" s="9"/>
      <c r="V26" s="9"/>
      <c r="W26" s="9"/>
      <c r="X26" s="9"/>
      <c r="Y26" s="9"/>
      <c r="Z26" s="9"/>
    </row>
    <row r="27" spans="1:26" s="366" customFormat="1" ht="12.95" customHeight="1" x14ac:dyDescent="0.25">
      <c r="A27" s="66"/>
      <c r="B27" s="18" t="str">
        <f>VLOOKUP(135,Textbausteine_202[],Hilfsgrössen!$D$2,FALSE)</f>
        <v>5) Groupe Suisse: données du systèmes du personnel, actuellement sans données sur 1402 unités du personnel ou 5582 personnes des sociétés du groupe B-Sped Logistics (Suisse) SA, Epsilon SA, Direct Mail Company AG, PubliBike SA, Destinas AG, KLARA Business SA, Relatra AG, BPS Speditions-Service AG, Arlesheim, BPS Speditions-Service AG, Pfungen, Walli-Trans AG, ASMIQ AG, notime AG, notime (Suisse) SA, Dialog Verwaltungs-Data AG, SwissSign SA, Tresorit AG, Bring! Labs AG, Livesystems Group SA, Livesystems SA, Livesystems dooh SA, Iemoli Trasporti SA, InTraLog Hermes AG, InTraLog Overseas AG, Otto Schmidt SA, Steriplus AG, Stericenter SA, Mediwar AG, Marcel Blanc et Cie SA, Unblu Inc., Groupe T2i Suisse SA, Hacknowledge SA, Stella Brandenberger Transporte AG, axsana AG, eoscop AG, H. Bucher Internationale Transporte AG, adiacom AG, Kickbag GmbH</v>
      </c>
      <c r="E27" s="367"/>
      <c r="F27" s="367"/>
      <c r="G27" s="368"/>
      <c r="T27" s="367"/>
      <c r="U27" s="367"/>
      <c r="V27" s="367"/>
      <c r="W27" s="367"/>
      <c r="X27" s="367"/>
      <c r="Y27" s="367"/>
      <c r="Z27" s="367"/>
    </row>
    <row r="28" spans="1:26" ht="12.95" customHeight="1" x14ac:dyDescent="0.25">
      <c r="B28" s="18" t="str">
        <f>VLOOKUP(136,Textbausteine_202[],Hilfsgrössen!$D$2,FALSE)</f>
        <v>6) Salaire moyen sans Direction du groupe, Conseil d'administration et apprentis</v>
      </c>
      <c r="T28" s="9"/>
      <c r="U28" s="9"/>
      <c r="V28" s="9"/>
      <c r="W28" s="9"/>
      <c r="X28" s="9"/>
      <c r="Y28" s="9"/>
      <c r="Z28" s="9"/>
    </row>
    <row r="29" spans="1:26" ht="12.95" customHeight="1" x14ac:dyDescent="0.25">
      <c r="B29" s="18" t="str">
        <f>VLOOKUP(137,Textbausteine_202[],Hilfsgrössen!$D$2,FALSE)</f>
        <v>7) Salaire minimal selon la CCT Poste pour un collaborateur de 18 ans n'ayant pas suivi d'apprentissage.</v>
      </c>
      <c r="T29" s="9"/>
      <c r="U29" s="9"/>
      <c r="V29" s="9"/>
      <c r="W29" s="9"/>
      <c r="X29" s="9"/>
      <c r="Y29" s="9"/>
      <c r="Z29" s="9"/>
    </row>
    <row r="30" spans="1:26" ht="12.95" customHeight="1" x14ac:dyDescent="0.25">
      <c r="B30" s="18" t="str">
        <f>VLOOKUP(138,Textbausteine_202[],Hilfsgrössen!$D$2,FALSE)</f>
        <v>8) Indemnités moyennes des membres de la Direction du groupe par rapport au salaire moyen du personnel.</v>
      </c>
      <c r="T30" s="9"/>
      <c r="U30" s="9"/>
      <c r="V30" s="9"/>
      <c r="W30" s="9"/>
      <c r="X30" s="9"/>
      <c r="Y30" s="9"/>
      <c r="Z30" s="9"/>
    </row>
    <row r="31" spans="1:26" ht="12.95" customHeight="1" x14ac:dyDescent="0.25">
      <c r="B31" s="18" t="str">
        <f>VLOOKUP(139,Textbausteine_202[],Hilfsgrössen!$D$2,FALSE)</f>
        <v>9) 2017 et 2018: la décision relative à la part liée à la prestation de la directrice générale et de l’ancien responsable CarPostal (droit et calcul du montant) ne sera prise qu’au terme de l’enquête en cours sur les violations du droit des subventions commises dans le secteur du transport régional de voyageurs.</v>
      </c>
      <c r="F31" s="11"/>
      <c r="G31" s="267"/>
      <c r="T31" s="9"/>
      <c r="U31" s="9"/>
      <c r="V31" s="9"/>
      <c r="W31" s="9"/>
      <c r="X31" s="9"/>
      <c r="Y31" s="9"/>
      <c r="Z31" s="9"/>
    </row>
    <row r="32" spans="1:26" ht="12.95" customHeight="1" x14ac:dyDescent="0.25">
      <c r="B32" s="18"/>
      <c r="T32" s="9"/>
      <c r="U32" s="9"/>
      <c r="V32" s="9"/>
      <c r="W32" s="9"/>
      <c r="X32" s="9"/>
      <c r="Y32" s="9"/>
      <c r="Z32" s="9"/>
    </row>
    <row r="33" spans="3:26" ht="12.95" customHeight="1" x14ac:dyDescent="0.2">
      <c r="C33" s="305"/>
      <c r="T33" s="9"/>
      <c r="U33" s="9"/>
      <c r="V33" s="9"/>
      <c r="W33" s="9"/>
      <c r="X33" s="9"/>
      <c r="Y33" s="9"/>
      <c r="Z33" s="9"/>
    </row>
    <row r="34" spans="3:26" ht="12.95" customHeight="1" x14ac:dyDescent="0.2">
      <c r="T34" s="9"/>
      <c r="U34" s="9"/>
      <c r="V34" s="9"/>
      <c r="W34" s="9"/>
      <c r="X34" s="9"/>
      <c r="Y34" s="9"/>
      <c r="Z34" s="9"/>
    </row>
    <row r="35" spans="3:26" ht="12.95" customHeight="1" x14ac:dyDescent="0.2">
      <c r="F35" s="11"/>
      <c r="G35" s="267"/>
      <c r="T35" s="9"/>
      <c r="U35" s="9"/>
      <c r="V35" s="9"/>
      <c r="W35" s="9"/>
      <c r="X35" s="9"/>
      <c r="Y35" s="9"/>
      <c r="Z35" s="9"/>
    </row>
    <row r="36" spans="3:26" ht="12.95" customHeight="1" x14ac:dyDescent="0.2">
      <c r="E36" s="11"/>
      <c r="F36" s="11"/>
      <c r="G36" s="267"/>
      <c r="T36" s="9"/>
      <c r="U36" s="9"/>
      <c r="V36" s="9"/>
      <c r="W36" s="9"/>
      <c r="X36" s="9"/>
      <c r="Y36" s="9"/>
      <c r="Z36" s="9"/>
    </row>
    <row r="37" spans="3:26" ht="12.95" customHeight="1" x14ac:dyDescent="0.2">
      <c r="E37" s="11"/>
      <c r="T37" s="9"/>
      <c r="U37" s="9"/>
      <c r="V37" s="9"/>
      <c r="W37" s="9"/>
      <c r="X37" s="9"/>
      <c r="Y37" s="9"/>
      <c r="Z37" s="9"/>
    </row>
    <row r="38" spans="3:26" ht="12.95" customHeight="1" x14ac:dyDescent="0.2">
      <c r="E38" s="11"/>
      <c r="T38" s="9"/>
      <c r="U38" s="9"/>
      <c r="V38" s="9"/>
      <c r="W38" s="9"/>
      <c r="X38" s="9"/>
      <c r="Y38" s="9"/>
      <c r="Z38" s="9"/>
    </row>
    <row r="39" spans="3:26" ht="12.95" customHeight="1" x14ac:dyDescent="0.2">
      <c r="F39" s="11"/>
      <c r="G39" s="267"/>
      <c r="T39" s="9"/>
      <c r="U39" s="9"/>
      <c r="V39" s="9"/>
      <c r="W39" s="9"/>
      <c r="X39" s="9"/>
      <c r="Y39" s="9"/>
      <c r="Z39" s="9"/>
    </row>
    <row r="40" spans="3:26" ht="12.95" customHeight="1" x14ac:dyDescent="0.2">
      <c r="E40" s="11"/>
      <c r="F40" s="11"/>
      <c r="G40" s="267"/>
      <c r="T40" s="9"/>
      <c r="U40" s="9"/>
      <c r="V40" s="9"/>
      <c r="W40" s="9"/>
      <c r="X40" s="9"/>
      <c r="Y40" s="9"/>
      <c r="Z40" s="9"/>
    </row>
    <row r="41" spans="3:26" ht="12.95" customHeight="1" x14ac:dyDescent="0.2">
      <c r="E41" s="11"/>
      <c r="T41" s="9"/>
      <c r="U41" s="9"/>
      <c r="V41" s="9"/>
      <c r="W41" s="9"/>
      <c r="X41" s="9"/>
      <c r="Y41" s="9"/>
      <c r="Z41" s="9"/>
    </row>
    <row r="42" spans="3:26" ht="12.95" customHeight="1" x14ac:dyDescent="0.2">
      <c r="E42" s="11"/>
      <c r="T42" s="9"/>
      <c r="U42" s="9"/>
      <c r="V42" s="9"/>
      <c r="W42" s="9"/>
      <c r="X42" s="9"/>
      <c r="Y42" s="9"/>
      <c r="Z42" s="9"/>
    </row>
    <row r="43" spans="3:26" ht="12.95" customHeight="1" x14ac:dyDescent="0.2">
      <c r="E43" s="11"/>
      <c r="T43" s="9"/>
      <c r="U43" s="9"/>
      <c r="V43" s="9"/>
      <c r="W43" s="9"/>
      <c r="X43" s="9"/>
      <c r="Y43" s="9"/>
      <c r="Z43" s="9"/>
    </row>
    <row r="44" spans="3:26" ht="12.95" customHeight="1" x14ac:dyDescent="0.2">
      <c r="E44" s="11"/>
      <c r="T44" s="9"/>
      <c r="U44" s="9"/>
      <c r="V44" s="9"/>
      <c r="W44" s="9"/>
      <c r="X44" s="9"/>
      <c r="Y44" s="9"/>
      <c r="Z44" s="9"/>
    </row>
    <row r="45" spans="3:26" ht="12.95" customHeight="1" x14ac:dyDescent="0.2">
      <c r="T45" s="9"/>
      <c r="U45" s="9"/>
      <c r="V45" s="9"/>
      <c r="W45" s="9"/>
      <c r="X45" s="9"/>
      <c r="Y45" s="9"/>
      <c r="Z45" s="9"/>
    </row>
    <row r="46" spans="3:26" ht="12.95" customHeight="1" x14ac:dyDescent="0.2">
      <c r="F46" s="11"/>
      <c r="G46" s="267"/>
      <c r="T46" s="9"/>
      <c r="U46" s="9"/>
      <c r="V46" s="9"/>
      <c r="W46" s="9"/>
      <c r="X46" s="9"/>
      <c r="Y46" s="9"/>
      <c r="Z46" s="9"/>
    </row>
    <row r="47" spans="3:26" ht="12.95" customHeight="1" x14ac:dyDescent="0.2">
      <c r="T47" s="9"/>
      <c r="U47" s="9"/>
      <c r="V47" s="9"/>
      <c r="W47" s="9"/>
      <c r="X47" s="9"/>
      <c r="Y47" s="9"/>
      <c r="Z47" s="9"/>
    </row>
    <row r="48" spans="3:26" ht="12.95" customHeight="1" x14ac:dyDescent="0.2">
      <c r="T48" s="9"/>
      <c r="U48" s="9"/>
      <c r="V48" s="9"/>
      <c r="W48" s="9"/>
      <c r="X48" s="9"/>
      <c r="Y48" s="9"/>
      <c r="Z48" s="9"/>
    </row>
    <row r="49" spans="5:26" ht="12.95" customHeight="1" x14ac:dyDescent="0.2">
      <c r="F49" s="11"/>
      <c r="G49" s="267"/>
      <c r="T49" s="9"/>
      <c r="U49" s="9"/>
      <c r="V49" s="9"/>
      <c r="W49" s="9"/>
      <c r="X49" s="9"/>
      <c r="Y49" s="9"/>
      <c r="Z49" s="9"/>
    </row>
    <row r="50" spans="5:26" ht="12.95" customHeight="1" x14ac:dyDescent="0.2">
      <c r="T50" s="9"/>
      <c r="U50" s="9"/>
      <c r="V50" s="9"/>
      <c r="W50" s="9"/>
      <c r="X50" s="9"/>
      <c r="Y50" s="9"/>
      <c r="Z50" s="9"/>
    </row>
    <row r="51" spans="5:26" ht="12.95" customHeight="1" x14ac:dyDescent="0.2">
      <c r="T51" s="9"/>
      <c r="U51" s="9"/>
      <c r="V51" s="9"/>
      <c r="W51" s="9"/>
      <c r="X51" s="9"/>
      <c r="Y51" s="9"/>
      <c r="Z51" s="9"/>
    </row>
    <row r="52" spans="5:26" ht="12.95" customHeight="1" x14ac:dyDescent="0.2">
      <c r="T52" s="9"/>
      <c r="U52" s="9"/>
      <c r="V52" s="9"/>
      <c r="W52" s="9"/>
      <c r="X52" s="9"/>
      <c r="Y52" s="9"/>
      <c r="Z52" s="9"/>
    </row>
    <row r="53" spans="5:26" ht="12.95" customHeight="1" x14ac:dyDescent="0.2">
      <c r="T53" s="9"/>
      <c r="U53" s="9"/>
      <c r="V53" s="9"/>
      <c r="W53" s="9"/>
      <c r="X53" s="9"/>
      <c r="Y53" s="9"/>
      <c r="Z53" s="9"/>
    </row>
    <row r="54" spans="5:26" ht="12.95" customHeight="1" x14ac:dyDescent="0.2">
      <c r="T54" s="9"/>
      <c r="U54" s="9"/>
      <c r="V54" s="9"/>
      <c r="W54" s="9"/>
      <c r="X54" s="9"/>
      <c r="Y54" s="9"/>
      <c r="Z54" s="9"/>
    </row>
    <row r="55" spans="5:26" ht="12.95" customHeight="1" x14ac:dyDescent="0.2">
      <c r="T55" s="9"/>
      <c r="U55" s="9"/>
      <c r="V55" s="9"/>
      <c r="W55" s="9"/>
      <c r="X55" s="9"/>
      <c r="Y55" s="9"/>
      <c r="Z55" s="9"/>
    </row>
    <row r="56" spans="5:26" ht="12.95" customHeight="1" x14ac:dyDescent="0.2">
      <c r="T56" s="9"/>
      <c r="U56" s="9"/>
      <c r="V56" s="9"/>
      <c r="W56" s="9"/>
      <c r="X56" s="9"/>
      <c r="Y56" s="9"/>
      <c r="Z56" s="9"/>
    </row>
    <row r="57" spans="5:26" ht="12.95" customHeight="1" x14ac:dyDescent="0.2">
      <c r="T57" s="9"/>
      <c r="U57" s="9"/>
      <c r="V57" s="9"/>
      <c r="W57" s="9"/>
      <c r="X57" s="9"/>
      <c r="Y57" s="9"/>
      <c r="Z57" s="9"/>
    </row>
    <row r="58" spans="5:26" ht="12.95" customHeight="1" x14ac:dyDescent="0.2">
      <c r="T58" s="9"/>
      <c r="U58" s="9"/>
      <c r="V58" s="9"/>
      <c r="W58" s="9"/>
      <c r="X58" s="9"/>
      <c r="Y58" s="9"/>
      <c r="Z58" s="9"/>
    </row>
    <row r="59" spans="5:26" ht="12.95" customHeight="1" x14ac:dyDescent="0.2">
      <c r="E59" s="11"/>
      <c r="T59" s="9"/>
      <c r="U59" s="9"/>
      <c r="V59" s="9"/>
      <c r="W59" s="9"/>
      <c r="X59" s="9"/>
      <c r="Y59" s="9"/>
      <c r="Z59" s="9"/>
    </row>
    <row r="60" spans="5:26" ht="12.95" customHeight="1" x14ac:dyDescent="0.2">
      <c r="E60" s="11"/>
      <c r="T60" s="9"/>
      <c r="U60" s="9"/>
      <c r="V60" s="9"/>
      <c r="W60" s="9"/>
      <c r="X60" s="9"/>
      <c r="Y60" s="9"/>
      <c r="Z60" s="9"/>
    </row>
    <row r="61" spans="5:26" ht="12.95" customHeight="1" x14ac:dyDescent="0.2">
      <c r="E61" s="11"/>
      <c r="T61" s="9"/>
      <c r="U61" s="9"/>
      <c r="V61" s="9"/>
      <c r="W61" s="9"/>
      <c r="X61" s="9"/>
      <c r="Y61" s="9"/>
      <c r="Z61" s="9"/>
    </row>
    <row r="62" spans="5:26" ht="12.95" customHeight="1" x14ac:dyDescent="0.2">
      <c r="T62" s="9"/>
      <c r="U62" s="9"/>
      <c r="V62" s="9"/>
      <c r="W62" s="9"/>
      <c r="X62" s="9"/>
      <c r="Y62" s="9"/>
      <c r="Z62" s="9"/>
    </row>
    <row r="63" spans="5:26" ht="12.95" customHeight="1" x14ac:dyDescent="0.2">
      <c r="T63" s="9"/>
      <c r="U63" s="9"/>
      <c r="V63" s="9"/>
      <c r="W63" s="9"/>
      <c r="X63" s="9"/>
      <c r="Y63" s="9"/>
      <c r="Z63" s="9"/>
    </row>
    <row r="64" spans="5:26" ht="12.95" customHeight="1" x14ac:dyDescent="0.2">
      <c r="E64" s="29"/>
      <c r="F64" s="29"/>
      <c r="G64" s="35"/>
      <c r="T64" s="9"/>
      <c r="U64" s="9"/>
      <c r="V64" s="9"/>
      <c r="W64" s="9"/>
      <c r="X64" s="9"/>
      <c r="Y64" s="9"/>
      <c r="Z64" s="9"/>
    </row>
    <row r="65" spans="5:26" ht="12.95" customHeight="1" x14ac:dyDescent="0.2">
      <c r="E65" s="29"/>
      <c r="F65" s="29"/>
      <c r="G65" s="35"/>
      <c r="T65" s="9"/>
      <c r="U65" s="9"/>
      <c r="V65" s="9"/>
      <c r="W65" s="9"/>
      <c r="X65" s="9"/>
      <c r="Y65" s="9"/>
      <c r="Z65" s="9"/>
    </row>
    <row r="66" spans="5:26" ht="12.95" customHeight="1" x14ac:dyDescent="0.2">
      <c r="E66" s="29"/>
      <c r="F66" s="29"/>
      <c r="G66" s="35"/>
      <c r="T66" s="9"/>
      <c r="U66" s="9"/>
      <c r="V66" s="9"/>
      <c r="W66" s="9"/>
      <c r="X66" s="9"/>
      <c r="Y66" s="9"/>
      <c r="Z66" s="9"/>
    </row>
    <row r="67" spans="5:26" ht="12.95" customHeight="1" x14ac:dyDescent="0.2">
      <c r="E67" s="29"/>
      <c r="F67" s="29"/>
      <c r="G67" s="35"/>
    </row>
    <row r="68" spans="5:26" ht="12.95" customHeight="1" x14ac:dyDescent="0.2">
      <c r="E68" s="29"/>
      <c r="F68" s="29"/>
      <c r="G68" s="35"/>
    </row>
    <row r="69" spans="5:26" ht="12.95" customHeight="1" x14ac:dyDescent="0.25">
      <c r="E69" s="30"/>
      <c r="F69" s="30"/>
      <c r="G69" s="36"/>
    </row>
    <row r="73" spans="5:26" ht="12.95" customHeight="1" x14ac:dyDescent="0.2">
      <c r="E73" s="28"/>
      <c r="F73" s="28"/>
      <c r="G73" s="33"/>
    </row>
    <row r="74" spans="5:26" ht="12.95" customHeight="1" x14ac:dyDescent="0.2">
      <c r="E74" s="28"/>
      <c r="F74" s="28"/>
      <c r="G74" s="33"/>
    </row>
    <row r="75" spans="5:26" ht="12.95" customHeight="1" x14ac:dyDescent="0.2">
      <c r="E75" s="11"/>
      <c r="T75" s="75"/>
      <c r="U75" s="75"/>
      <c r="V75" s="75"/>
      <c r="W75" s="75"/>
      <c r="X75" s="75"/>
      <c r="Y75" s="75"/>
      <c r="Z75" s="75"/>
    </row>
    <row r="76" spans="5:26" ht="12.95" customHeight="1" x14ac:dyDescent="0.2">
      <c r="E76" s="28"/>
      <c r="F76" s="28"/>
      <c r="G76" s="33"/>
      <c r="T76" s="75"/>
      <c r="U76" s="75"/>
      <c r="V76" s="75"/>
      <c r="W76" s="75"/>
      <c r="X76" s="75"/>
      <c r="Y76" s="75"/>
      <c r="Z76" s="75"/>
    </row>
    <row r="77" spans="5:26" ht="12.95" customHeight="1" x14ac:dyDescent="0.2">
      <c r="E77" s="11"/>
    </row>
    <row r="78" spans="5:26" ht="12.95" customHeight="1" x14ac:dyDescent="0.2">
      <c r="E78" s="11"/>
      <c r="T78" s="9"/>
      <c r="U78" s="9"/>
      <c r="V78" s="9"/>
      <c r="W78" s="9"/>
      <c r="X78" s="9"/>
      <c r="Y78" s="9"/>
      <c r="Z78" s="9"/>
    </row>
    <row r="79" spans="5:26" ht="12.95" customHeight="1" x14ac:dyDescent="0.2">
      <c r="E79" s="11"/>
      <c r="T79" s="9"/>
      <c r="U79" s="9"/>
      <c r="V79" s="9"/>
      <c r="W79" s="9"/>
      <c r="X79" s="9"/>
      <c r="Y79" s="9"/>
      <c r="Z79" s="9"/>
    </row>
    <row r="80" spans="5:26" ht="12.95" customHeight="1" x14ac:dyDescent="0.2">
      <c r="E80" s="11"/>
      <c r="T80" s="9"/>
      <c r="U80" s="9"/>
      <c r="V80" s="9"/>
      <c r="W80" s="9"/>
      <c r="X80" s="9"/>
      <c r="Y80" s="9"/>
      <c r="Z80" s="9"/>
    </row>
    <row r="81" spans="5:26" ht="12.95" customHeight="1" x14ac:dyDescent="0.2">
      <c r="E81" s="31"/>
      <c r="F81" s="31"/>
      <c r="G81" s="37"/>
      <c r="T81" s="9"/>
      <c r="U81" s="9"/>
      <c r="V81" s="9"/>
      <c r="W81" s="9"/>
      <c r="X81" s="9"/>
      <c r="Y81" s="9"/>
      <c r="Z81" s="9"/>
    </row>
    <row r="82" spans="5:26" ht="12.95" customHeight="1" x14ac:dyDescent="0.2">
      <c r="E82" s="31"/>
      <c r="F82" s="31"/>
      <c r="G82" s="37"/>
      <c r="T82" s="9"/>
      <c r="U82" s="9"/>
      <c r="V82" s="9"/>
      <c r="W82" s="9"/>
      <c r="X82" s="9"/>
      <c r="Y82" s="9"/>
      <c r="Z82" s="9"/>
    </row>
    <row r="83" spans="5:26" ht="12.95" customHeight="1" x14ac:dyDescent="0.2">
      <c r="E83" s="31"/>
      <c r="F83" s="31"/>
      <c r="G83" s="37"/>
      <c r="T83" s="9"/>
      <c r="U83" s="9"/>
      <c r="V83" s="9"/>
      <c r="W83" s="9"/>
      <c r="X83" s="9"/>
      <c r="Y83" s="9"/>
      <c r="Z83" s="9"/>
    </row>
    <row r="84" spans="5:26" ht="12.95" customHeight="1" x14ac:dyDescent="0.2">
      <c r="T84" s="9"/>
      <c r="U84" s="9"/>
      <c r="V84" s="9"/>
      <c r="W84" s="9"/>
      <c r="X84" s="9"/>
      <c r="Y84" s="9"/>
      <c r="Z84" s="9"/>
    </row>
    <row r="85" spans="5:26" ht="12.95" customHeight="1" x14ac:dyDescent="0.2">
      <c r="T85" s="9"/>
      <c r="U85" s="9"/>
      <c r="V85" s="9"/>
      <c r="W85" s="9"/>
      <c r="X85" s="9"/>
      <c r="Y85" s="9"/>
      <c r="Z85" s="9"/>
    </row>
    <row r="86" spans="5:26" ht="12.95" customHeight="1" x14ac:dyDescent="0.2">
      <c r="T86" s="75"/>
      <c r="U86" s="75"/>
      <c r="V86" s="75"/>
      <c r="W86" s="75"/>
      <c r="X86" s="75"/>
      <c r="Y86" s="75"/>
      <c r="Z86" s="75"/>
    </row>
    <row r="87" spans="5:26" ht="12.95" customHeight="1" x14ac:dyDescent="0.2">
      <c r="T87" s="75"/>
      <c r="U87" s="75"/>
      <c r="V87" s="75"/>
      <c r="W87" s="75"/>
      <c r="X87" s="75"/>
      <c r="Y87" s="75"/>
      <c r="Z87" s="75"/>
    </row>
    <row r="91" spans="5:26" ht="12.95" customHeight="1" x14ac:dyDescent="0.2">
      <c r="T91" s="9"/>
      <c r="U91" s="9"/>
      <c r="V91" s="9"/>
      <c r="W91" s="9"/>
      <c r="X91" s="9"/>
      <c r="Y91" s="9"/>
      <c r="Z91" s="9"/>
    </row>
    <row r="92" spans="5:26" ht="12.95" customHeight="1" x14ac:dyDescent="0.2">
      <c r="T92" s="9"/>
      <c r="U92" s="9"/>
      <c r="V92" s="9"/>
      <c r="W92" s="9"/>
      <c r="X92" s="9"/>
      <c r="Y92" s="9"/>
      <c r="Z92" s="9"/>
    </row>
    <row r="93" spans="5:26" ht="12.95" customHeight="1" x14ac:dyDescent="0.2">
      <c r="T93" s="9"/>
      <c r="U93" s="9"/>
      <c r="V93" s="9"/>
      <c r="W93" s="9"/>
      <c r="X93" s="9"/>
      <c r="Y93" s="9"/>
      <c r="Z93" s="9"/>
    </row>
    <row r="94" spans="5:26" ht="12.95" customHeight="1" x14ac:dyDescent="0.2">
      <c r="T94" s="9"/>
      <c r="U94" s="9"/>
      <c r="V94" s="9"/>
      <c r="W94" s="9"/>
      <c r="X94" s="9"/>
      <c r="Y94" s="9"/>
      <c r="Z94" s="9"/>
    </row>
    <row r="95" spans="5:26" ht="12.95" customHeight="1" x14ac:dyDescent="0.2">
      <c r="T95" s="9"/>
      <c r="U95" s="9"/>
      <c r="V95" s="9"/>
      <c r="W95" s="9"/>
      <c r="X95" s="9"/>
      <c r="Y95" s="9"/>
      <c r="Z95" s="9"/>
    </row>
    <row r="96" spans="5:26" ht="12.95" customHeight="1" x14ac:dyDescent="0.2">
      <c r="T96" s="9"/>
      <c r="U96" s="9"/>
      <c r="V96" s="9"/>
      <c r="W96" s="9"/>
      <c r="X96" s="9"/>
      <c r="Y96" s="9"/>
      <c r="Z96" s="9"/>
    </row>
    <row r="97" spans="20:26" ht="12.95" customHeight="1" x14ac:dyDescent="0.2">
      <c r="T97" s="9"/>
      <c r="U97" s="9"/>
      <c r="V97" s="9"/>
      <c r="W97" s="9"/>
      <c r="X97" s="9"/>
      <c r="Y97" s="9"/>
      <c r="Z97" s="9"/>
    </row>
    <row r="98" spans="20:26" ht="12.95" customHeight="1" x14ac:dyDescent="0.2">
      <c r="T98" s="9"/>
      <c r="U98" s="9"/>
      <c r="V98" s="9"/>
      <c r="W98" s="9"/>
      <c r="X98" s="9"/>
      <c r="Y98" s="9"/>
      <c r="Z98" s="9"/>
    </row>
    <row r="99" spans="20:26" ht="12.95" customHeight="1" x14ac:dyDescent="0.2">
      <c r="T99" s="9"/>
      <c r="U99" s="9"/>
      <c r="V99" s="9"/>
      <c r="W99" s="9"/>
      <c r="X99" s="9"/>
      <c r="Y99" s="9"/>
      <c r="Z99" s="9"/>
    </row>
    <row r="100" spans="20:26" ht="12.95" customHeight="1" x14ac:dyDescent="0.2">
      <c r="T100" s="9"/>
      <c r="U100" s="9"/>
      <c r="V100" s="9"/>
      <c r="W100" s="9"/>
      <c r="X100" s="9"/>
      <c r="Y100" s="9"/>
      <c r="Z100" s="9"/>
    </row>
    <row r="101" spans="20:26" ht="12.95" customHeight="1" x14ac:dyDescent="0.2">
      <c r="T101" s="9"/>
      <c r="U101" s="9"/>
      <c r="V101" s="9"/>
      <c r="W101" s="9"/>
      <c r="X101" s="9"/>
      <c r="Y101" s="9"/>
      <c r="Z101" s="9"/>
    </row>
    <row r="102" spans="20:26" ht="12.95" customHeight="1" x14ac:dyDescent="0.2">
      <c r="T102" s="9"/>
      <c r="U102" s="9"/>
      <c r="V102" s="9"/>
      <c r="W102" s="9"/>
      <c r="X102" s="9"/>
      <c r="Y102" s="9"/>
      <c r="Z102" s="9"/>
    </row>
    <row r="103" spans="20:26" ht="12.95" customHeight="1" x14ac:dyDescent="0.2">
      <c r="T103" s="9"/>
      <c r="U103" s="9"/>
      <c r="V103" s="9"/>
      <c r="W103" s="9"/>
      <c r="X103" s="9"/>
      <c r="Y103" s="9"/>
      <c r="Z103" s="9"/>
    </row>
    <row r="104" spans="20:26" ht="12.95" customHeight="1" x14ac:dyDescent="0.2">
      <c r="T104" s="9"/>
      <c r="U104" s="9"/>
      <c r="V104" s="9"/>
      <c r="W104" s="9"/>
      <c r="X104" s="9"/>
      <c r="Y104" s="9"/>
      <c r="Z104" s="9"/>
    </row>
    <row r="105" spans="20:26" ht="12.95" customHeight="1" x14ac:dyDescent="0.2">
      <c r="T105" s="9"/>
      <c r="U105" s="9"/>
      <c r="V105" s="9"/>
      <c r="W105" s="9"/>
      <c r="X105" s="9"/>
      <c r="Y105" s="9"/>
      <c r="Z105" s="9"/>
    </row>
    <row r="106" spans="20:26" ht="12.95" customHeight="1" x14ac:dyDescent="0.2">
      <c r="T106" s="9"/>
      <c r="U106" s="9"/>
      <c r="V106" s="9"/>
      <c r="W106" s="9"/>
      <c r="X106" s="9"/>
      <c r="Y106" s="9"/>
      <c r="Z106" s="9"/>
    </row>
    <row r="107" spans="20:26" ht="12.95" customHeight="1" x14ac:dyDescent="0.2">
      <c r="T107" s="9"/>
      <c r="U107" s="9"/>
      <c r="V107" s="9"/>
      <c r="W107" s="9"/>
      <c r="X107" s="9"/>
      <c r="Y107" s="9"/>
      <c r="Z107" s="9"/>
    </row>
    <row r="108" spans="20:26" ht="12.95" customHeight="1" x14ac:dyDescent="0.2">
      <c r="T108" s="9"/>
      <c r="U108" s="9"/>
      <c r="V108" s="9"/>
      <c r="W108" s="9"/>
      <c r="X108" s="9"/>
      <c r="Y108" s="9"/>
      <c r="Z108" s="9"/>
    </row>
    <row r="115" spans="20:26" ht="12.95" customHeight="1" x14ac:dyDescent="0.2">
      <c r="T115" s="75"/>
      <c r="U115" s="75"/>
      <c r="V115" s="75"/>
      <c r="W115" s="75"/>
      <c r="X115" s="75"/>
      <c r="Y115" s="75"/>
      <c r="Z115" s="75"/>
    </row>
    <row r="116" spans="20:26" ht="12.95" customHeight="1" x14ac:dyDescent="0.2">
      <c r="T116" s="75"/>
      <c r="U116" s="75"/>
      <c r="V116" s="75"/>
      <c r="W116" s="75"/>
      <c r="X116" s="75"/>
      <c r="Y116" s="75"/>
      <c r="Z116" s="75"/>
    </row>
    <row r="120" spans="20:26" ht="12.95" customHeight="1" x14ac:dyDescent="0.2">
      <c r="T120" s="81"/>
      <c r="U120" s="81"/>
      <c r="V120" s="81"/>
      <c r="W120" s="81"/>
      <c r="X120" s="81"/>
      <c r="Y120" s="81"/>
      <c r="Z120" s="81"/>
    </row>
    <row r="121" spans="20:26" ht="12.95" customHeight="1" x14ac:dyDescent="0.2">
      <c r="T121" s="81"/>
      <c r="U121" s="81"/>
      <c r="V121" s="81"/>
      <c r="W121" s="81"/>
      <c r="X121" s="81"/>
      <c r="Y121" s="81"/>
      <c r="Z121" s="81"/>
    </row>
    <row r="122" spans="20:26" ht="12.95" customHeight="1" x14ac:dyDescent="0.2">
      <c r="T122" s="81"/>
      <c r="U122" s="81"/>
      <c r="V122" s="81"/>
      <c r="W122" s="81"/>
      <c r="X122" s="81"/>
      <c r="Y122" s="81"/>
      <c r="Z122" s="81"/>
    </row>
    <row r="123" spans="20:26" ht="12.95" customHeight="1" x14ac:dyDescent="0.2">
      <c r="T123" s="81"/>
      <c r="U123" s="81"/>
      <c r="V123" s="81"/>
      <c r="W123" s="81"/>
      <c r="X123" s="81"/>
      <c r="Y123" s="81"/>
      <c r="Z123" s="81"/>
    </row>
    <row r="124" spans="20:26" ht="12.95" customHeight="1" x14ac:dyDescent="0.2">
      <c r="T124" s="81"/>
      <c r="U124" s="81"/>
      <c r="V124" s="81"/>
      <c r="W124" s="81"/>
      <c r="X124" s="81"/>
      <c r="Y124" s="81"/>
      <c r="Z124" s="81"/>
    </row>
    <row r="125" spans="20:26" ht="12.95" customHeight="1" x14ac:dyDescent="0.2">
      <c r="T125" s="81"/>
      <c r="U125" s="81"/>
      <c r="V125" s="81"/>
      <c r="W125" s="81"/>
      <c r="X125" s="81"/>
      <c r="Y125" s="81"/>
      <c r="Z125" s="81"/>
    </row>
    <row r="126" spans="20:26" ht="12.95" customHeight="1" x14ac:dyDescent="0.2">
      <c r="T126" s="81"/>
      <c r="U126" s="81"/>
      <c r="V126" s="81"/>
      <c r="W126" s="81"/>
      <c r="X126" s="81"/>
      <c r="Y126" s="81"/>
      <c r="Z126" s="81"/>
    </row>
    <row r="127" spans="20:26" ht="12.95" customHeight="1" x14ac:dyDescent="0.2">
      <c r="T127" s="81"/>
      <c r="U127" s="81"/>
      <c r="V127" s="81"/>
      <c r="W127" s="81"/>
      <c r="X127" s="81"/>
      <c r="Y127" s="81"/>
      <c r="Z127" s="81"/>
    </row>
  </sheetData>
  <sheetProtection algorithmName="SHA-512" hashValue="9TO81d2llhSNdLyWDlosefs4ZCWs7py/4gI0vc8kI/HYsEzfmmsFU1I7aDXz4gsdrpjZ5bnGIsMwkKruvcgL1w==" saltValue="dgB27bixULopon9bOaZDCw==" spinCount="100000" sheet="1" objects="1" scenarios="1"/>
  <mergeCells count="4">
    <mergeCell ref="B2:C2"/>
    <mergeCell ref="B3:C3"/>
    <mergeCell ref="B10:C11"/>
    <mergeCell ref="D2:E2"/>
  </mergeCells>
  <conditionalFormatting sqref="H10:Y13 H18:Y18 H14:X17 H19:X21 H22:Y10001 AA10:CE10001">
    <cfRule type="expression" dxfId="1455" priority="101">
      <formula>AND($D10&lt;&gt;"",H$10&lt;&gt;"",H10="")</formula>
    </cfRule>
    <cfRule type="expression" dxfId="1454" priority="104">
      <formula>AND($A10="",ABS(H10)=0)</formula>
    </cfRule>
    <cfRule type="expression" dxfId="1453" priority="106">
      <formula>AND($A10="",ABS(H10)&lt;10)</formula>
    </cfRule>
    <cfRule type="expression" dxfId="1452" priority="107">
      <formula>AND($A10="",ABS(H10)&lt;100)</formula>
    </cfRule>
    <cfRule type="expression" dxfId="1451" priority="108">
      <formula>AND($A10="",ABS(H10)&gt;=100)</formula>
    </cfRule>
  </conditionalFormatting>
  <conditionalFormatting sqref="Y21">
    <cfRule type="expression" dxfId="1450" priority="91">
      <formula>AND($D21&lt;&gt;"",#REF!&lt;&gt;"",Y21="")</formula>
    </cfRule>
    <cfRule type="expression" dxfId="1449" priority="92">
      <formula>AND($A21="",ABS(Y21)=0)</formula>
    </cfRule>
    <cfRule type="expression" dxfId="1448" priority="93">
      <formula>AND($A21="",ABS(Y21)&lt;10)</formula>
    </cfRule>
    <cfRule type="expression" dxfId="1447" priority="94">
      <formula>AND($A21="",ABS(Y21)&lt;100)</formula>
    </cfRule>
    <cfRule type="expression" dxfId="1446" priority="95">
      <formula>AND($A21="",ABS(Y21)&gt;=100)</formula>
    </cfRule>
  </conditionalFormatting>
  <conditionalFormatting sqref="Y14:Y17">
    <cfRule type="expression" dxfId="1445" priority="96">
      <formula>AND($D14&lt;&gt;"",#REF!&lt;&gt;"",Y14="")</formula>
    </cfRule>
    <cfRule type="expression" dxfId="1444" priority="97">
      <formula>AND($A14="",ABS(Y14)=0)</formula>
    </cfRule>
    <cfRule type="expression" dxfId="1443" priority="98">
      <formula>AND($A14="",ABS(Y14)&lt;10)</formula>
    </cfRule>
    <cfRule type="expression" dxfId="1442" priority="99">
      <formula>AND($A14="",ABS(Y14)&lt;100)</formula>
    </cfRule>
    <cfRule type="expression" dxfId="1441" priority="100">
      <formula>AND($A14="",ABS(Y14)&gt;=100)</formula>
    </cfRule>
  </conditionalFormatting>
  <conditionalFormatting sqref="Y20">
    <cfRule type="expression" dxfId="1440" priority="2572">
      <formula>AND($D19&lt;&gt;"",#REF!&lt;&gt;"",Y20="")</formula>
    </cfRule>
    <cfRule type="expression" dxfId="1439" priority="2573">
      <formula>AND($A19="",ABS(Y20)=0)</formula>
    </cfRule>
    <cfRule type="expression" dxfId="1438" priority="2574">
      <formula>AND($A19="",ABS(Y20)&lt;10)</formula>
    </cfRule>
    <cfRule type="expression" dxfId="1437" priority="2575">
      <formula>AND($A19="",ABS(Y20)&lt;100)</formula>
    </cfRule>
    <cfRule type="expression" dxfId="1436" priority="2576">
      <formula>AND($A19="",ABS(Y20)&gt;=100)</formula>
    </cfRule>
  </conditionalFormatting>
  <conditionalFormatting sqref="Y19">
    <cfRule type="expression" dxfId="1435" priority="86">
      <formula>AND($D19&lt;&gt;"",Y$10&lt;&gt;"",Y19="")</formula>
    </cfRule>
    <cfRule type="expression" dxfId="1434" priority="87">
      <formula>AND($A19="",ABS(Y19)=0)</formula>
    </cfRule>
    <cfRule type="expression" dxfId="1433" priority="88">
      <formula>AND($A19="",ABS(Y19)&lt;10)</formula>
    </cfRule>
    <cfRule type="expression" dxfId="1432" priority="89">
      <formula>AND($A19="",ABS(Y19)&lt;100)</formula>
    </cfRule>
    <cfRule type="expression" dxfId="1431" priority="90">
      <formula>AND($A19="",ABS(Y19)&gt;=100)</formula>
    </cfRule>
  </conditionalFormatting>
  <conditionalFormatting sqref="Z10:Z13 Z18 Z22:Z10001">
    <cfRule type="expression" dxfId="1430" priority="16">
      <formula>AND($D10&lt;&gt;"",Z$10&lt;&gt;"",Z10="")</formula>
    </cfRule>
    <cfRule type="expression" dxfId="1429" priority="17">
      <formula>AND($A10="",ABS(Z10)=0)</formula>
    </cfRule>
    <cfRule type="expression" dxfId="1428" priority="18">
      <formula>AND($A10="",ABS(Z10)&lt;10)</formula>
    </cfRule>
    <cfRule type="expression" dxfId="1427" priority="19">
      <formula>AND($A10="",ABS(Z10)&lt;100)</formula>
    </cfRule>
    <cfRule type="expression" dxfId="1426" priority="20">
      <formula>AND($A10="",ABS(Z10)&gt;=100)</formula>
    </cfRule>
  </conditionalFormatting>
  <conditionalFormatting sqref="Z21">
    <cfRule type="expression" dxfId="1425" priority="6">
      <formula>AND($D21&lt;&gt;"",#REF!&lt;&gt;"",Z21="")</formula>
    </cfRule>
    <cfRule type="expression" dxfId="1424" priority="7">
      <formula>AND($A21="",ABS(Z21)=0)</formula>
    </cfRule>
    <cfRule type="expression" dxfId="1423" priority="8">
      <formula>AND($A21="",ABS(Z21)&lt;10)</formula>
    </cfRule>
    <cfRule type="expression" dxfId="1422" priority="9">
      <formula>AND($A21="",ABS(Z21)&lt;100)</formula>
    </cfRule>
    <cfRule type="expression" dxfId="1421" priority="10">
      <formula>AND($A21="",ABS(Z21)&gt;=100)</formula>
    </cfRule>
  </conditionalFormatting>
  <conditionalFormatting sqref="Z14:Z17">
    <cfRule type="expression" dxfId="1420" priority="11">
      <formula>AND($D14&lt;&gt;"",#REF!&lt;&gt;"",Z14="")</formula>
    </cfRule>
    <cfRule type="expression" dxfId="1419" priority="12">
      <formula>AND($A14="",ABS(Z14)=0)</formula>
    </cfRule>
    <cfRule type="expression" dxfId="1418" priority="13">
      <formula>AND($A14="",ABS(Z14)&lt;10)</formula>
    </cfRule>
    <cfRule type="expression" dxfId="1417" priority="14">
      <formula>AND($A14="",ABS(Z14)&lt;100)</formula>
    </cfRule>
    <cfRule type="expression" dxfId="1416" priority="15">
      <formula>AND($A14="",ABS(Z14)&gt;=100)</formula>
    </cfRule>
  </conditionalFormatting>
  <conditionalFormatting sqref="Z20">
    <cfRule type="expression" dxfId="1415" priority="21">
      <formula>AND($D19&lt;&gt;"",#REF!&lt;&gt;"",Z20="")</formula>
    </cfRule>
    <cfRule type="expression" dxfId="1414" priority="22">
      <formula>AND($A19="",ABS(Z20)=0)</formula>
    </cfRule>
    <cfRule type="expression" dxfId="1413" priority="23">
      <formula>AND($A19="",ABS(Z20)&lt;10)</formula>
    </cfRule>
    <cfRule type="expression" dxfId="1412" priority="24">
      <formula>AND($A19="",ABS(Z20)&lt;100)</formula>
    </cfRule>
    <cfRule type="expression" dxfId="1411" priority="25">
      <formula>AND($A19="",ABS(Z20)&gt;=100)</formula>
    </cfRule>
  </conditionalFormatting>
  <conditionalFormatting sqref="Z19">
    <cfRule type="expression" dxfId="1410" priority="1">
      <formula>AND($D19&lt;&gt;"",Z$10&lt;&gt;"",Z19="")</formula>
    </cfRule>
    <cfRule type="expression" dxfId="1409" priority="2">
      <formula>AND($A19="",ABS(Z19)=0)</formula>
    </cfRule>
    <cfRule type="expression" dxfId="1408" priority="3">
      <formula>AND($A19="",ABS(Z19)&lt;10)</formula>
    </cfRule>
    <cfRule type="expression" dxfId="1407" priority="4">
      <formula>AND($A19="",ABS(Z19)&lt;100)</formula>
    </cfRule>
    <cfRule type="expression" dxfId="1406" priority="5">
      <formula>AND($A19="",ABS(Z19)&gt;=100)</formula>
    </cfRule>
  </conditionalFormatting>
  <dataValidations count="2">
    <dataValidation type="list" allowBlank="1" showInputMessage="1" showErrorMessage="1" sqref="G2" xr:uid="{00000000-0002-0000-0300-000000000000}">
      <formula1>Sprache</formula1>
    </dataValidation>
    <dataValidation allowBlank="1" showInputMessage="1" showErrorMessage="1" sqref="F2" xr:uid="{F9D5F580-E0C4-4476-A64C-F4200C7F25A8}"/>
  </dataValidations>
  <hyperlinks>
    <hyperlink ref="C7" location="GRI_202_1" display="202-1 – Ratios of standard entry level wage by gender compared to local minimum wage " xr:uid="{00000000-0004-0000-0300-000000000000}"/>
    <hyperlink ref="A10" location="GRI_202" display="Ó" xr:uid="{00000000-0004-0000-0300-000001000000}"/>
    <hyperlink ref="D2" location="Home" display="Home" xr:uid="{00000000-0004-0000-0300-000002000000}"/>
  </hyperlinks>
  <pageMargins left="0.7" right="0.7" top="0.78740157499999996" bottom="0.78740157499999996" header="0.3" footer="0.3"/>
  <pageSetup paperSize="9" orientation="portrait" r:id="rId1"/>
  <ignoredErrors>
    <ignoredError sqref="E16:E17" twoDigitTextYear="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4">
    <tabColor rgb="FF523178"/>
  </sheetPr>
  <dimension ref="A2:CE253"/>
  <sheetViews>
    <sheetView showGridLines="0" showRowColHeaders="0" zoomScaleNormal="100" workbookViewId="0">
      <pane xSplit="7" topLeftCell="P1" activePane="topRight" state="frozen"/>
      <selection activeCell="B3" sqref="B3:C3"/>
      <selection pane="topRight" activeCell="B3" sqref="B3:C3"/>
    </sheetView>
  </sheetViews>
  <sheetFormatPr baseColWidth="10" defaultColWidth="10.85546875" defaultRowHeight="12.95" customHeight="1" x14ac:dyDescent="0.2"/>
  <cols>
    <col min="1" max="1" width="2.42578125" style="66" customWidth="1"/>
    <col min="2" max="2" width="2.42578125" style="1" customWidth="1"/>
    <col min="3" max="3" width="76.42578125" style="1" customWidth="1"/>
    <col min="4" max="4" width="23.5703125" style="1" customWidth="1"/>
    <col min="5" max="5" width="10.42578125" style="9" customWidth="1"/>
    <col min="6" max="6" width="14.140625" style="9" customWidth="1"/>
    <col min="7" max="7" width="2.42578125" style="34" customWidth="1"/>
    <col min="8" max="19" width="11.7109375" style="9" customWidth="1"/>
    <col min="20" max="26" width="11.7109375" style="11" customWidth="1"/>
    <col min="27" max="83" width="11.7109375" style="9" customWidth="1"/>
    <col min="84" max="16384" width="10.85546875" style="1"/>
  </cols>
  <sheetData>
    <row r="2" spans="1:83" s="89" customFormat="1" ht="26.1" customHeight="1" x14ac:dyDescent="0.2">
      <c r="A2" s="63"/>
      <c r="B2" s="406" t="str">
        <f>UPPER(RIGHT(Inhaltsverzeichnis!$C$14,LEN(Inhaltsverzeichnis!$C$14)-FIND(" – ",Inhaltsverzeichnis!$C$14,1)-2))</f>
        <v>IMPACTS ÉCONOMIQUES INDIRECTS</v>
      </c>
      <c r="C2" s="406"/>
      <c r="D2" s="402" t="str">
        <f>VLOOKUP(35,Textbausteine_Menu[],Hilfsgrössen!$D$2,FALSE)</f>
        <v>retour à la table des matières</v>
      </c>
      <c r="E2" s="403"/>
      <c r="F2" s="83" t="s">
        <v>149</v>
      </c>
      <c r="G2" s="96"/>
      <c r="H2" s="67"/>
      <c r="I2" s="67"/>
      <c r="J2" s="67"/>
      <c r="K2" s="67"/>
      <c r="L2" s="67"/>
      <c r="M2" s="67"/>
      <c r="N2" s="67"/>
      <c r="O2" s="67"/>
      <c r="P2" s="67"/>
      <c r="Q2" s="67"/>
      <c r="R2" s="67"/>
      <c r="S2" s="67"/>
      <c r="T2" s="71"/>
      <c r="U2" s="71"/>
      <c r="V2" s="71"/>
      <c r="W2" s="71"/>
      <c r="X2" s="71"/>
      <c r="Y2" s="71"/>
      <c r="Z2" s="71"/>
      <c r="AA2" s="67"/>
      <c r="AB2" s="67"/>
      <c r="AC2" s="67"/>
      <c r="AD2" s="67"/>
      <c r="AE2" s="67"/>
      <c r="AF2" s="67"/>
      <c r="AG2" s="67"/>
      <c r="AH2" s="67"/>
      <c r="AI2" s="67"/>
      <c r="AJ2" s="67"/>
      <c r="AK2" s="67"/>
      <c r="AL2" s="67"/>
      <c r="AM2" s="67"/>
      <c r="AN2" s="67"/>
      <c r="AO2" s="67"/>
      <c r="AP2" s="67"/>
      <c r="AQ2" s="67"/>
      <c r="AR2" s="67"/>
      <c r="AS2" s="67"/>
      <c r="AT2" s="67"/>
      <c r="AU2" s="67"/>
      <c r="AV2" s="67"/>
      <c r="AW2" s="67"/>
      <c r="AX2" s="67"/>
      <c r="AY2" s="67"/>
      <c r="AZ2" s="67"/>
      <c r="BA2" s="67"/>
      <c r="BB2" s="67"/>
      <c r="BC2" s="67"/>
      <c r="BD2" s="67"/>
      <c r="BE2" s="67"/>
      <c r="BF2" s="67"/>
      <c r="BG2" s="67"/>
      <c r="BH2" s="67"/>
      <c r="BI2" s="67"/>
      <c r="BJ2" s="67"/>
      <c r="BK2" s="67"/>
      <c r="BL2" s="67"/>
      <c r="BM2" s="67"/>
      <c r="BN2" s="67"/>
      <c r="BO2" s="67"/>
      <c r="BP2" s="67"/>
      <c r="BQ2" s="67"/>
      <c r="BR2" s="67"/>
      <c r="BS2" s="67"/>
      <c r="BT2" s="67"/>
      <c r="BU2" s="67"/>
      <c r="BV2" s="67"/>
      <c r="BW2" s="67"/>
      <c r="BX2" s="67"/>
      <c r="BY2" s="67"/>
      <c r="BZ2" s="67"/>
      <c r="CA2" s="67"/>
      <c r="CB2" s="67"/>
      <c r="CC2" s="67"/>
      <c r="CD2" s="67"/>
      <c r="CE2" s="67"/>
    </row>
    <row r="3" spans="1:83" s="90" customFormat="1" ht="26.1" customHeight="1" x14ac:dyDescent="0.2">
      <c r="A3" s="64"/>
      <c r="B3" s="407" t="str">
        <f>UPPER("GRI "&amp;LEFT(Inhaltsverzeichnis!$C$14,3))</f>
        <v>GRI 203</v>
      </c>
      <c r="C3" s="407"/>
      <c r="E3" s="27"/>
      <c r="F3" s="27"/>
      <c r="G3" s="32"/>
      <c r="H3" s="27"/>
      <c r="I3" s="27"/>
      <c r="J3" s="27"/>
      <c r="K3" s="27"/>
      <c r="L3" s="27"/>
      <c r="M3" s="27"/>
      <c r="N3" s="27"/>
      <c r="O3" s="27"/>
      <c r="P3" s="27"/>
      <c r="Q3" s="27"/>
      <c r="R3" s="27"/>
      <c r="S3" s="27"/>
      <c r="T3" s="71"/>
      <c r="U3" s="71"/>
      <c r="V3" s="71"/>
      <c r="W3" s="71"/>
      <c r="X3" s="71"/>
      <c r="Y3" s="71"/>
      <c r="Z3" s="71"/>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c r="BA3" s="27"/>
      <c r="BB3" s="27"/>
      <c r="BC3" s="27"/>
      <c r="BD3" s="27"/>
      <c r="BE3" s="27"/>
      <c r="BF3" s="27"/>
      <c r="BG3" s="27"/>
      <c r="BH3" s="27"/>
      <c r="BI3" s="27"/>
      <c r="BJ3" s="27"/>
      <c r="BK3" s="27"/>
      <c r="BL3" s="27"/>
      <c r="BM3" s="27"/>
      <c r="BN3" s="27"/>
      <c r="BO3" s="27"/>
      <c r="BP3" s="27"/>
      <c r="BQ3" s="27"/>
      <c r="BR3" s="27"/>
      <c r="BS3" s="27"/>
      <c r="BT3" s="27"/>
      <c r="BU3" s="27"/>
      <c r="BV3" s="27"/>
      <c r="BW3" s="27"/>
      <c r="BX3" s="27"/>
      <c r="BY3" s="27"/>
      <c r="BZ3" s="27"/>
      <c r="CA3" s="27"/>
      <c r="CB3" s="27"/>
      <c r="CC3" s="27"/>
      <c r="CD3" s="27"/>
      <c r="CE3" s="27"/>
    </row>
    <row r="6" spans="1:83" s="6" customFormat="1" ht="12.95" customHeight="1" x14ac:dyDescent="0.2">
      <c r="A6" s="65"/>
      <c r="B6" s="6" t="str">
        <f>VLOOKUP(31,Textbausteine_Menu[],Hilfsgrössen!$D$2,FALSE)</f>
        <v>Divulgations</v>
      </c>
      <c r="E6" s="28"/>
      <c r="F6" s="28"/>
      <c r="G6" s="33"/>
      <c r="H6" s="28"/>
      <c r="I6" s="28"/>
      <c r="J6" s="28"/>
      <c r="K6" s="28"/>
      <c r="L6" s="28"/>
      <c r="M6" s="28"/>
      <c r="N6" s="28"/>
      <c r="O6" s="28"/>
      <c r="P6" s="28"/>
      <c r="Q6" s="28"/>
      <c r="R6" s="28"/>
      <c r="S6" s="28"/>
      <c r="T6" s="11"/>
      <c r="U6" s="11"/>
      <c r="V6" s="11"/>
      <c r="W6" s="11"/>
      <c r="X6" s="11"/>
      <c r="Y6" s="11"/>
      <c r="Z6" s="11"/>
      <c r="AA6" s="28"/>
      <c r="AB6" s="28"/>
      <c r="AC6" s="28"/>
      <c r="AD6" s="28"/>
      <c r="AE6" s="28"/>
      <c r="AF6" s="28"/>
      <c r="AG6" s="28"/>
      <c r="AH6" s="28"/>
      <c r="AI6" s="28"/>
      <c r="AJ6" s="28"/>
      <c r="AK6" s="28"/>
      <c r="AL6" s="28"/>
      <c r="AM6" s="28"/>
      <c r="AN6" s="28"/>
      <c r="AO6" s="28"/>
      <c r="AP6" s="28"/>
      <c r="AQ6" s="28"/>
      <c r="AR6" s="28"/>
      <c r="AS6" s="28"/>
      <c r="AT6" s="28"/>
      <c r="AU6" s="28"/>
      <c r="AV6" s="28"/>
      <c r="AW6" s="28"/>
      <c r="AX6" s="28"/>
      <c r="AY6" s="28"/>
      <c r="AZ6" s="28"/>
      <c r="BA6" s="28"/>
      <c r="BB6" s="28"/>
      <c r="BC6" s="28"/>
      <c r="BD6" s="28"/>
      <c r="BE6" s="28"/>
      <c r="BF6" s="28"/>
      <c r="BG6" s="28"/>
      <c r="BH6" s="28"/>
      <c r="BI6" s="28"/>
      <c r="BJ6" s="28"/>
      <c r="BK6" s="28"/>
      <c r="BL6" s="28"/>
      <c r="BM6" s="28"/>
      <c r="BN6" s="28"/>
      <c r="BO6" s="28"/>
      <c r="BP6" s="28"/>
      <c r="BQ6" s="28"/>
      <c r="BR6" s="28"/>
      <c r="BS6" s="28"/>
      <c r="BT6" s="28"/>
      <c r="BU6" s="28"/>
      <c r="BV6" s="28"/>
      <c r="BW6" s="28"/>
      <c r="BX6" s="28"/>
      <c r="BY6" s="28"/>
      <c r="BZ6" s="28"/>
      <c r="CA6" s="28"/>
      <c r="CB6" s="28"/>
      <c r="CC6" s="28"/>
      <c r="CD6" s="28"/>
      <c r="CE6" s="28"/>
    </row>
    <row r="7" spans="1:83" ht="12.95" customHeight="1" x14ac:dyDescent="0.2">
      <c r="B7" s="2"/>
      <c r="C7" s="3" t="str">
        <f>VLOOKUP(1,Textbausteine_203[],Hilfsgrössen!$D$2,FALSE)</f>
        <v>Actions de bienfaisance et sponsoring</v>
      </c>
      <c r="D7" s="4"/>
    </row>
    <row r="8" spans="1:83" ht="12.95" customHeight="1" x14ac:dyDescent="0.2">
      <c r="B8" s="2"/>
      <c r="C8" s="3" t="str">
        <f>VLOOKUP(2,Textbausteine_203[],Hilfsgrössen!$D$2,FALSE)</f>
        <v>Points d'accès</v>
      </c>
      <c r="D8" s="4"/>
    </row>
    <row r="9" spans="1:83" ht="12.95" customHeight="1" x14ac:dyDescent="0.2">
      <c r="B9" s="2"/>
      <c r="C9" s="3" t="str">
        <f>VLOOKUP(3,Textbausteine_203[],Hilfsgrössen!$D$2,FALSE)</f>
        <v>Emplois dans les régions</v>
      </c>
      <c r="D9" s="4"/>
    </row>
    <row r="10" spans="1:83" ht="12.95" customHeight="1" x14ac:dyDescent="0.2">
      <c r="B10" s="2"/>
      <c r="C10" s="3" t="str">
        <f>VLOOKUP(4,Textbausteine_203[],Hilfsgrössen!$D$2,FALSE)</f>
        <v>Comparaison des prix des services postaux</v>
      </c>
      <c r="D10" s="4"/>
    </row>
    <row r="11" spans="1:83" ht="12.95" customHeight="1" x14ac:dyDescent="0.2">
      <c r="B11" s="2"/>
      <c r="C11" s="3" t="str">
        <f>VLOOKUP(5,Textbausteine_203[],Hilfsgrössen!$D$2,FALSE)</f>
        <v>Délais d'acheminement des services postaux</v>
      </c>
      <c r="D11" s="4"/>
    </row>
    <row r="12" spans="1:83" ht="12.95" customHeight="1" x14ac:dyDescent="0.2">
      <c r="B12" s="2"/>
      <c r="C12" s="3" t="str">
        <f>VLOOKUP(6,Textbausteine_203[],Hilfsgrössen!$D$2,FALSE)</f>
        <v>Temps d'attente dans les filiales</v>
      </c>
      <c r="D12" s="4"/>
    </row>
    <row r="13" spans="1:83" ht="12.95" customHeight="1" x14ac:dyDescent="0.2">
      <c r="B13" s="2"/>
      <c r="C13" s="3" t="str">
        <f>VLOOKUP(7,Textbausteine_203[],Hilfsgrössen!$D$2,FALSE)</f>
        <v>Délais de traitement des services financiers</v>
      </c>
      <c r="D13" s="4"/>
    </row>
    <row r="14" spans="1:83" ht="12.95" customHeight="1" x14ac:dyDescent="0.2">
      <c r="B14" s="2"/>
    </row>
    <row r="15" spans="1:83" ht="12.95" customHeight="1" x14ac:dyDescent="0.2">
      <c r="B15" s="2"/>
    </row>
    <row r="16" spans="1:83" s="6" customFormat="1" ht="12.95" customHeight="1" x14ac:dyDescent="0.2">
      <c r="A16" s="39" t="s">
        <v>27</v>
      </c>
      <c r="B16" s="401" t="str">
        <f>$C$7</f>
        <v>Actions de bienfaisance et sponsoring</v>
      </c>
      <c r="C16" s="401"/>
      <c r="D16" s="6" t="str">
        <f>VLOOKUP(32,Textbausteine_Menu[],Hilfsgrössen!$D$2,FALSE)</f>
        <v>Unité</v>
      </c>
      <c r="E16" s="28" t="str">
        <f>VLOOKUP(33,Textbausteine_Menu[],Hilfsgrössen!$D$2,FALSE)</f>
        <v>Notes</v>
      </c>
      <c r="F16" s="28" t="str">
        <f>VLOOKUP(34,Textbausteine_Menu[],Hilfsgrössen!$D$2,FALSE)</f>
        <v>GRI</v>
      </c>
      <c r="G16" s="34"/>
      <c r="H16" s="7">
        <v>2004</v>
      </c>
      <c r="I16" s="7">
        <v>2005</v>
      </c>
      <c r="J16" s="7">
        <v>2006</v>
      </c>
      <c r="K16" s="7">
        <v>2007</v>
      </c>
      <c r="L16" s="7">
        <v>2008</v>
      </c>
      <c r="M16" s="7">
        <v>2009</v>
      </c>
      <c r="N16" s="7">
        <v>2010</v>
      </c>
      <c r="O16" s="7">
        <v>2011</v>
      </c>
      <c r="P16" s="7">
        <v>2012</v>
      </c>
      <c r="Q16" s="7">
        <v>2013</v>
      </c>
      <c r="R16" s="7">
        <v>2014</v>
      </c>
      <c r="S16" s="7">
        <v>2015</v>
      </c>
      <c r="T16" s="7">
        <v>2016</v>
      </c>
      <c r="U16" s="7">
        <v>2017</v>
      </c>
      <c r="V16" s="7">
        <v>2018</v>
      </c>
      <c r="W16" s="7">
        <v>2019</v>
      </c>
      <c r="X16" s="7">
        <v>2020</v>
      </c>
      <c r="Y16" s="7">
        <v>2021</v>
      </c>
      <c r="Z16" s="7">
        <v>2022</v>
      </c>
      <c r="AA16" s="375"/>
      <c r="AB16" s="28"/>
      <c r="AC16" s="28"/>
      <c r="AD16" s="28"/>
      <c r="AE16" s="28"/>
      <c r="AF16" s="28"/>
      <c r="AG16" s="28"/>
      <c r="AH16" s="28"/>
      <c r="AI16" s="28"/>
      <c r="AJ16" s="28"/>
      <c r="AK16" s="28"/>
      <c r="AL16" s="28"/>
      <c r="AM16" s="28"/>
      <c r="AN16" s="28"/>
      <c r="AO16" s="28"/>
      <c r="AP16" s="28"/>
      <c r="AQ16" s="28"/>
      <c r="AR16" s="28"/>
      <c r="AS16" s="28"/>
      <c r="AT16" s="28"/>
      <c r="AU16" s="28"/>
      <c r="AV16" s="28"/>
      <c r="AW16" s="28"/>
      <c r="AX16" s="28"/>
      <c r="AY16" s="28"/>
      <c r="AZ16" s="28"/>
      <c r="BA16" s="28"/>
      <c r="BB16" s="28"/>
      <c r="BC16" s="28"/>
      <c r="BD16" s="28"/>
      <c r="BE16" s="28"/>
      <c r="BF16" s="28"/>
      <c r="BG16" s="28"/>
      <c r="BH16" s="28"/>
      <c r="BI16" s="28"/>
      <c r="BJ16" s="28"/>
      <c r="BK16" s="28"/>
      <c r="BL16" s="28"/>
      <c r="BM16" s="28"/>
      <c r="BN16" s="28"/>
      <c r="BO16" s="28"/>
      <c r="BP16" s="28"/>
      <c r="BQ16" s="28"/>
      <c r="BR16" s="28"/>
      <c r="BS16" s="28"/>
      <c r="BT16" s="28"/>
      <c r="BU16" s="28"/>
      <c r="BV16" s="28"/>
      <c r="BW16" s="28"/>
      <c r="BX16" s="28"/>
      <c r="BY16" s="28"/>
      <c r="BZ16" s="28"/>
      <c r="CA16" s="28"/>
      <c r="CB16" s="28"/>
      <c r="CC16" s="28"/>
      <c r="CD16" s="28"/>
      <c r="CE16" s="28"/>
    </row>
    <row r="17" spans="1:83" s="6" customFormat="1" ht="12.95" customHeight="1" x14ac:dyDescent="0.2">
      <c r="A17" s="65"/>
      <c r="B17" s="401"/>
      <c r="C17" s="401"/>
      <c r="E17" s="28"/>
      <c r="F17" s="28"/>
      <c r="G17" s="34"/>
      <c r="H17" s="7"/>
      <c r="I17" s="7"/>
      <c r="J17" s="7"/>
      <c r="K17" s="7"/>
      <c r="L17" s="68"/>
      <c r="M17" s="68"/>
      <c r="N17" s="9"/>
      <c r="O17" s="9"/>
      <c r="P17" s="9"/>
      <c r="Q17" s="9"/>
      <c r="R17" s="9"/>
      <c r="S17" s="9"/>
      <c r="T17" s="11"/>
      <c r="U17" s="11"/>
      <c r="V17" s="11"/>
      <c r="W17" s="11"/>
      <c r="X17" s="11"/>
      <c r="Y17" s="11"/>
      <c r="Z17" s="11"/>
      <c r="AA17" s="328"/>
      <c r="AB17" s="9"/>
      <c r="AC17" s="9"/>
      <c r="AD17" s="9"/>
      <c r="AE17" s="9"/>
      <c r="AF17" s="9"/>
      <c r="AG17" s="9"/>
      <c r="AH17" s="9"/>
      <c r="AI17" s="9"/>
      <c r="AJ17" s="9"/>
      <c r="AK17" s="9"/>
      <c r="AL17" s="9"/>
      <c r="AM17" s="9"/>
      <c r="AN17" s="9"/>
      <c r="AO17" s="9"/>
      <c r="AP17" s="9"/>
      <c r="AQ17" s="9"/>
      <c r="AR17" s="9"/>
      <c r="AS17" s="9"/>
      <c r="AT17" s="9"/>
      <c r="AU17" s="9"/>
      <c r="AV17" s="9"/>
      <c r="AW17" s="9"/>
      <c r="AX17" s="9"/>
      <c r="AY17" s="9"/>
      <c r="AZ17" s="9"/>
      <c r="BA17" s="9"/>
      <c r="BB17" s="9"/>
      <c r="BC17" s="9"/>
      <c r="BD17" s="9"/>
      <c r="BE17" s="9"/>
      <c r="BF17" s="9"/>
      <c r="BG17" s="9"/>
      <c r="BH17" s="9"/>
      <c r="BI17" s="9"/>
      <c r="BJ17" s="9"/>
      <c r="BK17" s="9"/>
      <c r="BL17" s="9"/>
      <c r="BM17" s="9"/>
      <c r="BN17" s="9"/>
      <c r="BO17" s="9"/>
      <c r="BP17" s="9"/>
      <c r="BQ17" s="9"/>
      <c r="BR17" s="9"/>
      <c r="BS17" s="9"/>
      <c r="BT17" s="9"/>
      <c r="BU17" s="9"/>
      <c r="BV17" s="9"/>
      <c r="BW17" s="9"/>
      <c r="BX17" s="9"/>
      <c r="BY17" s="9"/>
      <c r="BZ17" s="9"/>
      <c r="CA17" s="9"/>
      <c r="CB17" s="9"/>
      <c r="CC17" s="9"/>
      <c r="CD17" s="9"/>
      <c r="CE17" s="9"/>
    </row>
    <row r="18" spans="1:83" ht="12.95" customHeight="1" x14ac:dyDescent="0.2">
      <c r="B18" s="2"/>
      <c r="E18" s="28"/>
      <c r="F18" s="28"/>
      <c r="G18" s="33"/>
      <c r="H18" s="7"/>
      <c r="I18" s="7"/>
      <c r="J18" s="7"/>
      <c r="K18" s="7"/>
      <c r="L18" s="68"/>
      <c r="M18" s="68"/>
      <c r="AA18" s="328"/>
    </row>
    <row r="19" spans="1:83" ht="12.95" customHeight="1" x14ac:dyDescent="0.2">
      <c r="B19" s="2" t="str">
        <f>VLOOKUP(36,Textbausteine_Menu[],Hilfsgrössen!$D$2,FALSE)</f>
        <v>Groupe</v>
      </c>
      <c r="C19" s="2"/>
      <c r="E19" s="10"/>
      <c r="G19" s="33"/>
      <c r="AA19" s="328"/>
    </row>
    <row r="20" spans="1:83" ht="12.95" customHeight="1" x14ac:dyDescent="0.2">
      <c r="C20" s="16" t="str">
        <f>VLOOKUP(31,Textbausteine_203[],Hilfsgrössen!$D$2,FALSE)</f>
        <v>Contributions</v>
      </c>
      <c r="D20" s="1" t="str">
        <f>VLOOKUP(11,Textbausteine_203[],Hilfsgrössen!$D$2,FALSE)</f>
        <v>Millions de CHF</v>
      </c>
      <c r="F20" s="9" t="s">
        <v>108</v>
      </c>
      <c r="H20" s="192">
        <v>16.690000000000001</v>
      </c>
      <c r="I20" s="192">
        <v>17.849999999999998</v>
      </c>
      <c r="J20" s="192">
        <v>16.68</v>
      </c>
      <c r="K20" s="192">
        <v>17.830000000000002</v>
      </c>
      <c r="L20" s="203">
        <v>20.14</v>
      </c>
      <c r="M20" s="203">
        <v>20.7</v>
      </c>
      <c r="N20" s="203">
        <v>19</v>
      </c>
      <c r="O20" s="203">
        <v>20.700000000000003</v>
      </c>
      <c r="P20" s="192">
        <v>20.100000000000001</v>
      </c>
      <c r="Q20" s="192">
        <v>20.5</v>
      </c>
      <c r="R20" s="201">
        <v>19.7</v>
      </c>
      <c r="S20" s="201">
        <v>19.8</v>
      </c>
      <c r="T20" s="203">
        <v>19.7</v>
      </c>
      <c r="U20" s="203">
        <v>16.748999999999999</v>
      </c>
      <c r="V20" s="203">
        <v>12.9</v>
      </c>
      <c r="W20" s="203">
        <v>12.9</v>
      </c>
      <c r="X20" s="270">
        <v>11.6</v>
      </c>
      <c r="Y20" s="268">
        <f>SUM(Y21:Y26)</f>
        <v>12.3</v>
      </c>
      <c r="Z20" s="268">
        <v>12.400000000000002</v>
      </c>
      <c r="AA20" s="328"/>
    </row>
    <row r="21" spans="1:83" ht="12.95" customHeight="1" x14ac:dyDescent="0.2">
      <c r="C21" s="13" t="str">
        <f>VLOOKUP(32,Textbausteine_203[],Hilfsgrössen!$D$2,FALSE)</f>
        <v>Sponsoring économique</v>
      </c>
      <c r="D21" s="1" t="str">
        <f>VLOOKUP(11,Textbausteine_203[],Hilfsgrössen!$D$2,FALSE)</f>
        <v>Millions de CHF</v>
      </c>
      <c r="E21" s="9">
        <v>1</v>
      </c>
      <c r="F21" s="9" t="s">
        <v>108</v>
      </c>
      <c r="H21" s="202" t="s">
        <v>29</v>
      </c>
      <c r="I21" s="202" t="s">
        <v>29</v>
      </c>
      <c r="J21" s="202" t="s">
        <v>29</v>
      </c>
      <c r="K21" s="202" t="s">
        <v>29</v>
      </c>
      <c r="L21" s="199" t="s">
        <v>29</v>
      </c>
      <c r="M21" s="199" t="s">
        <v>29</v>
      </c>
      <c r="N21" s="199" t="s">
        <v>29</v>
      </c>
      <c r="O21" s="199" t="s">
        <v>29</v>
      </c>
      <c r="P21" s="202" t="s">
        <v>29</v>
      </c>
      <c r="Q21" s="202" t="s">
        <v>29</v>
      </c>
      <c r="R21" s="219" t="s">
        <v>29</v>
      </c>
      <c r="S21" s="201">
        <v>1</v>
      </c>
      <c r="T21" s="203">
        <v>1.5</v>
      </c>
      <c r="U21" s="203">
        <v>1.6869999999999998</v>
      </c>
      <c r="V21" s="203">
        <v>1.1000000000000001</v>
      </c>
      <c r="W21" s="203">
        <v>0.9</v>
      </c>
      <c r="X21" s="270">
        <v>0.6</v>
      </c>
      <c r="Y21" s="270">
        <v>0.6</v>
      </c>
      <c r="Z21" s="270">
        <v>0.5</v>
      </c>
      <c r="AA21" s="328"/>
    </row>
    <row r="22" spans="1:83" ht="12.95" customHeight="1" x14ac:dyDescent="0.2">
      <c r="C22" s="13" t="str">
        <f>VLOOKUP(33,Textbausteine_203[],Hilfsgrössen!$D$2,FALSE)</f>
        <v>Sponsoring sportif</v>
      </c>
      <c r="D22" s="1" t="str">
        <f>VLOOKUP(11,Textbausteine_203[],Hilfsgrössen!$D$2,FALSE)</f>
        <v>Millions de CHF</v>
      </c>
      <c r="F22" s="9" t="s">
        <v>108</v>
      </c>
      <c r="H22" s="203">
        <v>8.1300000000000008</v>
      </c>
      <c r="I22" s="203">
        <v>9.6</v>
      </c>
      <c r="J22" s="203">
        <v>9.65</v>
      </c>
      <c r="K22" s="203">
        <v>9.75</v>
      </c>
      <c r="L22" s="203">
        <v>12.65</v>
      </c>
      <c r="M22" s="203">
        <v>11.7</v>
      </c>
      <c r="N22" s="203">
        <v>11.8</v>
      </c>
      <c r="O22" s="203">
        <v>11.8</v>
      </c>
      <c r="P22" s="192">
        <v>11.9</v>
      </c>
      <c r="Q22" s="192">
        <v>10.3</v>
      </c>
      <c r="R22" s="201">
        <v>10.7</v>
      </c>
      <c r="S22" s="201">
        <v>9.9</v>
      </c>
      <c r="T22" s="218">
        <v>10.3</v>
      </c>
      <c r="U22" s="218">
        <v>9.7159999999999993</v>
      </c>
      <c r="V22" s="218">
        <v>9.5</v>
      </c>
      <c r="W22" s="218">
        <v>9.6</v>
      </c>
      <c r="X22" s="270">
        <v>8.3000000000000007</v>
      </c>
      <c r="Y22" s="270">
        <v>8.8000000000000007</v>
      </c>
      <c r="Z22" s="270">
        <v>7.4</v>
      </c>
      <c r="AA22" s="328"/>
    </row>
    <row r="23" spans="1:83" ht="12.95" customHeight="1" x14ac:dyDescent="0.2">
      <c r="C23" s="13" t="str">
        <f>VLOOKUP(34,Textbausteine_203[],Hilfsgrössen!$D$2,FALSE)</f>
        <v>Sponsoring culturel</v>
      </c>
      <c r="D23" s="1" t="str">
        <f>VLOOKUP(11,Textbausteine_203[],Hilfsgrössen!$D$2,FALSE)</f>
        <v>Millions de CHF</v>
      </c>
      <c r="F23" s="9" t="s">
        <v>108</v>
      </c>
      <c r="H23" s="192">
        <v>4.91</v>
      </c>
      <c r="I23" s="192">
        <v>5.14</v>
      </c>
      <c r="J23" s="192">
        <v>3.63</v>
      </c>
      <c r="K23" s="192">
        <v>4.6500000000000004</v>
      </c>
      <c r="L23" s="203">
        <v>4.2699999999999996</v>
      </c>
      <c r="M23" s="203">
        <v>4</v>
      </c>
      <c r="N23" s="203">
        <v>2.6</v>
      </c>
      <c r="O23" s="203">
        <v>2.5</v>
      </c>
      <c r="P23" s="192">
        <v>2.2999999999999998</v>
      </c>
      <c r="Q23" s="192">
        <v>5.0999999999999996</v>
      </c>
      <c r="R23" s="201">
        <v>4.4000000000000004</v>
      </c>
      <c r="S23" s="201">
        <v>3.9</v>
      </c>
      <c r="T23" s="218">
        <v>3.4</v>
      </c>
      <c r="U23" s="218">
        <v>2.96</v>
      </c>
      <c r="V23" s="218">
        <v>0</v>
      </c>
      <c r="W23" s="218">
        <v>0</v>
      </c>
      <c r="X23" s="270">
        <v>0</v>
      </c>
      <c r="Y23" s="270">
        <v>0.1</v>
      </c>
      <c r="Z23" s="270">
        <v>1.4</v>
      </c>
      <c r="AA23" s="328"/>
    </row>
    <row r="24" spans="1:83" ht="12.95" customHeight="1" x14ac:dyDescent="0.2">
      <c r="C24" s="17" t="str">
        <f>VLOOKUP(35,Textbausteine_203[],Hilfsgrössen!$D$2,FALSE)</f>
        <v>Engagements sociaux / cadeaux / dons</v>
      </c>
      <c r="D24" s="1" t="str">
        <f>VLOOKUP(11,Textbausteine_203[],Hilfsgrössen!$D$2,FALSE)</f>
        <v>Millions de CHF</v>
      </c>
      <c r="F24" s="9" t="s">
        <v>108</v>
      </c>
      <c r="H24" s="192">
        <v>3.65</v>
      </c>
      <c r="I24" s="192">
        <v>3.11</v>
      </c>
      <c r="J24" s="192">
        <v>3.4</v>
      </c>
      <c r="K24" s="192">
        <v>3.43</v>
      </c>
      <c r="L24" s="203">
        <v>3.22</v>
      </c>
      <c r="M24" s="203">
        <v>5</v>
      </c>
      <c r="N24" s="203">
        <v>4.5999999999999996</v>
      </c>
      <c r="O24" s="203">
        <v>6.4</v>
      </c>
      <c r="P24" s="199">
        <v>5.9</v>
      </c>
      <c r="Q24" s="192">
        <v>5.0999999999999996</v>
      </c>
      <c r="R24" s="201">
        <v>4.5999999999999996</v>
      </c>
      <c r="S24" s="201">
        <v>5</v>
      </c>
      <c r="T24" s="203">
        <v>4.5</v>
      </c>
      <c r="U24" s="203">
        <v>0.7</v>
      </c>
      <c r="V24" s="203">
        <v>0.6</v>
      </c>
      <c r="W24" s="203">
        <v>0.7</v>
      </c>
      <c r="X24" s="270">
        <v>0.7</v>
      </c>
      <c r="Y24" s="270">
        <v>0.8</v>
      </c>
      <c r="Z24" s="270">
        <v>0.8</v>
      </c>
      <c r="AA24" s="328"/>
    </row>
    <row r="25" spans="1:83" ht="12.95" customHeight="1" x14ac:dyDescent="0.2">
      <c r="C25" s="13" t="str">
        <f>VLOOKUP(36,Textbausteine_203[],Hilfsgrössen!$D$2,FALSE)</f>
        <v>Dons à des partis politiques</v>
      </c>
      <c r="D25" s="1" t="str">
        <f>VLOOKUP(11,Textbausteine_203[],Hilfsgrössen!$D$2,FALSE)</f>
        <v>Millions de CHF</v>
      </c>
      <c r="F25" s="9" t="s">
        <v>109</v>
      </c>
      <c r="H25" s="192">
        <v>0</v>
      </c>
      <c r="I25" s="192">
        <v>0</v>
      </c>
      <c r="J25" s="192">
        <v>0</v>
      </c>
      <c r="K25" s="192">
        <v>0</v>
      </c>
      <c r="L25" s="203">
        <v>0</v>
      </c>
      <c r="M25" s="203">
        <v>0</v>
      </c>
      <c r="N25" s="203">
        <v>0</v>
      </c>
      <c r="O25" s="203">
        <v>0</v>
      </c>
      <c r="P25" s="192">
        <v>0</v>
      </c>
      <c r="Q25" s="192">
        <v>0</v>
      </c>
      <c r="R25" s="201">
        <v>0</v>
      </c>
      <c r="S25" s="201">
        <v>0</v>
      </c>
      <c r="T25" s="192">
        <v>0</v>
      </c>
      <c r="U25" s="192">
        <v>0</v>
      </c>
      <c r="V25" s="192">
        <v>0</v>
      </c>
      <c r="W25" s="192">
        <v>0</v>
      </c>
      <c r="X25" s="192">
        <v>0</v>
      </c>
      <c r="Y25" s="270">
        <v>0</v>
      </c>
      <c r="Z25" s="270">
        <v>0</v>
      </c>
      <c r="AA25" s="328"/>
    </row>
    <row r="26" spans="1:83" ht="12.95" customHeight="1" x14ac:dyDescent="0.2">
      <c r="C26" s="13" t="str">
        <f>VLOOKUP(37,Textbausteine_203[],Hilfsgrössen!$D$2,FALSE)</f>
        <v>Engagements pour la Suisse</v>
      </c>
      <c r="D26" s="1" t="str">
        <f>VLOOKUP(11,Textbausteine_203[],Hilfsgrössen!$D$2,FALSE)</f>
        <v>Millions de CHF</v>
      </c>
      <c r="H26" s="202" t="s">
        <v>29</v>
      </c>
      <c r="I26" s="202" t="s">
        <v>29</v>
      </c>
      <c r="J26" s="202" t="s">
        <v>29</v>
      </c>
      <c r="K26" s="202" t="s">
        <v>29</v>
      </c>
      <c r="L26" s="199" t="s">
        <v>29</v>
      </c>
      <c r="M26" s="199" t="s">
        <v>29</v>
      </c>
      <c r="N26" s="199" t="s">
        <v>29</v>
      </c>
      <c r="O26" s="199" t="s">
        <v>29</v>
      </c>
      <c r="P26" s="202" t="s">
        <v>29</v>
      </c>
      <c r="Q26" s="202" t="s">
        <v>29</v>
      </c>
      <c r="R26" s="219" t="s">
        <v>29</v>
      </c>
      <c r="S26" s="219" t="s">
        <v>29</v>
      </c>
      <c r="T26" s="202" t="s">
        <v>29</v>
      </c>
      <c r="U26" s="202">
        <v>1.6859999999999999</v>
      </c>
      <c r="V26" s="202">
        <v>1.7</v>
      </c>
      <c r="W26" s="202">
        <v>1.7</v>
      </c>
      <c r="X26" s="252">
        <v>2</v>
      </c>
      <c r="Y26" s="252">
        <v>2</v>
      </c>
      <c r="Z26" s="252">
        <v>2.2999999999999998</v>
      </c>
      <c r="AA26" s="328"/>
    </row>
    <row r="27" spans="1:83" ht="12.95" customHeight="1" x14ac:dyDescent="0.2">
      <c r="C27" s="13"/>
      <c r="L27" s="11"/>
      <c r="M27" s="11"/>
      <c r="N27" s="11"/>
      <c r="O27" s="11"/>
      <c r="S27" s="91"/>
      <c r="T27" s="9"/>
      <c r="U27" s="9"/>
      <c r="V27" s="9"/>
      <c r="W27" s="9"/>
      <c r="X27" s="9"/>
      <c r="Y27" s="268"/>
      <c r="Z27" s="268"/>
      <c r="AA27" s="328"/>
    </row>
    <row r="28" spans="1:83" ht="12.95" customHeight="1" x14ac:dyDescent="0.2">
      <c r="C28" s="16" t="str">
        <f>VLOOKUP(31,Textbausteine_203[],Hilfsgrössen!$D$2,FALSE)</f>
        <v>Contributions</v>
      </c>
      <c r="D28" s="1" t="str">
        <f>VLOOKUP(12,Textbausteine_203[],Hilfsgrössen!$D$2,FALSE)</f>
        <v>%</v>
      </c>
      <c r="F28" s="9" t="s">
        <v>108</v>
      </c>
      <c r="H28" s="9">
        <f t="shared" ref="H28:T28" si="0">IFERROR(H20/H$20*100,"'—")</f>
        <v>100</v>
      </c>
      <c r="I28" s="9">
        <f t="shared" si="0"/>
        <v>100</v>
      </c>
      <c r="J28" s="9">
        <f t="shared" si="0"/>
        <v>100</v>
      </c>
      <c r="K28" s="9">
        <f t="shared" si="0"/>
        <v>100</v>
      </c>
      <c r="L28" s="9">
        <f t="shared" si="0"/>
        <v>100</v>
      </c>
      <c r="M28" s="9">
        <f t="shared" si="0"/>
        <v>100</v>
      </c>
      <c r="N28" s="9">
        <f t="shared" si="0"/>
        <v>100</v>
      </c>
      <c r="O28" s="9">
        <f t="shared" si="0"/>
        <v>100</v>
      </c>
      <c r="P28" s="9">
        <f t="shared" si="0"/>
        <v>100</v>
      </c>
      <c r="Q28" s="9">
        <f t="shared" si="0"/>
        <v>100</v>
      </c>
      <c r="R28" s="9">
        <f t="shared" si="0"/>
        <v>100</v>
      </c>
      <c r="S28" s="9">
        <f t="shared" si="0"/>
        <v>100</v>
      </c>
      <c r="T28" s="9">
        <f t="shared" si="0"/>
        <v>100</v>
      </c>
      <c r="U28" s="9">
        <v>100</v>
      </c>
      <c r="V28" s="9">
        <v>100</v>
      </c>
      <c r="W28" s="9">
        <v>100</v>
      </c>
      <c r="X28" s="9">
        <v>100</v>
      </c>
      <c r="Y28" s="268">
        <v>100</v>
      </c>
      <c r="Z28" s="268">
        <v>100</v>
      </c>
      <c r="AA28" s="328"/>
    </row>
    <row r="29" spans="1:83" ht="12.95" customHeight="1" x14ac:dyDescent="0.2">
      <c r="C29" s="13" t="str">
        <f>VLOOKUP(32,Textbausteine_203[],Hilfsgrössen!$D$2,FALSE)</f>
        <v>Sponsoring économique</v>
      </c>
      <c r="D29" s="1" t="str">
        <f>VLOOKUP(12,Textbausteine_203[],Hilfsgrössen!$D$2,FALSE)</f>
        <v>%</v>
      </c>
      <c r="E29" s="9">
        <v>1</v>
      </c>
      <c r="F29" s="9" t="s">
        <v>108</v>
      </c>
      <c r="H29" s="268" t="str">
        <f t="shared" ref="H29:R29" si="1">IFERROR(H21/H$20*100,"—")</f>
        <v>—</v>
      </c>
      <c r="I29" s="268" t="str">
        <f t="shared" si="1"/>
        <v>—</v>
      </c>
      <c r="J29" s="268" t="str">
        <f t="shared" si="1"/>
        <v>—</v>
      </c>
      <c r="K29" s="268" t="str">
        <f t="shared" si="1"/>
        <v>—</v>
      </c>
      <c r="L29" s="268" t="str">
        <f t="shared" si="1"/>
        <v>—</v>
      </c>
      <c r="M29" s="268" t="str">
        <f t="shared" si="1"/>
        <v>—</v>
      </c>
      <c r="N29" s="268" t="str">
        <f t="shared" si="1"/>
        <v>—</v>
      </c>
      <c r="O29" s="268" t="str">
        <f t="shared" si="1"/>
        <v>—</v>
      </c>
      <c r="P29" s="268" t="str">
        <f t="shared" si="1"/>
        <v>—</v>
      </c>
      <c r="Q29" s="268" t="str">
        <f t="shared" si="1"/>
        <v>—</v>
      </c>
      <c r="R29" s="268" t="str">
        <f t="shared" si="1"/>
        <v>—</v>
      </c>
      <c r="S29" s="268">
        <f t="shared" ref="S29:T33" si="2">IFERROR(S21/S$20*100,"'—")</f>
        <v>5.0505050505050502</v>
      </c>
      <c r="T29" s="268">
        <f t="shared" si="2"/>
        <v>7.6142131979695442</v>
      </c>
      <c r="U29" s="268">
        <v>10.072243118992178</v>
      </c>
      <c r="V29" s="268">
        <v>8.6999999999999993</v>
      </c>
      <c r="W29" s="268">
        <v>7</v>
      </c>
      <c r="X29" s="270">
        <v>5.4</v>
      </c>
      <c r="Y29" s="270">
        <v>4.9000000000000004</v>
      </c>
      <c r="Z29" s="270">
        <v>4.0322580645161281</v>
      </c>
      <c r="AA29" s="328"/>
    </row>
    <row r="30" spans="1:83" ht="12.95" customHeight="1" x14ac:dyDescent="0.2">
      <c r="C30" s="13" t="str">
        <f>VLOOKUP(33,Textbausteine_203[],Hilfsgrössen!$D$2,FALSE)</f>
        <v>Sponsoring sportif</v>
      </c>
      <c r="D30" s="1" t="str">
        <f>VLOOKUP(12,Textbausteine_203[],Hilfsgrössen!$D$2,FALSE)</f>
        <v>%</v>
      </c>
      <c r="F30" s="9" t="s">
        <v>108</v>
      </c>
      <c r="H30" s="268">
        <f t="shared" ref="H30:R30" si="3">IFERROR(H22/H$20*100,"'—")</f>
        <v>48.711803475134815</v>
      </c>
      <c r="I30" s="268">
        <f t="shared" si="3"/>
        <v>53.781512605042025</v>
      </c>
      <c r="J30" s="268">
        <f t="shared" si="3"/>
        <v>57.853717026378902</v>
      </c>
      <c r="K30" s="268">
        <f t="shared" si="3"/>
        <v>54.6831183398766</v>
      </c>
      <c r="L30" s="268">
        <f t="shared" si="3"/>
        <v>62.810327706057599</v>
      </c>
      <c r="M30" s="268">
        <f t="shared" si="3"/>
        <v>56.521739130434781</v>
      </c>
      <c r="N30" s="268">
        <f t="shared" si="3"/>
        <v>62.10526315789474</v>
      </c>
      <c r="O30" s="268">
        <f t="shared" si="3"/>
        <v>57.004830917874393</v>
      </c>
      <c r="P30" s="268">
        <f t="shared" si="3"/>
        <v>59.203980099502488</v>
      </c>
      <c r="Q30" s="268">
        <f t="shared" si="3"/>
        <v>50.243902439024389</v>
      </c>
      <c r="R30" s="268">
        <f t="shared" si="3"/>
        <v>54.314720812182735</v>
      </c>
      <c r="S30" s="268">
        <f t="shared" si="2"/>
        <v>50</v>
      </c>
      <c r="T30" s="268">
        <f t="shared" si="2"/>
        <v>52.284263959390863</v>
      </c>
      <c r="U30" s="268">
        <v>58.009433399008898</v>
      </c>
      <c r="V30" s="268">
        <v>73.2</v>
      </c>
      <c r="W30" s="268">
        <v>74.400000000000006</v>
      </c>
      <c r="X30" s="270">
        <v>71.400000000000006</v>
      </c>
      <c r="Y30" s="268">
        <v>71.5</v>
      </c>
      <c r="Z30" s="268">
        <v>59.677419354838698</v>
      </c>
      <c r="AA30" s="328"/>
    </row>
    <row r="31" spans="1:83" ht="12.95" customHeight="1" x14ac:dyDescent="0.2">
      <c r="C31" s="13" t="str">
        <f>VLOOKUP(34,Textbausteine_203[],Hilfsgrössen!$D$2,FALSE)</f>
        <v>Sponsoring culturel</v>
      </c>
      <c r="D31" s="1" t="str">
        <f>VLOOKUP(12,Textbausteine_203[],Hilfsgrössen!$D$2,FALSE)</f>
        <v>%</v>
      </c>
      <c r="F31" s="9" t="s">
        <v>108</v>
      </c>
      <c r="H31" s="268">
        <f t="shared" ref="H31:R31" si="4">IFERROR(H23/H$20*100,"'—")</f>
        <v>29.418813660874775</v>
      </c>
      <c r="I31" s="268">
        <f t="shared" si="4"/>
        <v>28.795518207282917</v>
      </c>
      <c r="J31" s="268">
        <f t="shared" si="4"/>
        <v>21.762589928057555</v>
      </c>
      <c r="K31" s="268">
        <f t="shared" si="4"/>
        <v>26.079641054402693</v>
      </c>
      <c r="L31" s="268">
        <f t="shared" si="4"/>
        <v>21.201588877855013</v>
      </c>
      <c r="M31" s="268">
        <f t="shared" si="4"/>
        <v>19.323671497584542</v>
      </c>
      <c r="N31" s="268">
        <f t="shared" si="4"/>
        <v>13.684210526315791</v>
      </c>
      <c r="O31" s="268">
        <f t="shared" si="4"/>
        <v>12.077294685990337</v>
      </c>
      <c r="P31" s="268">
        <f t="shared" si="4"/>
        <v>11.442786069651739</v>
      </c>
      <c r="Q31" s="268">
        <f t="shared" si="4"/>
        <v>24.878048780487802</v>
      </c>
      <c r="R31" s="268">
        <f t="shared" si="4"/>
        <v>22.335025380710665</v>
      </c>
      <c r="S31" s="268">
        <f t="shared" si="2"/>
        <v>19.696969696969695</v>
      </c>
      <c r="T31" s="268">
        <f t="shared" si="2"/>
        <v>17.258883248730964</v>
      </c>
      <c r="U31" s="268">
        <v>17.672696877425519</v>
      </c>
      <c r="V31" s="268">
        <v>0</v>
      </c>
      <c r="W31" s="268">
        <v>0</v>
      </c>
      <c r="X31" s="270">
        <v>0</v>
      </c>
      <c r="Y31" s="270">
        <v>0.8</v>
      </c>
      <c r="Z31" s="270">
        <v>11.290322580645158</v>
      </c>
      <c r="AA31" s="328"/>
    </row>
    <row r="32" spans="1:83" ht="12.95" customHeight="1" x14ac:dyDescent="0.2">
      <c r="C32" s="17" t="str">
        <f>VLOOKUP(35,Textbausteine_203[],Hilfsgrössen!$D$2,FALSE)</f>
        <v>Engagements sociaux / cadeaux / dons</v>
      </c>
      <c r="D32" s="1" t="str">
        <f>VLOOKUP(12,Textbausteine_203[],Hilfsgrössen!$D$2,FALSE)</f>
        <v>%</v>
      </c>
      <c r="F32" s="9" t="s">
        <v>108</v>
      </c>
      <c r="H32" s="268">
        <f t="shared" ref="H32:R32" si="5">IFERROR(H24/H$20*100,"'—")</f>
        <v>21.86938286399041</v>
      </c>
      <c r="I32" s="268">
        <f t="shared" si="5"/>
        <v>17.422969187675072</v>
      </c>
      <c r="J32" s="268">
        <f t="shared" si="5"/>
        <v>20.38369304556355</v>
      </c>
      <c r="K32" s="268">
        <f t="shared" si="5"/>
        <v>19.237240605720697</v>
      </c>
      <c r="L32" s="268">
        <f t="shared" si="5"/>
        <v>15.98808341608739</v>
      </c>
      <c r="M32" s="268">
        <f t="shared" si="5"/>
        <v>24.154589371980677</v>
      </c>
      <c r="N32" s="268">
        <f t="shared" si="5"/>
        <v>24.210526315789473</v>
      </c>
      <c r="O32" s="268">
        <f t="shared" si="5"/>
        <v>30.917874396135264</v>
      </c>
      <c r="P32" s="268">
        <f t="shared" si="5"/>
        <v>29.35323383084577</v>
      </c>
      <c r="Q32" s="268">
        <f t="shared" si="5"/>
        <v>24.878048780487802</v>
      </c>
      <c r="R32" s="268">
        <f t="shared" si="5"/>
        <v>23.350253807106597</v>
      </c>
      <c r="S32" s="268">
        <f t="shared" si="2"/>
        <v>25.252525252525253</v>
      </c>
      <c r="T32" s="268">
        <f t="shared" si="2"/>
        <v>22.842639593908633</v>
      </c>
      <c r="U32" s="268">
        <v>4.1793539912830617</v>
      </c>
      <c r="V32" s="268">
        <v>4.9000000000000004</v>
      </c>
      <c r="W32" s="268">
        <v>5.4</v>
      </c>
      <c r="X32" s="270">
        <v>6</v>
      </c>
      <c r="Y32" s="270">
        <v>6.5</v>
      </c>
      <c r="Z32" s="270">
        <v>6.4516129032258052</v>
      </c>
      <c r="AA32" s="328"/>
    </row>
    <row r="33" spans="1:83" ht="12.95" customHeight="1" x14ac:dyDescent="0.2">
      <c r="C33" s="13" t="str">
        <f>VLOOKUP(36,Textbausteine_203[],Hilfsgrössen!$D$2,FALSE)</f>
        <v>Dons à des partis politiques</v>
      </c>
      <c r="D33" s="1" t="str">
        <f>VLOOKUP(12,Textbausteine_203[],Hilfsgrössen!$D$2,FALSE)</f>
        <v>%</v>
      </c>
      <c r="F33" s="9" t="s">
        <v>109</v>
      </c>
      <c r="H33" s="268">
        <f t="shared" ref="H33:R33" si="6">IFERROR(H25/H$20*100,"'—")</f>
        <v>0</v>
      </c>
      <c r="I33" s="268">
        <f t="shared" si="6"/>
        <v>0</v>
      </c>
      <c r="J33" s="268">
        <f t="shared" si="6"/>
        <v>0</v>
      </c>
      <c r="K33" s="268">
        <f t="shared" si="6"/>
        <v>0</v>
      </c>
      <c r="L33" s="268">
        <f t="shared" si="6"/>
        <v>0</v>
      </c>
      <c r="M33" s="268">
        <f t="shared" si="6"/>
        <v>0</v>
      </c>
      <c r="N33" s="268">
        <f t="shared" si="6"/>
        <v>0</v>
      </c>
      <c r="O33" s="268">
        <f t="shared" si="6"/>
        <v>0</v>
      </c>
      <c r="P33" s="268">
        <f t="shared" si="6"/>
        <v>0</v>
      </c>
      <c r="Q33" s="268">
        <f t="shared" si="6"/>
        <v>0</v>
      </c>
      <c r="R33" s="268">
        <f t="shared" si="6"/>
        <v>0</v>
      </c>
      <c r="S33" s="268">
        <f t="shared" si="2"/>
        <v>0</v>
      </c>
      <c r="T33" s="268">
        <f t="shared" si="2"/>
        <v>0</v>
      </c>
      <c r="U33" s="268">
        <v>0</v>
      </c>
      <c r="V33" s="268">
        <v>0</v>
      </c>
      <c r="W33" s="268">
        <v>0</v>
      </c>
      <c r="X33" s="270">
        <v>0</v>
      </c>
      <c r="Y33" s="270">
        <v>0</v>
      </c>
      <c r="Z33" s="270">
        <v>0</v>
      </c>
      <c r="AA33" s="328"/>
    </row>
    <row r="34" spans="1:83" ht="12.95" customHeight="1" x14ac:dyDescent="0.2">
      <c r="C34" s="13" t="str">
        <f>VLOOKUP(37,Textbausteine_203[],Hilfsgrössen!$D$2,FALSE)</f>
        <v>Engagements pour la Suisse</v>
      </c>
      <c r="D34" s="1" t="str">
        <f>VLOOKUP(12,Textbausteine_203[],Hilfsgrössen!$D$2,FALSE)</f>
        <v>%</v>
      </c>
      <c r="H34" s="184" t="s">
        <v>29</v>
      </c>
      <c r="I34" s="184" t="s">
        <v>29</v>
      </c>
      <c r="J34" s="184" t="s">
        <v>29</v>
      </c>
      <c r="K34" s="184" t="s">
        <v>29</v>
      </c>
      <c r="L34" s="184" t="s">
        <v>29</v>
      </c>
      <c r="M34" s="184" t="s">
        <v>29</v>
      </c>
      <c r="N34" s="184" t="s">
        <v>29</v>
      </c>
      <c r="O34" s="184" t="s">
        <v>29</v>
      </c>
      <c r="P34" s="184" t="s">
        <v>29</v>
      </c>
      <c r="Q34" s="184" t="s">
        <v>29</v>
      </c>
      <c r="R34" s="184" t="s">
        <v>29</v>
      </c>
      <c r="S34" s="184" t="s">
        <v>29</v>
      </c>
      <c r="T34" s="184" t="s">
        <v>29</v>
      </c>
      <c r="U34" s="184">
        <v>10.066272613290346</v>
      </c>
      <c r="V34" s="184">
        <v>13.2</v>
      </c>
      <c r="W34" s="184">
        <v>13.2</v>
      </c>
      <c r="X34" s="270">
        <v>17.2</v>
      </c>
      <c r="Y34" s="268">
        <v>16.326530612244898</v>
      </c>
      <c r="Z34" s="268">
        <v>18.548387096774189</v>
      </c>
      <c r="AA34" s="328"/>
    </row>
    <row r="35" spans="1:83" ht="12.95" customHeight="1" x14ac:dyDescent="0.2">
      <c r="T35" s="9"/>
      <c r="U35" s="9"/>
      <c r="V35" s="9"/>
      <c r="W35" s="9"/>
      <c r="X35" s="9"/>
      <c r="Y35" s="9"/>
      <c r="Z35" s="9"/>
      <c r="AA35" s="328"/>
    </row>
    <row r="36" spans="1:83" ht="12.95" customHeight="1" x14ac:dyDescent="0.25">
      <c r="B36" s="18" t="str">
        <f>VLOOKUP(201,Textbausteine_203[],Hilfsgrössen!$D$2,FALSE)</f>
        <v>1) Depuis le 1er janvier 2015, le sponsoring économique fait explicitement partie du sponsoring de la Poste.</v>
      </c>
      <c r="T36" s="9"/>
      <c r="U36" s="9"/>
      <c r="V36" s="9"/>
      <c r="W36" s="9"/>
      <c r="X36" s="9"/>
      <c r="Y36" s="9"/>
      <c r="Z36" s="9"/>
      <c r="AA36" s="328"/>
    </row>
    <row r="37" spans="1:83" ht="12.95" customHeight="1" x14ac:dyDescent="0.2">
      <c r="A37" s="47"/>
      <c r="E37" s="29"/>
      <c r="F37" s="29"/>
      <c r="G37" s="35"/>
      <c r="N37" s="11"/>
      <c r="T37" s="9"/>
      <c r="U37" s="9"/>
      <c r="V37" s="9"/>
      <c r="W37" s="9"/>
      <c r="X37" s="9"/>
      <c r="Y37" s="9"/>
      <c r="Z37" s="9"/>
      <c r="AA37" s="328"/>
    </row>
    <row r="38" spans="1:83" ht="12.95" customHeight="1" x14ac:dyDescent="0.25">
      <c r="A38" s="47"/>
      <c r="E38" s="30"/>
      <c r="F38" s="30"/>
      <c r="G38" s="35"/>
      <c r="N38" s="11"/>
      <c r="T38" s="9"/>
      <c r="U38" s="9"/>
      <c r="V38" s="9"/>
      <c r="W38" s="9"/>
      <c r="X38" s="9"/>
      <c r="Y38" s="9"/>
      <c r="Z38" s="9"/>
      <c r="AA38" s="328"/>
    </row>
    <row r="39" spans="1:83" s="6" customFormat="1" ht="12.95" customHeight="1" x14ac:dyDescent="0.25">
      <c r="A39" s="39" t="s">
        <v>27</v>
      </c>
      <c r="B39" s="401" t="str">
        <f>$C$8</f>
        <v>Points d'accès</v>
      </c>
      <c r="C39" s="401"/>
      <c r="D39" s="6" t="str">
        <f>VLOOKUP(32,Textbausteine_Menu[],Hilfsgrössen!$D$2,FALSE)</f>
        <v>Unité</v>
      </c>
      <c r="E39" s="28" t="str">
        <f>VLOOKUP(33,Textbausteine_Menu[],Hilfsgrössen!$D$2,FALSE)</f>
        <v>Notes</v>
      </c>
      <c r="F39" s="28" t="str">
        <f>VLOOKUP(34,Textbausteine_Menu[],Hilfsgrössen!$D$2,FALSE)</f>
        <v>GRI</v>
      </c>
      <c r="G39" s="36"/>
      <c r="H39" s="7">
        <v>2004</v>
      </c>
      <c r="I39" s="7">
        <v>2005</v>
      </c>
      <c r="J39" s="7">
        <v>2006</v>
      </c>
      <c r="K39" s="7">
        <v>2007</v>
      </c>
      <c r="L39" s="7">
        <v>2008</v>
      </c>
      <c r="M39" s="7">
        <v>2009</v>
      </c>
      <c r="N39" s="7">
        <v>2010</v>
      </c>
      <c r="O39" s="7">
        <v>2011</v>
      </c>
      <c r="P39" s="7">
        <v>2012</v>
      </c>
      <c r="Q39" s="7">
        <v>2013</v>
      </c>
      <c r="R39" s="7">
        <v>2014</v>
      </c>
      <c r="S39" s="7">
        <v>2015</v>
      </c>
      <c r="T39" s="7">
        <v>2016</v>
      </c>
      <c r="U39" s="7">
        <v>2017</v>
      </c>
      <c r="V39" s="7">
        <v>2018</v>
      </c>
      <c r="W39" s="7">
        <v>2019</v>
      </c>
      <c r="X39" s="7">
        <v>2020</v>
      </c>
      <c r="Y39" s="7">
        <v>2021</v>
      </c>
      <c r="Z39" s="7">
        <v>2022</v>
      </c>
      <c r="AA39" s="375"/>
      <c r="AB39" s="28"/>
      <c r="AC39" s="28"/>
      <c r="AD39" s="28"/>
      <c r="AE39" s="28"/>
      <c r="AF39" s="28"/>
      <c r="AG39" s="28"/>
      <c r="AH39" s="28"/>
      <c r="AI39" s="28"/>
      <c r="AJ39" s="28"/>
      <c r="AK39" s="28"/>
      <c r="AL39" s="28"/>
      <c r="AM39" s="28"/>
      <c r="AN39" s="28"/>
      <c r="AO39" s="28"/>
      <c r="AP39" s="28"/>
      <c r="AQ39" s="28"/>
      <c r="AR39" s="28"/>
      <c r="AS39" s="28"/>
      <c r="AT39" s="28"/>
      <c r="AU39" s="28"/>
      <c r="AV39" s="28"/>
      <c r="AW39" s="28"/>
      <c r="AX39" s="28"/>
      <c r="AY39" s="28"/>
      <c r="AZ39" s="28"/>
      <c r="BA39" s="28"/>
      <c r="BB39" s="28"/>
      <c r="BC39" s="28"/>
      <c r="BD39" s="28"/>
      <c r="BE39" s="28"/>
      <c r="BF39" s="28"/>
      <c r="BG39" s="28"/>
      <c r="BH39" s="28"/>
      <c r="BI39" s="28"/>
      <c r="BJ39" s="28"/>
      <c r="BK39" s="28"/>
      <c r="BL39" s="28"/>
      <c r="BM39" s="28"/>
      <c r="BN39" s="28"/>
      <c r="BO39" s="28"/>
      <c r="BP39" s="28"/>
      <c r="BQ39" s="28"/>
      <c r="BR39" s="28"/>
      <c r="BS39" s="28"/>
      <c r="BT39" s="28"/>
      <c r="BU39" s="28"/>
      <c r="BV39" s="28"/>
      <c r="BW39" s="28"/>
      <c r="BX39" s="28"/>
      <c r="BY39" s="28"/>
      <c r="BZ39" s="28"/>
      <c r="CA39" s="28"/>
      <c r="CB39" s="28"/>
      <c r="CC39" s="28"/>
      <c r="CD39" s="28"/>
      <c r="CE39" s="28"/>
    </row>
    <row r="40" spans="1:83" s="6" customFormat="1" ht="12.95" customHeight="1" x14ac:dyDescent="0.2">
      <c r="A40" s="38"/>
      <c r="B40" s="401"/>
      <c r="C40" s="401"/>
      <c r="E40" s="9"/>
      <c r="F40" s="9"/>
      <c r="G40" s="34"/>
      <c r="H40" s="7"/>
      <c r="I40" s="7"/>
      <c r="J40" s="7"/>
      <c r="K40" s="7"/>
      <c r="L40" s="68"/>
      <c r="M40" s="68"/>
      <c r="N40" s="9"/>
      <c r="O40" s="9"/>
      <c r="P40" s="9"/>
      <c r="Q40" s="9"/>
      <c r="R40" s="9"/>
      <c r="S40" s="9"/>
      <c r="T40" s="11"/>
      <c r="U40" s="11"/>
      <c r="V40" s="11"/>
      <c r="W40" s="11"/>
      <c r="X40" s="11"/>
      <c r="Y40" s="11"/>
      <c r="Z40" s="11"/>
      <c r="AA40" s="328"/>
      <c r="AB40" s="9"/>
      <c r="AC40" s="9"/>
      <c r="AD40" s="9"/>
      <c r="AE40" s="9"/>
      <c r="AF40" s="9"/>
      <c r="AG40" s="9"/>
      <c r="AH40" s="9"/>
      <c r="AI40" s="9"/>
      <c r="AJ40" s="9"/>
      <c r="AK40" s="9"/>
      <c r="AL40" s="9"/>
      <c r="AM40" s="9"/>
      <c r="AN40" s="9"/>
      <c r="AO40" s="9"/>
      <c r="AP40" s="9"/>
      <c r="AQ40" s="9"/>
      <c r="AR40" s="9"/>
      <c r="AS40" s="9"/>
      <c r="AT40" s="9"/>
      <c r="AU40" s="9"/>
      <c r="AV40" s="9"/>
      <c r="AW40" s="9"/>
      <c r="AX40" s="9"/>
      <c r="AY40" s="9"/>
      <c r="AZ40" s="9"/>
      <c r="BA40" s="9"/>
      <c r="BB40" s="9"/>
      <c r="BC40" s="9"/>
      <c r="BD40" s="9"/>
      <c r="BE40" s="9"/>
      <c r="BF40" s="9"/>
      <c r="BG40" s="9"/>
      <c r="BH40" s="9"/>
      <c r="BI40" s="9"/>
      <c r="BJ40" s="9"/>
      <c r="BK40" s="9"/>
      <c r="BL40" s="9"/>
      <c r="BM40" s="9"/>
      <c r="BN40" s="9"/>
      <c r="BO40" s="9"/>
      <c r="BP40" s="9"/>
      <c r="BQ40" s="9"/>
      <c r="BR40" s="9"/>
      <c r="BS40" s="9"/>
      <c r="BT40" s="9"/>
      <c r="BU40" s="9"/>
      <c r="BV40" s="9"/>
      <c r="BW40" s="9"/>
      <c r="BX40" s="9"/>
      <c r="BY40" s="9"/>
      <c r="BZ40" s="9"/>
      <c r="CA40" s="9"/>
      <c r="CB40" s="9"/>
      <c r="CC40" s="9"/>
      <c r="CD40" s="9"/>
      <c r="CE40" s="9"/>
    </row>
    <row r="41" spans="1:83" ht="12.95" customHeight="1" x14ac:dyDescent="0.2">
      <c r="A41" s="47"/>
      <c r="B41" s="2"/>
      <c r="E41" s="28"/>
      <c r="F41" s="28"/>
      <c r="H41" s="7"/>
      <c r="I41" s="7"/>
      <c r="J41" s="7"/>
      <c r="K41" s="7"/>
      <c r="L41" s="68"/>
      <c r="M41" s="68"/>
      <c r="AA41" s="328"/>
    </row>
    <row r="42" spans="1:83" ht="12.95" customHeight="1" x14ac:dyDescent="0.2">
      <c r="A42" s="47"/>
      <c r="B42" s="2" t="str">
        <f>VLOOKUP(37,Textbausteine_Menu[],Hilfsgrössen!$D$2,FALSE)</f>
        <v>Groupe Suisse</v>
      </c>
      <c r="C42" s="2"/>
      <c r="E42" s="28"/>
      <c r="F42" s="28"/>
      <c r="AA42" s="328"/>
    </row>
    <row r="43" spans="1:83" ht="12.95" customHeight="1" x14ac:dyDescent="0.2">
      <c r="A43" s="47"/>
      <c r="B43" s="2"/>
      <c r="C43" s="108" t="str">
        <f>VLOOKUP(41,Textbausteine_203[],Hilfsgrössen!$D$2,FALSE)</f>
        <v>Filiales</v>
      </c>
      <c r="D43" s="1" t="str">
        <f>VLOOKUP(13,Textbausteine_203[],Hilfsgrössen!$D$2,FALSE)</f>
        <v>Nombre</v>
      </c>
      <c r="E43" s="28"/>
      <c r="F43" s="9" t="s">
        <v>108</v>
      </c>
      <c r="H43" s="94" t="s">
        <v>29</v>
      </c>
      <c r="I43" s="9">
        <v>2389</v>
      </c>
      <c r="J43" s="9">
        <v>2357</v>
      </c>
      <c r="K43" s="9">
        <v>2312</v>
      </c>
      <c r="L43" s="9">
        <v>2195</v>
      </c>
      <c r="M43" s="9">
        <v>2060</v>
      </c>
      <c r="N43" s="9">
        <v>1950</v>
      </c>
      <c r="O43" s="9">
        <v>1846</v>
      </c>
      <c r="P43" s="9">
        <v>1752</v>
      </c>
      <c r="Q43" s="9">
        <v>1657</v>
      </c>
      <c r="R43" s="9">
        <v>1557</v>
      </c>
      <c r="S43" s="9">
        <v>1459</v>
      </c>
      <c r="T43" s="11">
        <v>1323</v>
      </c>
      <c r="U43" s="11">
        <v>1189</v>
      </c>
      <c r="V43" s="11">
        <v>1078</v>
      </c>
      <c r="W43" s="11">
        <v>981</v>
      </c>
      <c r="X43" s="11">
        <v>904</v>
      </c>
      <c r="Y43" s="11">
        <v>805</v>
      </c>
      <c r="Z43" s="11">
        <v>773</v>
      </c>
      <c r="AA43" s="341"/>
    </row>
    <row r="44" spans="1:83" ht="12.95" customHeight="1" x14ac:dyDescent="0.2">
      <c r="A44" s="47"/>
      <c r="B44" s="2"/>
      <c r="C44" s="108" t="str">
        <f>VLOOKUP(42,Textbausteine_203[],Hilfsgrössen!$D$2,FALSE)</f>
        <v>Filiales en partenariat</v>
      </c>
      <c r="D44" s="1" t="str">
        <f>VLOOKUP(13,Textbausteine_203[],Hilfsgrössen!$D$2,FALSE)</f>
        <v>Nombre</v>
      </c>
      <c r="E44" s="28"/>
      <c r="F44" s="9" t="s">
        <v>108</v>
      </c>
      <c r="H44" s="94" t="s">
        <v>29</v>
      </c>
      <c r="I44" s="9">
        <v>135</v>
      </c>
      <c r="J44" s="9">
        <v>129</v>
      </c>
      <c r="K44" s="9">
        <v>150</v>
      </c>
      <c r="L44" s="9">
        <v>208</v>
      </c>
      <c r="M44" s="9">
        <v>283</v>
      </c>
      <c r="N44" s="9">
        <v>358</v>
      </c>
      <c r="O44" s="9">
        <v>427</v>
      </c>
      <c r="P44" s="9">
        <v>497</v>
      </c>
      <c r="Q44" s="9">
        <v>569</v>
      </c>
      <c r="R44" s="9">
        <v>660</v>
      </c>
      <c r="S44" s="9">
        <v>735</v>
      </c>
      <c r="T44" s="11">
        <v>849</v>
      </c>
      <c r="U44" s="11">
        <v>968</v>
      </c>
      <c r="V44" s="11">
        <v>1061</v>
      </c>
      <c r="W44" s="11">
        <v>1136</v>
      </c>
      <c r="X44" s="11">
        <v>1194</v>
      </c>
      <c r="Y44" s="11">
        <v>1251</v>
      </c>
      <c r="Z44" s="11">
        <v>1254</v>
      </c>
      <c r="AA44" s="341"/>
    </row>
    <row r="45" spans="1:83" ht="12.75" x14ac:dyDescent="0.2">
      <c r="C45" s="108" t="str">
        <f>VLOOKUP(43,Textbausteine_203[],Hilfsgrössen!$D$2,FALSE)</f>
        <v>Service à domicile</v>
      </c>
      <c r="D45" s="1" t="str">
        <f>VLOOKUP(14,Textbausteine_203[],Hilfsgrössen!$D$2,FALSE)</f>
        <v>Lieux</v>
      </c>
      <c r="E45" s="16">
        <v>1</v>
      </c>
      <c r="F45" s="9" t="s">
        <v>108</v>
      </c>
      <c r="H45" s="94" t="s">
        <v>29</v>
      </c>
      <c r="I45" s="9">
        <v>991</v>
      </c>
      <c r="J45" s="9">
        <v>1023</v>
      </c>
      <c r="K45" s="9">
        <v>1043</v>
      </c>
      <c r="L45" s="9">
        <v>1097</v>
      </c>
      <c r="M45" s="9">
        <v>1154</v>
      </c>
      <c r="N45" s="9">
        <v>1192</v>
      </c>
      <c r="O45" s="9">
        <v>1226</v>
      </c>
      <c r="P45" s="9">
        <v>1251</v>
      </c>
      <c r="Q45" s="9">
        <v>1269</v>
      </c>
      <c r="R45" s="9">
        <v>1278</v>
      </c>
      <c r="S45" s="9">
        <v>1295</v>
      </c>
      <c r="T45" s="11">
        <v>1710</v>
      </c>
      <c r="U45" s="11">
        <v>1717</v>
      </c>
      <c r="V45" s="11">
        <v>1732</v>
      </c>
      <c r="W45" s="11">
        <v>1775</v>
      </c>
      <c r="X45" s="11">
        <v>1797</v>
      </c>
      <c r="Y45" s="11">
        <v>1847</v>
      </c>
      <c r="Z45" s="11">
        <v>1881</v>
      </c>
      <c r="AA45" s="341"/>
    </row>
    <row r="46" spans="1:83" ht="12.95" customHeight="1" x14ac:dyDescent="0.2">
      <c r="C46" s="108" t="str">
        <f>VLOOKUP(44,Textbausteine_203[],Hilfsgrössen!$D$2,FALSE)</f>
        <v>Points de dépôt et de retrait</v>
      </c>
      <c r="D46" s="1" t="str">
        <f>VLOOKUP(13,Textbausteine_203[],Hilfsgrössen!$D$2,FALSE)</f>
        <v>Nombre</v>
      </c>
      <c r="E46" s="16"/>
      <c r="F46" s="9" t="s">
        <v>108</v>
      </c>
      <c r="H46" s="94" t="s">
        <v>29</v>
      </c>
      <c r="I46" s="15">
        <v>37</v>
      </c>
      <c r="J46" s="15">
        <v>70</v>
      </c>
      <c r="K46" s="15">
        <v>71</v>
      </c>
      <c r="L46" s="15">
        <v>100</v>
      </c>
      <c r="M46" s="15">
        <v>105</v>
      </c>
      <c r="N46" s="15">
        <v>107</v>
      </c>
      <c r="O46" s="15">
        <v>103</v>
      </c>
      <c r="P46" s="15">
        <v>102</v>
      </c>
      <c r="Q46" s="15">
        <v>99</v>
      </c>
      <c r="R46" s="15">
        <v>99</v>
      </c>
      <c r="S46" s="15">
        <v>102</v>
      </c>
      <c r="T46" s="12">
        <v>208</v>
      </c>
      <c r="U46" s="12">
        <v>200</v>
      </c>
      <c r="V46" s="12">
        <v>197</v>
      </c>
      <c r="W46" s="12">
        <v>572</v>
      </c>
      <c r="X46" s="12">
        <v>502</v>
      </c>
      <c r="Y46" s="11">
        <v>528</v>
      </c>
      <c r="Z46" s="11">
        <v>554</v>
      </c>
      <c r="AA46" s="341"/>
    </row>
    <row r="47" spans="1:83" ht="12.95" customHeight="1" x14ac:dyDescent="0.2">
      <c r="C47" s="108" t="str">
        <f>VLOOKUP(45,Textbausteine_203[],Hilfsgrössen!$D$2,FALSE)</f>
        <v>Automates My Post 24</v>
      </c>
      <c r="D47" s="1" t="str">
        <f>VLOOKUP(13,Textbausteine_203[],Hilfsgrössen!$D$2,FALSE)</f>
        <v>Nombre</v>
      </c>
      <c r="E47" s="16"/>
      <c r="F47" s="9" t="s">
        <v>108</v>
      </c>
      <c r="H47" s="94" t="s">
        <v>29</v>
      </c>
      <c r="I47" s="217" t="s">
        <v>29</v>
      </c>
      <c r="J47" s="217" t="s">
        <v>29</v>
      </c>
      <c r="K47" s="217" t="s">
        <v>29</v>
      </c>
      <c r="L47" s="217" t="s">
        <v>29</v>
      </c>
      <c r="M47" s="217" t="s">
        <v>29</v>
      </c>
      <c r="N47" s="217" t="s">
        <v>29</v>
      </c>
      <c r="O47" s="217" t="s">
        <v>29</v>
      </c>
      <c r="P47" s="217" t="s">
        <v>29</v>
      </c>
      <c r="Q47" s="217" t="s">
        <v>29</v>
      </c>
      <c r="R47" s="15">
        <v>29</v>
      </c>
      <c r="S47" s="15">
        <v>55</v>
      </c>
      <c r="T47" s="12">
        <v>80</v>
      </c>
      <c r="U47" s="12">
        <v>92</v>
      </c>
      <c r="V47" s="12">
        <v>111</v>
      </c>
      <c r="W47" s="12">
        <v>155</v>
      </c>
      <c r="X47" s="12">
        <v>183</v>
      </c>
      <c r="Y47" s="11">
        <v>199</v>
      </c>
      <c r="Z47" s="11">
        <v>225</v>
      </c>
      <c r="AA47" s="341"/>
    </row>
    <row r="48" spans="1:83" ht="12.95" customHeight="1" x14ac:dyDescent="0.2">
      <c r="C48" s="108" t="str">
        <f>VLOOKUP(46,Textbausteine_203[],Hilfsgrössen!$D$2,FALSE)</f>
        <v>Points clientèle commerciale</v>
      </c>
      <c r="D48" s="1" t="str">
        <f>VLOOKUP(13,Textbausteine_203[],Hilfsgrössen!$D$2,FALSE)</f>
        <v>Nombre</v>
      </c>
      <c r="E48" s="16">
        <v>2</v>
      </c>
      <c r="F48" s="9" t="s">
        <v>108</v>
      </c>
      <c r="H48" s="94" t="s">
        <v>29</v>
      </c>
      <c r="I48" s="217" t="s">
        <v>29</v>
      </c>
      <c r="J48" s="217" t="s">
        <v>29</v>
      </c>
      <c r="K48" s="217" t="s">
        <v>29</v>
      </c>
      <c r="L48" s="217" t="s">
        <v>29</v>
      </c>
      <c r="M48" s="217" t="s">
        <v>29</v>
      </c>
      <c r="N48" s="217" t="s">
        <v>29</v>
      </c>
      <c r="O48" s="217" t="s">
        <v>29</v>
      </c>
      <c r="P48" s="217" t="s">
        <v>29</v>
      </c>
      <c r="Q48" s="15">
        <v>6</v>
      </c>
      <c r="R48" s="15">
        <v>13</v>
      </c>
      <c r="S48" s="15">
        <v>22</v>
      </c>
      <c r="T48" s="12">
        <v>29</v>
      </c>
      <c r="U48" s="12">
        <v>92</v>
      </c>
      <c r="V48" s="12">
        <v>115</v>
      </c>
      <c r="W48" s="12">
        <v>134</v>
      </c>
      <c r="X48" s="12">
        <v>162</v>
      </c>
      <c r="Y48" s="11">
        <v>185</v>
      </c>
      <c r="Z48" s="11">
        <v>211</v>
      </c>
      <c r="AA48" s="341"/>
    </row>
    <row r="49" spans="1:83" ht="12.95" customHeight="1" x14ac:dyDescent="0.2">
      <c r="C49" s="108"/>
      <c r="E49" s="16"/>
      <c r="H49" s="94"/>
      <c r="AA49" s="328"/>
    </row>
    <row r="50" spans="1:83" ht="12.95" customHeight="1" x14ac:dyDescent="0.2">
      <c r="B50" s="6" t="str">
        <f>VLOOKUP(49,Textbausteine_Menu[],Hilfsgrössen!$D$2,FALSE)</f>
        <v>PostFinance</v>
      </c>
      <c r="C50" s="108"/>
      <c r="E50" s="16"/>
      <c r="H50" s="94"/>
      <c r="AA50" s="328"/>
    </row>
    <row r="51" spans="1:83" ht="12.95" customHeight="1" x14ac:dyDescent="0.2">
      <c r="C51" s="108" t="str">
        <f>VLOOKUP(47,Textbausteine_203[],Hilfsgrössen!$D$2,FALSE)</f>
        <v>Filiales PostFinance</v>
      </c>
      <c r="D51" s="1" t="str">
        <f>VLOOKUP(13,Textbausteine_203[],Hilfsgrössen!$D$2,FALSE)</f>
        <v>Nombre</v>
      </c>
      <c r="E51" s="16"/>
      <c r="F51" s="9" t="s">
        <v>108</v>
      </c>
      <c r="H51" s="217" t="s">
        <v>29</v>
      </c>
      <c r="I51" s="217" t="s">
        <v>29</v>
      </c>
      <c r="J51" s="15">
        <v>28</v>
      </c>
      <c r="K51" s="15">
        <v>29</v>
      </c>
      <c r="L51" s="15">
        <v>32</v>
      </c>
      <c r="M51" s="15">
        <v>38</v>
      </c>
      <c r="N51" s="15">
        <v>40</v>
      </c>
      <c r="O51" s="15">
        <v>44</v>
      </c>
      <c r="P51" s="15">
        <v>45</v>
      </c>
      <c r="Q51" s="15">
        <v>45</v>
      </c>
      <c r="R51" s="15">
        <v>44</v>
      </c>
      <c r="S51" s="15">
        <v>43</v>
      </c>
      <c r="T51" s="12">
        <v>43</v>
      </c>
      <c r="U51" s="12">
        <v>39</v>
      </c>
      <c r="V51" s="12">
        <v>39</v>
      </c>
      <c r="W51" s="12">
        <v>38</v>
      </c>
      <c r="X51" s="12">
        <v>38</v>
      </c>
      <c r="Y51" s="12">
        <v>34</v>
      </c>
      <c r="Z51" s="12">
        <v>34</v>
      </c>
    </row>
    <row r="52" spans="1:83" ht="12.95" customHeight="1" x14ac:dyDescent="0.2">
      <c r="C52" s="4" t="str">
        <f>VLOOKUP(48,Textbausteine_203[],Hilfsgrössen!$D$2,FALSE)</f>
        <v>Postomat</v>
      </c>
      <c r="D52" s="1" t="str">
        <f>VLOOKUP(13,Textbausteine_203[],Hilfsgrössen!$D$2,FALSE)</f>
        <v>Nombre</v>
      </c>
      <c r="E52" s="16"/>
      <c r="F52" s="9" t="s">
        <v>108</v>
      </c>
      <c r="H52" s="94" t="s">
        <v>29</v>
      </c>
      <c r="I52" s="94" t="s">
        <v>29</v>
      </c>
      <c r="J52" s="9">
        <v>732</v>
      </c>
      <c r="K52" s="9">
        <v>749</v>
      </c>
      <c r="L52" s="9">
        <v>774</v>
      </c>
      <c r="M52" s="9">
        <v>819</v>
      </c>
      <c r="N52" s="9">
        <v>858</v>
      </c>
      <c r="O52" s="9">
        <v>933</v>
      </c>
      <c r="P52" s="9">
        <v>971</v>
      </c>
      <c r="Q52" s="9">
        <v>982</v>
      </c>
      <c r="R52" s="9">
        <v>985</v>
      </c>
      <c r="S52" s="9">
        <v>995</v>
      </c>
      <c r="T52" s="11">
        <v>1004</v>
      </c>
      <c r="U52" s="11">
        <v>999</v>
      </c>
      <c r="V52" s="11">
        <v>984</v>
      </c>
      <c r="W52" s="11">
        <v>975</v>
      </c>
      <c r="X52" s="11">
        <v>961</v>
      </c>
      <c r="Y52" s="11">
        <v>888</v>
      </c>
      <c r="Z52" s="11">
        <v>867</v>
      </c>
    </row>
    <row r="53" spans="1:83" ht="12.95" customHeight="1" x14ac:dyDescent="0.25">
      <c r="B53" s="18"/>
      <c r="G53" s="267"/>
      <c r="T53" s="9"/>
      <c r="U53" s="9"/>
      <c r="V53" s="9"/>
      <c r="W53" s="9"/>
      <c r="X53" s="9"/>
      <c r="Y53" s="9"/>
      <c r="Z53" s="9"/>
    </row>
    <row r="54" spans="1:83" ht="12.95" customHeight="1" x14ac:dyDescent="0.25">
      <c r="B54" s="18" t="str">
        <f>VLOOKUP(204,Textbausteine_203[],Hilfsgrössen!$D$2,FALSE)</f>
        <v>1) La méthode de calcul du nombre de localités proposant le service à domicile a été adaptée en 2019. Les valeurs 2016 - 2018 ont été rendues comparables.</v>
      </c>
      <c r="G54" s="267"/>
      <c r="T54" s="9"/>
      <c r="U54" s="9"/>
      <c r="V54" s="9"/>
      <c r="W54" s="9"/>
      <c r="X54" s="9"/>
      <c r="Y54" s="9"/>
      <c r="Z54" s="9"/>
    </row>
    <row r="55" spans="1:83" s="326" customFormat="1" ht="12.95" customHeight="1" x14ac:dyDescent="0.25">
      <c r="A55" s="376"/>
      <c r="B55" s="355" t="str">
        <f>VLOOKUP(205,Textbausteine_203[],Hilfsgrössen!$D$2,FALSE)</f>
        <v>2) Y compris les points clientèle commerciale de PostMail et de PostLogistics à compter de 2017</v>
      </c>
      <c r="E55" s="328"/>
      <c r="F55" s="328"/>
      <c r="G55" s="377"/>
      <c r="H55" s="328"/>
      <c r="I55" s="328"/>
      <c r="J55" s="328"/>
      <c r="K55" s="328"/>
      <c r="L55" s="328"/>
      <c r="M55" s="328"/>
      <c r="N55" s="328"/>
      <c r="O55" s="328"/>
      <c r="P55" s="328"/>
      <c r="Q55" s="328"/>
      <c r="R55" s="328"/>
      <c r="S55" s="328"/>
      <c r="T55" s="328"/>
      <c r="U55" s="328"/>
      <c r="V55" s="328"/>
      <c r="W55" s="328"/>
      <c r="X55" s="328"/>
      <c r="Y55" s="328"/>
      <c r="Z55" s="328"/>
      <c r="AA55" s="328"/>
      <c r="AB55" s="328"/>
      <c r="AC55" s="328"/>
      <c r="AD55" s="328"/>
      <c r="AE55" s="328"/>
      <c r="AF55" s="328"/>
      <c r="AG55" s="328"/>
      <c r="AH55" s="328"/>
      <c r="AI55" s="328"/>
      <c r="AJ55" s="328"/>
      <c r="AK55" s="328"/>
      <c r="AL55" s="328"/>
      <c r="AM55" s="328"/>
      <c r="AN55" s="328"/>
      <c r="AO55" s="328"/>
      <c r="AP55" s="328"/>
      <c r="AQ55" s="328"/>
      <c r="AR55" s="328"/>
      <c r="AS55" s="328"/>
      <c r="AT55" s="328"/>
      <c r="AU55" s="328"/>
      <c r="AV55" s="328"/>
      <c r="AW55" s="328"/>
      <c r="AX55" s="328"/>
      <c r="AY55" s="328"/>
      <c r="AZ55" s="328"/>
      <c r="BA55" s="328"/>
      <c r="BB55" s="328"/>
      <c r="BC55" s="328"/>
      <c r="BD55" s="328"/>
      <c r="BE55" s="328"/>
      <c r="BF55" s="328"/>
      <c r="BG55" s="328"/>
      <c r="BH55" s="328"/>
      <c r="BI55" s="328"/>
      <c r="BJ55" s="328"/>
      <c r="BK55" s="328"/>
      <c r="BL55" s="328"/>
      <c r="BM55" s="328"/>
      <c r="BN55" s="328"/>
      <c r="BO55" s="328"/>
      <c r="BP55" s="328"/>
      <c r="BQ55" s="328"/>
      <c r="BR55" s="328"/>
      <c r="BS55" s="328"/>
      <c r="BT55" s="328"/>
      <c r="BU55" s="328"/>
      <c r="BV55" s="328"/>
      <c r="BW55" s="328"/>
      <c r="BX55" s="328"/>
      <c r="BY55" s="328"/>
      <c r="BZ55" s="328"/>
      <c r="CA55" s="328"/>
      <c r="CB55" s="328"/>
      <c r="CC55" s="328"/>
      <c r="CD55" s="328"/>
      <c r="CE55" s="328"/>
    </row>
    <row r="56" spans="1:83" ht="12.95" customHeight="1" x14ac:dyDescent="0.2">
      <c r="T56" s="9"/>
      <c r="U56" s="9"/>
      <c r="V56" s="9"/>
      <c r="W56" s="9"/>
      <c r="X56" s="9"/>
      <c r="Y56" s="9"/>
      <c r="Z56" s="9"/>
    </row>
    <row r="57" spans="1:83" ht="12.95" customHeight="1" x14ac:dyDescent="0.2">
      <c r="T57" s="9"/>
      <c r="U57" s="9"/>
      <c r="V57" s="9"/>
      <c r="W57" s="9"/>
      <c r="X57" s="9"/>
      <c r="Y57" s="9"/>
      <c r="Z57" s="9"/>
    </row>
    <row r="58" spans="1:83" s="6" customFormat="1" ht="12.95" customHeight="1" x14ac:dyDescent="0.25">
      <c r="A58" s="39" t="s">
        <v>27</v>
      </c>
      <c r="B58" s="401" t="str">
        <f>$C$9</f>
        <v>Emplois dans les régions</v>
      </c>
      <c r="C58" s="401"/>
      <c r="D58" s="6" t="str">
        <f>VLOOKUP(32,Textbausteine_Menu[],Hilfsgrössen!$D$2,FALSE)</f>
        <v>Unité</v>
      </c>
      <c r="E58" s="28" t="str">
        <f>VLOOKUP(33,Textbausteine_Menu[],Hilfsgrössen!$D$2,FALSE)</f>
        <v>Notes</v>
      </c>
      <c r="F58" s="28" t="str">
        <f>VLOOKUP(34,Textbausteine_Menu[],Hilfsgrössen!$D$2,FALSE)</f>
        <v>GRI</v>
      </c>
      <c r="G58" s="36"/>
      <c r="H58" s="7">
        <v>2004</v>
      </c>
      <c r="I58" s="7">
        <v>2005</v>
      </c>
      <c r="J58" s="7">
        <v>2006</v>
      </c>
      <c r="K58" s="7">
        <v>2007</v>
      </c>
      <c r="L58" s="7">
        <v>2008</v>
      </c>
      <c r="M58" s="7">
        <v>2009</v>
      </c>
      <c r="N58" s="7">
        <v>2010</v>
      </c>
      <c r="O58" s="7">
        <v>2011</v>
      </c>
      <c r="P58" s="7">
        <v>2012</v>
      </c>
      <c r="Q58" s="7">
        <v>2013</v>
      </c>
      <c r="R58" s="7">
        <v>2014</v>
      </c>
      <c r="S58" s="7">
        <v>2015</v>
      </c>
      <c r="T58" s="7">
        <v>2016</v>
      </c>
      <c r="U58" s="7">
        <v>2017</v>
      </c>
      <c r="V58" s="7">
        <v>2018</v>
      </c>
      <c r="W58" s="7">
        <v>2019</v>
      </c>
      <c r="X58" s="7">
        <v>2020</v>
      </c>
      <c r="Y58" s="7">
        <v>2021</v>
      </c>
      <c r="Z58" s="7">
        <v>2022</v>
      </c>
      <c r="AA58" s="375"/>
      <c r="AB58" s="28"/>
      <c r="AC58" s="28"/>
      <c r="AD58" s="28"/>
      <c r="AE58" s="28"/>
      <c r="AF58" s="28"/>
      <c r="AG58" s="28"/>
      <c r="AH58" s="28"/>
      <c r="AI58" s="28"/>
      <c r="AJ58" s="28"/>
      <c r="AK58" s="28"/>
      <c r="AL58" s="28"/>
      <c r="AM58" s="28"/>
      <c r="AN58" s="28"/>
      <c r="AO58" s="28"/>
      <c r="AP58" s="28"/>
      <c r="AQ58" s="28"/>
      <c r="AR58" s="28"/>
      <c r="AS58" s="28"/>
      <c r="AT58" s="28"/>
      <c r="AU58" s="28"/>
      <c r="AV58" s="28"/>
      <c r="AW58" s="28"/>
      <c r="AX58" s="28"/>
      <c r="AY58" s="28"/>
      <c r="AZ58" s="28"/>
      <c r="BA58" s="28"/>
      <c r="BB58" s="28"/>
      <c r="BC58" s="28"/>
      <c r="BD58" s="28"/>
      <c r="BE58" s="28"/>
      <c r="BF58" s="28"/>
      <c r="BG58" s="28"/>
      <c r="BH58" s="28"/>
      <c r="BI58" s="28"/>
      <c r="BJ58" s="28"/>
      <c r="BK58" s="28"/>
      <c r="BL58" s="28"/>
      <c r="BM58" s="28"/>
      <c r="BN58" s="28"/>
      <c r="BO58" s="28"/>
      <c r="BP58" s="28"/>
      <c r="BQ58" s="28"/>
      <c r="BR58" s="28"/>
      <c r="BS58" s="28"/>
      <c r="BT58" s="28"/>
      <c r="BU58" s="28"/>
      <c r="BV58" s="28"/>
      <c r="BW58" s="28"/>
      <c r="BX58" s="28"/>
      <c r="BY58" s="28"/>
      <c r="BZ58" s="28"/>
      <c r="CA58" s="28"/>
      <c r="CB58" s="28"/>
      <c r="CC58" s="28"/>
      <c r="CD58" s="28"/>
      <c r="CE58" s="28"/>
    </row>
    <row r="59" spans="1:83" s="6" customFormat="1" ht="12.95" customHeight="1" x14ac:dyDescent="0.2">
      <c r="A59" s="38"/>
      <c r="B59" s="401"/>
      <c r="C59" s="401"/>
      <c r="E59" s="9"/>
      <c r="F59" s="9"/>
      <c r="G59" s="34"/>
      <c r="H59" s="7"/>
      <c r="I59" s="7"/>
      <c r="J59" s="7"/>
      <c r="K59" s="7"/>
      <c r="L59" s="68"/>
      <c r="M59" s="68"/>
      <c r="N59" s="9"/>
      <c r="O59" s="9"/>
      <c r="P59" s="9"/>
      <c r="Q59" s="9"/>
      <c r="R59" s="9"/>
      <c r="S59" s="9"/>
      <c r="T59" s="11"/>
      <c r="U59" s="11"/>
      <c r="V59" s="11"/>
      <c r="W59" s="11"/>
      <c r="X59" s="11"/>
      <c r="Y59" s="11"/>
      <c r="Z59" s="11"/>
      <c r="AA59" s="328"/>
      <c r="AB59" s="9"/>
      <c r="AC59" s="9"/>
      <c r="AD59" s="9"/>
      <c r="AE59" s="9"/>
      <c r="AF59" s="9"/>
      <c r="AG59" s="9"/>
      <c r="AH59" s="9"/>
      <c r="AI59" s="9"/>
      <c r="AJ59" s="9"/>
      <c r="AK59" s="9"/>
      <c r="AL59" s="9"/>
      <c r="AM59" s="9"/>
      <c r="AN59" s="9"/>
      <c r="AO59" s="9"/>
      <c r="AP59" s="9"/>
      <c r="AQ59" s="9"/>
      <c r="AR59" s="9"/>
      <c r="AS59" s="9"/>
      <c r="AT59" s="9"/>
      <c r="AU59" s="9"/>
      <c r="AV59" s="9"/>
      <c r="AW59" s="9"/>
      <c r="AX59" s="9"/>
      <c r="AY59" s="9"/>
      <c r="AZ59" s="9"/>
      <c r="BA59" s="9"/>
      <c r="BB59" s="9"/>
      <c r="BC59" s="9"/>
      <c r="BD59" s="9"/>
      <c r="BE59" s="9"/>
      <c r="BF59" s="9"/>
      <c r="BG59" s="9"/>
      <c r="BH59" s="9"/>
      <c r="BI59" s="9"/>
      <c r="BJ59" s="9"/>
      <c r="BK59" s="9"/>
      <c r="BL59" s="9"/>
      <c r="BM59" s="9"/>
      <c r="BN59" s="9"/>
      <c r="BO59" s="9"/>
      <c r="BP59" s="9"/>
      <c r="BQ59" s="9"/>
      <c r="BR59" s="9"/>
      <c r="BS59" s="9"/>
      <c r="BT59" s="9"/>
      <c r="BU59" s="9"/>
      <c r="BV59" s="9"/>
      <c r="BW59" s="9"/>
      <c r="BX59" s="9"/>
      <c r="BY59" s="9"/>
      <c r="BZ59" s="9"/>
      <c r="CA59" s="9"/>
      <c r="CB59" s="9"/>
      <c r="CC59" s="9"/>
      <c r="CD59" s="9"/>
      <c r="CE59" s="9"/>
    </row>
    <row r="60" spans="1:83" ht="12.95" customHeight="1" x14ac:dyDescent="0.2">
      <c r="A60" s="47"/>
      <c r="B60" s="2"/>
      <c r="E60" s="28"/>
      <c r="F60" s="28"/>
      <c r="H60" s="7"/>
      <c r="I60" s="7"/>
      <c r="J60" s="7"/>
      <c r="K60" s="7"/>
      <c r="L60" s="68"/>
      <c r="M60" s="68"/>
      <c r="AA60" s="328"/>
    </row>
    <row r="61" spans="1:83" ht="12.95" customHeight="1" x14ac:dyDescent="0.2">
      <c r="A61" s="47"/>
      <c r="B61" s="2" t="str">
        <f>VLOOKUP(37,Textbausteine_Menu[],Hilfsgrössen!$D$2,FALSE)</f>
        <v>Groupe Suisse</v>
      </c>
      <c r="E61" s="28"/>
      <c r="F61" s="28"/>
      <c r="H61" s="7"/>
      <c r="I61" s="7"/>
      <c r="J61" s="7"/>
      <c r="K61" s="7"/>
      <c r="L61" s="68"/>
      <c r="M61" s="68"/>
      <c r="AA61" s="328"/>
    </row>
    <row r="62" spans="1:83" ht="12.95" customHeight="1" x14ac:dyDescent="0.2">
      <c r="A62" s="47"/>
      <c r="B62" s="86"/>
      <c r="C62" s="2" t="str">
        <f>VLOOKUP(61,Textbausteine_203[],Hilfsgrössen!$D$2,FALSE)</f>
        <v>Emplois par canton</v>
      </c>
      <c r="E62" s="28"/>
      <c r="F62" s="28"/>
      <c r="AA62" s="328"/>
    </row>
    <row r="63" spans="1:83" ht="12.95" customHeight="1" x14ac:dyDescent="0.2">
      <c r="C63" s="13" t="str">
        <f>VLOOKUP(89,Textbausteine_203[],Hilfsgrössen!$D$2,FALSE)</f>
        <v>Suisse</v>
      </c>
      <c r="D63" s="1" t="str">
        <f>VLOOKUP(15,Textbausteine_203[],Hilfsgrössen!$D$2,FALSE)</f>
        <v>Unités de personnel</v>
      </c>
      <c r="E63" s="9" t="s">
        <v>110</v>
      </c>
      <c r="F63" s="9" t="s">
        <v>108</v>
      </c>
      <c r="H63" s="15">
        <v>41125</v>
      </c>
      <c r="I63" s="15">
        <v>39727</v>
      </c>
      <c r="J63" s="15">
        <v>38799</v>
      </c>
      <c r="K63" s="15">
        <v>37935</v>
      </c>
      <c r="L63" s="15">
        <v>37902</v>
      </c>
      <c r="M63" s="15">
        <v>37817</v>
      </c>
      <c r="N63" s="15">
        <v>37873</v>
      </c>
      <c r="O63" s="15">
        <v>37703</v>
      </c>
      <c r="P63" s="15">
        <v>37984</v>
      </c>
      <c r="Q63" s="15">
        <v>37326</v>
      </c>
      <c r="R63" s="15">
        <v>37054.487249999998</v>
      </c>
      <c r="S63" s="15">
        <v>36681</v>
      </c>
      <c r="T63" s="12">
        <v>36223</v>
      </c>
      <c r="U63" s="12">
        <v>35278</v>
      </c>
      <c r="V63" s="12">
        <v>33746</v>
      </c>
      <c r="W63" s="12">
        <v>33398</v>
      </c>
      <c r="X63" s="12">
        <v>33301.071576666633</v>
      </c>
      <c r="Y63" s="11">
        <v>33531.821915730652</v>
      </c>
      <c r="Z63" s="11">
        <v>33321.552083333299</v>
      </c>
      <c r="AA63" s="328"/>
    </row>
    <row r="64" spans="1:83" ht="12.95" customHeight="1" x14ac:dyDescent="0.2">
      <c r="C64" s="26" t="str">
        <f>VLOOKUP(88,Textbausteine_203[],Hilfsgrössen!$D$2,FALSE)</f>
        <v>Zurich</v>
      </c>
      <c r="D64" s="1" t="str">
        <f>VLOOKUP(15,Textbausteine_203[],Hilfsgrössen!$D$2,FALSE)</f>
        <v>Unités de personnel</v>
      </c>
      <c r="E64" s="9" t="s">
        <v>111</v>
      </c>
      <c r="F64" s="9" t="s">
        <v>108</v>
      </c>
      <c r="H64" s="15">
        <v>6784</v>
      </c>
      <c r="I64" s="15">
        <v>6451</v>
      </c>
      <c r="J64" s="15">
        <v>6310</v>
      </c>
      <c r="K64" s="15">
        <v>6016</v>
      </c>
      <c r="L64" s="15">
        <v>5938</v>
      </c>
      <c r="M64" s="15">
        <v>6084.2270000000008</v>
      </c>
      <c r="N64" s="15">
        <v>6331.5433466505292</v>
      </c>
      <c r="O64" s="15">
        <v>6248</v>
      </c>
      <c r="P64" s="15">
        <v>6351</v>
      </c>
      <c r="Q64" s="15">
        <v>6244.6764999999996</v>
      </c>
      <c r="R64" s="15">
        <v>6178.0165000000006</v>
      </c>
      <c r="S64" s="15">
        <v>6059</v>
      </c>
      <c r="T64" s="12">
        <v>6063</v>
      </c>
      <c r="U64" s="12">
        <v>5917</v>
      </c>
      <c r="V64" s="12">
        <v>5629</v>
      </c>
      <c r="W64" s="12">
        <v>5562</v>
      </c>
      <c r="X64" s="12">
        <v>5537.61099333333</v>
      </c>
      <c r="Y64" s="11">
        <v>5441.423393453927</v>
      </c>
      <c r="Z64" s="11">
        <v>5105.902250000001</v>
      </c>
      <c r="AA64" s="328"/>
    </row>
    <row r="65" spans="3:27" ht="12.95" customHeight="1" x14ac:dyDescent="0.2">
      <c r="C65" s="26" t="str">
        <f>VLOOKUP(66,Textbausteine_203[],Hilfsgrössen!$D$2,FALSE)</f>
        <v>Berne</v>
      </c>
      <c r="D65" s="1" t="str">
        <f>VLOOKUP(15,Textbausteine_203[],Hilfsgrössen!$D$2,FALSE)</f>
        <v>Unités de personnel</v>
      </c>
      <c r="E65" s="9" t="s">
        <v>111</v>
      </c>
      <c r="F65" s="9" t="s">
        <v>108</v>
      </c>
      <c r="G65" s="267"/>
      <c r="H65" s="15">
        <v>8405</v>
      </c>
      <c r="I65" s="15">
        <v>8277</v>
      </c>
      <c r="J65" s="15">
        <v>8240</v>
      </c>
      <c r="K65" s="15">
        <v>8349</v>
      </c>
      <c r="L65" s="15">
        <v>8269</v>
      </c>
      <c r="M65" s="15">
        <v>7938.2110000000002</v>
      </c>
      <c r="N65" s="15">
        <v>7973.0468378380756</v>
      </c>
      <c r="O65" s="15">
        <v>7929</v>
      </c>
      <c r="P65" s="15">
        <v>8080</v>
      </c>
      <c r="Q65" s="15">
        <v>7981.5377499999995</v>
      </c>
      <c r="R65" s="15">
        <v>7975.4466666666667</v>
      </c>
      <c r="S65" s="15">
        <v>8048</v>
      </c>
      <c r="T65" s="12">
        <v>8037</v>
      </c>
      <c r="U65" s="12">
        <v>7870</v>
      </c>
      <c r="V65" s="12">
        <v>7669</v>
      </c>
      <c r="W65" s="12">
        <v>7720</v>
      </c>
      <c r="X65" s="12">
        <v>7901.7459166666704</v>
      </c>
      <c r="Y65" s="11">
        <v>8089.0082802060415</v>
      </c>
      <c r="Z65" s="11">
        <v>8164.1096666666708</v>
      </c>
      <c r="AA65" s="328"/>
    </row>
    <row r="66" spans="3:27" ht="12.95" customHeight="1" x14ac:dyDescent="0.2">
      <c r="C66" s="26" t="str">
        <f>VLOOKUP(74,Textbausteine_203[],Hilfsgrössen!$D$2,FALSE)</f>
        <v>Lucerne</v>
      </c>
      <c r="D66" s="1" t="str">
        <f>VLOOKUP(15,Textbausteine_203[],Hilfsgrössen!$D$2,FALSE)</f>
        <v>Unités de personnel</v>
      </c>
      <c r="E66" s="9" t="s">
        <v>111</v>
      </c>
      <c r="F66" s="9" t="s">
        <v>108</v>
      </c>
      <c r="H66" s="15">
        <v>1832</v>
      </c>
      <c r="I66" s="15">
        <v>1759</v>
      </c>
      <c r="J66" s="15">
        <v>1753</v>
      </c>
      <c r="K66" s="15">
        <v>1738</v>
      </c>
      <c r="L66" s="15">
        <v>1647</v>
      </c>
      <c r="M66" s="15">
        <v>1531.7330000000002</v>
      </c>
      <c r="N66" s="15">
        <v>1696.4962445402036</v>
      </c>
      <c r="O66" s="15">
        <v>1672</v>
      </c>
      <c r="P66" s="15">
        <v>1656</v>
      </c>
      <c r="Q66" s="15">
        <v>1631.0616666666667</v>
      </c>
      <c r="R66" s="15">
        <v>1574.9935833333334</v>
      </c>
      <c r="S66" s="15">
        <v>1644</v>
      </c>
      <c r="T66" s="15">
        <v>1612</v>
      </c>
      <c r="U66" s="15">
        <v>1532</v>
      </c>
      <c r="V66" s="15">
        <v>1407</v>
      </c>
      <c r="W66" s="15">
        <v>1346</v>
      </c>
      <c r="X66" s="15">
        <v>1337.6677499999998</v>
      </c>
      <c r="Y66" s="11">
        <v>1292.7342555024877</v>
      </c>
      <c r="Z66" s="11">
        <v>1315.8320833333298</v>
      </c>
      <c r="AA66" s="328"/>
    </row>
    <row r="67" spans="3:27" ht="12.95" customHeight="1" x14ac:dyDescent="0.2">
      <c r="C67" s="26" t="str">
        <f>VLOOKUP(84,Textbausteine_203[],Hilfsgrössen!$D$2,FALSE)</f>
        <v>Uri</v>
      </c>
      <c r="D67" s="1" t="str">
        <f>VLOOKUP(15,Textbausteine_203[],Hilfsgrössen!$D$2,FALSE)</f>
        <v>Unités de personnel</v>
      </c>
      <c r="E67" s="9" t="s">
        <v>69</v>
      </c>
      <c r="F67" s="9" t="s">
        <v>108</v>
      </c>
      <c r="G67" s="35"/>
      <c r="H67" s="15">
        <v>103</v>
      </c>
      <c r="I67" s="15">
        <v>98</v>
      </c>
      <c r="J67" s="15">
        <v>99</v>
      </c>
      <c r="K67" s="15">
        <v>97</v>
      </c>
      <c r="L67" s="15">
        <v>95</v>
      </c>
      <c r="M67" s="15">
        <v>96.533999999999992</v>
      </c>
      <c r="N67" s="15">
        <v>92.973333333333343</v>
      </c>
      <c r="O67" s="15">
        <v>93</v>
      </c>
      <c r="P67" s="15">
        <v>91</v>
      </c>
      <c r="Q67" s="15">
        <v>86.510083333333327</v>
      </c>
      <c r="R67" s="15">
        <v>85.333749999999995</v>
      </c>
      <c r="S67" s="15">
        <v>83</v>
      </c>
      <c r="T67" s="12">
        <v>80</v>
      </c>
      <c r="U67" s="12">
        <v>76</v>
      </c>
      <c r="V67" s="12">
        <v>70.299333300000001</v>
      </c>
      <c r="W67" s="12">
        <v>64</v>
      </c>
      <c r="X67" s="12">
        <v>60.627666666666698</v>
      </c>
      <c r="Y67" s="12">
        <v>62</v>
      </c>
      <c r="Z67" s="12">
        <v>64.711749999999995</v>
      </c>
      <c r="AA67" s="328"/>
    </row>
    <row r="68" spans="3:27" ht="12.95" customHeight="1" x14ac:dyDescent="0.2">
      <c r="C68" s="26" t="str">
        <f>VLOOKUP(81,Textbausteine_203[],Hilfsgrössen!$D$2,FALSE)</f>
        <v>Schwyz</v>
      </c>
      <c r="D68" s="1" t="str">
        <f>VLOOKUP(15,Textbausteine_203[],Hilfsgrössen!$D$2,FALSE)</f>
        <v>Unités de personnel</v>
      </c>
      <c r="E68" s="9" t="s">
        <v>111</v>
      </c>
      <c r="F68" s="9" t="s">
        <v>108</v>
      </c>
      <c r="H68" s="15">
        <v>371</v>
      </c>
      <c r="I68" s="15">
        <v>365</v>
      </c>
      <c r="J68" s="15">
        <v>361</v>
      </c>
      <c r="K68" s="15">
        <v>345</v>
      </c>
      <c r="L68" s="15">
        <v>390</v>
      </c>
      <c r="M68" s="15">
        <v>386.738</v>
      </c>
      <c r="N68" s="15">
        <v>347.43000000000006</v>
      </c>
      <c r="O68" s="15">
        <v>346</v>
      </c>
      <c r="P68" s="15">
        <v>328</v>
      </c>
      <c r="Q68" s="15">
        <v>314.661</v>
      </c>
      <c r="R68" s="15">
        <v>305.14208333333335</v>
      </c>
      <c r="S68" s="15">
        <v>292</v>
      </c>
      <c r="T68" s="15">
        <v>286</v>
      </c>
      <c r="U68" s="15">
        <v>278</v>
      </c>
      <c r="V68" s="15">
        <v>273</v>
      </c>
      <c r="W68" s="15">
        <v>249</v>
      </c>
      <c r="X68" s="15">
        <v>266.82458333333301</v>
      </c>
      <c r="Y68" s="11">
        <v>269.12908333333297</v>
      </c>
      <c r="Z68" s="11">
        <v>264.03041666666701</v>
      </c>
      <c r="AA68" s="328"/>
    </row>
    <row r="69" spans="3:27" ht="12.95" customHeight="1" x14ac:dyDescent="0.2">
      <c r="C69" s="26" t="str">
        <f>VLOOKUP(77,Textbausteine_203[],Hilfsgrössen!$D$2,FALSE)</f>
        <v>Obwald</v>
      </c>
      <c r="D69" s="1" t="str">
        <f>VLOOKUP(15,Textbausteine_203[],Hilfsgrössen!$D$2,FALSE)</f>
        <v>Unités de personnel</v>
      </c>
      <c r="E69" s="9" t="s">
        <v>69</v>
      </c>
      <c r="F69" s="9" t="s">
        <v>108</v>
      </c>
      <c r="H69" s="15">
        <v>91</v>
      </c>
      <c r="I69" s="15">
        <v>86</v>
      </c>
      <c r="J69" s="15">
        <v>86</v>
      </c>
      <c r="K69" s="15">
        <v>86</v>
      </c>
      <c r="L69" s="15">
        <v>87</v>
      </c>
      <c r="M69" s="15">
        <v>89.718000000000004</v>
      </c>
      <c r="N69" s="15">
        <v>84.689166666666679</v>
      </c>
      <c r="O69" s="15">
        <v>85</v>
      </c>
      <c r="P69" s="15">
        <v>79</v>
      </c>
      <c r="Q69" s="15">
        <v>79.333749999999995</v>
      </c>
      <c r="R69" s="15">
        <v>76.456583333333327</v>
      </c>
      <c r="S69" s="15">
        <v>76</v>
      </c>
      <c r="T69" s="15">
        <v>70</v>
      </c>
      <c r="U69" s="15">
        <v>67</v>
      </c>
      <c r="V69" s="15">
        <v>63.588083300000001</v>
      </c>
      <c r="W69" s="15">
        <v>81</v>
      </c>
      <c r="X69" s="15">
        <v>91.315666666666701</v>
      </c>
      <c r="Y69" s="15">
        <v>93</v>
      </c>
      <c r="Z69" s="15">
        <v>90.444833333333293</v>
      </c>
      <c r="AA69" s="328"/>
    </row>
    <row r="70" spans="3:27" ht="12.95" customHeight="1" x14ac:dyDescent="0.2">
      <c r="C70" s="26" t="str">
        <f>VLOOKUP(76,Textbausteine_203[],Hilfsgrössen!$D$2,FALSE)</f>
        <v>Nidwald</v>
      </c>
      <c r="D70" s="1" t="str">
        <f>VLOOKUP(15,Textbausteine_203[],Hilfsgrössen!$D$2,FALSE)</f>
        <v>Unités de personnel</v>
      </c>
      <c r="E70" s="9" t="s">
        <v>69</v>
      </c>
      <c r="F70" s="9" t="s">
        <v>108</v>
      </c>
      <c r="H70" s="15">
        <v>110</v>
      </c>
      <c r="I70" s="15">
        <v>108</v>
      </c>
      <c r="J70" s="15">
        <v>112</v>
      </c>
      <c r="K70" s="15">
        <v>110</v>
      </c>
      <c r="L70" s="15">
        <v>110</v>
      </c>
      <c r="M70" s="15">
        <v>109.753</v>
      </c>
      <c r="N70" s="15">
        <v>100.94333333333333</v>
      </c>
      <c r="O70" s="15">
        <v>97</v>
      </c>
      <c r="P70" s="15">
        <v>84</v>
      </c>
      <c r="Q70" s="15">
        <v>81.878500000000003</v>
      </c>
      <c r="R70" s="15">
        <v>82.684583333333336</v>
      </c>
      <c r="S70" s="15">
        <v>79</v>
      </c>
      <c r="T70" s="15">
        <v>75</v>
      </c>
      <c r="U70" s="15">
        <v>71</v>
      </c>
      <c r="V70" s="15">
        <v>69.337500000000006</v>
      </c>
      <c r="W70" s="15">
        <v>68</v>
      </c>
      <c r="X70" s="15">
        <v>64.756083333333294</v>
      </c>
      <c r="Y70" s="11">
        <v>105.15175000000001</v>
      </c>
      <c r="Z70" s="11">
        <v>111.55783333333299</v>
      </c>
      <c r="AA70" s="328"/>
    </row>
    <row r="71" spans="3:27" ht="12.95" customHeight="1" x14ac:dyDescent="0.2">
      <c r="C71" s="26" t="str">
        <f>VLOOKUP(71,Textbausteine_203[],Hilfsgrössen!$D$2,FALSE)</f>
        <v>Glaris</v>
      </c>
      <c r="D71" s="1" t="str">
        <f>VLOOKUP(15,Textbausteine_203[],Hilfsgrössen!$D$2,FALSE)</f>
        <v>Unités de personnel</v>
      </c>
      <c r="E71" s="9" t="s">
        <v>69</v>
      </c>
      <c r="F71" s="9" t="s">
        <v>108</v>
      </c>
      <c r="H71" s="15">
        <v>259</v>
      </c>
      <c r="I71" s="15">
        <v>269</v>
      </c>
      <c r="J71" s="15">
        <v>256</v>
      </c>
      <c r="K71" s="15">
        <v>246</v>
      </c>
      <c r="L71" s="15">
        <v>261</v>
      </c>
      <c r="M71" s="15">
        <v>270.69299999999998</v>
      </c>
      <c r="N71" s="15">
        <v>269.86</v>
      </c>
      <c r="O71" s="15">
        <v>268</v>
      </c>
      <c r="P71" s="15">
        <v>260</v>
      </c>
      <c r="Q71" s="15">
        <v>249.26050000000001</v>
      </c>
      <c r="R71" s="15">
        <v>239.46583333333334</v>
      </c>
      <c r="S71" s="15">
        <v>241</v>
      </c>
      <c r="T71" s="15">
        <v>239</v>
      </c>
      <c r="U71" s="15">
        <v>228</v>
      </c>
      <c r="V71" s="15">
        <v>236.73349999999999</v>
      </c>
      <c r="W71" s="15">
        <v>277</v>
      </c>
      <c r="X71" s="15">
        <v>282.18158333333298</v>
      </c>
      <c r="Y71" s="11">
        <v>264.27924999999999</v>
      </c>
      <c r="Z71" s="11">
        <v>254.73066666666699</v>
      </c>
      <c r="AA71" s="328"/>
    </row>
    <row r="72" spans="3:27" ht="12.95" customHeight="1" x14ac:dyDescent="0.25">
      <c r="C72" s="26" t="str">
        <f>VLOOKUP(87,Textbausteine_203[],Hilfsgrössen!$D$2,FALSE)</f>
        <v>Zoug</v>
      </c>
      <c r="D72" s="1" t="str">
        <f>VLOOKUP(15,Textbausteine_203[],Hilfsgrössen!$D$2,FALSE)</f>
        <v>Unités de personnel</v>
      </c>
      <c r="E72" s="9" t="s">
        <v>111</v>
      </c>
      <c r="F72" s="9" t="s">
        <v>108</v>
      </c>
      <c r="G72" s="36"/>
      <c r="H72" s="15">
        <v>393</v>
      </c>
      <c r="I72" s="15">
        <v>378</v>
      </c>
      <c r="J72" s="15">
        <v>375</v>
      </c>
      <c r="K72" s="15">
        <v>367</v>
      </c>
      <c r="L72" s="15">
        <v>343</v>
      </c>
      <c r="M72" s="15">
        <v>351.76799999999997</v>
      </c>
      <c r="N72" s="15">
        <v>328.64416666666665</v>
      </c>
      <c r="O72" s="15">
        <v>327</v>
      </c>
      <c r="P72" s="15">
        <v>387</v>
      </c>
      <c r="Q72" s="15">
        <v>384.39941666666664</v>
      </c>
      <c r="R72" s="15">
        <v>367.84800000000001</v>
      </c>
      <c r="S72" s="15">
        <v>358</v>
      </c>
      <c r="T72" s="12">
        <v>344</v>
      </c>
      <c r="U72" s="12">
        <v>328</v>
      </c>
      <c r="V72" s="12">
        <v>268</v>
      </c>
      <c r="W72" s="12">
        <v>261</v>
      </c>
      <c r="X72" s="12">
        <v>250.14699999999999</v>
      </c>
      <c r="Y72" s="11">
        <v>274.83733333333305</v>
      </c>
      <c r="Z72" s="11">
        <v>277.56050000000005</v>
      </c>
      <c r="AA72" s="328"/>
    </row>
    <row r="73" spans="3:27" ht="12.95" customHeight="1" x14ac:dyDescent="0.2">
      <c r="C73" s="114" t="str">
        <f>VLOOKUP(69,Textbausteine_203[],Hilfsgrössen!$D$2,FALSE)</f>
        <v>Fribourg</v>
      </c>
      <c r="D73" s="1" t="str">
        <f>VLOOKUP(15,Textbausteine_203[],Hilfsgrössen!$D$2,FALSE)</f>
        <v>Unités de personnel</v>
      </c>
      <c r="E73" s="9" t="s">
        <v>69</v>
      </c>
      <c r="F73" s="9" t="s">
        <v>108</v>
      </c>
      <c r="H73" s="15">
        <v>1150</v>
      </c>
      <c r="I73" s="15">
        <v>1187</v>
      </c>
      <c r="J73" s="15">
        <v>1164</v>
      </c>
      <c r="K73" s="15">
        <v>1136</v>
      </c>
      <c r="L73" s="15">
        <v>1117</v>
      </c>
      <c r="M73" s="15">
        <v>1092.145</v>
      </c>
      <c r="N73" s="15">
        <v>1078.5083333333332</v>
      </c>
      <c r="O73" s="15">
        <v>1083</v>
      </c>
      <c r="P73" s="15">
        <v>1096</v>
      </c>
      <c r="Q73" s="15">
        <v>1116.1558333333332</v>
      </c>
      <c r="R73" s="15">
        <v>1138.31925</v>
      </c>
      <c r="S73" s="15">
        <v>1132</v>
      </c>
      <c r="T73" s="12">
        <v>1098</v>
      </c>
      <c r="U73" s="12">
        <v>1054</v>
      </c>
      <c r="V73" s="12">
        <v>1041.1721700000001</v>
      </c>
      <c r="W73" s="12">
        <v>1030</v>
      </c>
      <c r="X73" s="12">
        <v>1009.6277499999997</v>
      </c>
      <c r="Y73" s="11">
        <v>985.40566189060428</v>
      </c>
      <c r="Z73" s="11">
        <v>974.74591666666686</v>
      </c>
      <c r="AA73" s="328"/>
    </row>
    <row r="74" spans="3:27" ht="12.95" customHeight="1" x14ac:dyDescent="0.2">
      <c r="C74" s="26" t="str">
        <f>VLOOKUP(80,Textbausteine_203[],Hilfsgrössen!$D$2,FALSE)</f>
        <v>Soleure</v>
      </c>
      <c r="D74" s="1" t="str">
        <f>VLOOKUP(15,Textbausteine_203[],Hilfsgrössen!$D$2,FALSE)</f>
        <v>Unités de personnel</v>
      </c>
      <c r="E74" s="9" t="s">
        <v>111</v>
      </c>
      <c r="F74" s="9" t="s">
        <v>108</v>
      </c>
      <c r="H74" s="15">
        <v>1512</v>
      </c>
      <c r="I74" s="15">
        <v>1374</v>
      </c>
      <c r="J74" s="15">
        <v>1310</v>
      </c>
      <c r="K74" s="15">
        <v>1334</v>
      </c>
      <c r="L74" s="15">
        <v>1539</v>
      </c>
      <c r="M74" s="15">
        <v>2059.9280000000003</v>
      </c>
      <c r="N74" s="15">
        <v>2099.9425000000001</v>
      </c>
      <c r="O74" s="15">
        <v>2134</v>
      </c>
      <c r="P74" s="15">
        <v>2228</v>
      </c>
      <c r="Q74" s="15">
        <v>2162.4022500000001</v>
      </c>
      <c r="R74" s="15">
        <v>2154.30375</v>
      </c>
      <c r="S74" s="15">
        <v>2176</v>
      </c>
      <c r="T74" s="15">
        <v>2136</v>
      </c>
      <c r="U74" s="15">
        <v>2169</v>
      </c>
      <c r="V74" s="15">
        <v>2129</v>
      </c>
      <c r="W74" s="15">
        <v>2128</v>
      </c>
      <c r="X74" s="15">
        <v>2095.8149999999969</v>
      </c>
      <c r="Y74" s="11">
        <v>2010.3748196122272</v>
      </c>
      <c r="Z74" s="11">
        <v>1798.4070833333301</v>
      </c>
      <c r="AA74" s="328"/>
    </row>
    <row r="75" spans="3:27" ht="12.95" customHeight="1" x14ac:dyDescent="0.2">
      <c r="C75" s="114" t="str">
        <f>VLOOKUP(68,Textbausteine_203[],Hilfsgrössen!$D$2,FALSE)</f>
        <v>Bâle-Ville</v>
      </c>
      <c r="D75" s="1" t="str">
        <f>VLOOKUP(15,Textbausteine_203[],Hilfsgrössen!$D$2,FALSE)</f>
        <v>Unités de personnel</v>
      </c>
      <c r="E75" s="9" t="s">
        <v>111</v>
      </c>
      <c r="F75" s="9" t="s">
        <v>108</v>
      </c>
      <c r="H75" s="15">
        <v>1692</v>
      </c>
      <c r="I75" s="15">
        <v>1573</v>
      </c>
      <c r="J75" s="15">
        <v>1527</v>
      </c>
      <c r="K75" s="15">
        <v>1495</v>
      </c>
      <c r="L75" s="15">
        <v>1426</v>
      </c>
      <c r="M75" s="15">
        <v>1264.5559999999998</v>
      </c>
      <c r="N75" s="15">
        <v>1287.9200056752909</v>
      </c>
      <c r="O75" s="15">
        <v>1198</v>
      </c>
      <c r="P75" s="15">
        <v>1501</v>
      </c>
      <c r="Q75" s="15">
        <v>1511.6490833333332</v>
      </c>
      <c r="R75" s="15">
        <v>1551.9482500000001</v>
      </c>
      <c r="S75" s="15">
        <v>1404</v>
      </c>
      <c r="T75" s="12">
        <v>1408</v>
      </c>
      <c r="U75" s="12">
        <v>1340</v>
      </c>
      <c r="V75" s="12">
        <v>1027</v>
      </c>
      <c r="W75" s="12">
        <v>935</v>
      </c>
      <c r="X75" s="12">
        <v>889.31299999999953</v>
      </c>
      <c r="Y75" s="11">
        <v>858.5821450199993</v>
      </c>
      <c r="Z75" s="11">
        <v>905.49033333333307</v>
      </c>
      <c r="AA75" s="328"/>
    </row>
    <row r="76" spans="3:27" ht="12.95" customHeight="1" x14ac:dyDescent="0.2">
      <c r="C76" s="26" t="str">
        <f>VLOOKUP(67,Textbausteine_203[],Hilfsgrössen!$D$2,FALSE)</f>
        <v>Bâle-Campagne</v>
      </c>
      <c r="D76" s="1" t="str">
        <f>VLOOKUP(15,Textbausteine_203[],Hilfsgrössen!$D$2,FALSE)</f>
        <v>Unités de personnel</v>
      </c>
      <c r="E76" s="9" t="s">
        <v>111</v>
      </c>
      <c r="F76" s="9" t="s">
        <v>108</v>
      </c>
      <c r="H76" s="15">
        <v>1116</v>
      </c>
      <c r="I76" s="15">
        <v>1013</v>
      </c>
      <c r="J76" s="15">
        <v>972</v>
      </c>
      <c r="K76" s="15">
        <v>983</v>
      </c>
      <c r="L76" s="15">
        <v>1054</v>
      </c>
      <c r="M76" s="15">
        <v>1100.6089999999999</v>
      </c>
      <c r="N76" s="15">
        <v>954.14249999999993</v>
      </c>
      <c r="O76" s="15">
        <v>931</v>
      </c>
      <c r="P76" s="15">
        <v>906</v>
      </c>
      <c r="Q76" s="15">
        <v>874.64083333333338</v>
      </c>
      <c r="R76" s="15">
        <v>813.07783333333339</v>
      </c>
      <c r="S76" s="15">
        <v>784</v>
      </c>
      <c r="T76" s="12">
        <v>756</v>
      </c>
      <c r="U76" s="12">
        <v>732</v>
      </c>
      <c r="V76" s="12">
        <v>699</v>
      </c>
      <c r="W76" s="12">
        <v>630</v>
      </c>
      <c r="X76" s="12">
        <v>634.85025000000007</v>
      </c>
      <c r="Y76" s="11">
        <v>699.61066666666693</v>
      </c>
      <c r="Z76" s="11">
        <v>786.91558333333296</v>
      </c>
      <c r="AA76" s="328"/>
    </row>
    <row r="77" spans="3:27" ht="12.95" customHeight="1" x14ac:dyDescent="0.2">
      <c r="C77" s="26" t="str">
        <f>VLOOKUP(79,Textbausteine_203[],Hilfsgrössen!$D$2,FALSE)</f>
        <v>Schaffhouse</v>
      </c>
      <c r="D77" s="1" t="str">
        <f>VLOOKUP(15,Textbausteine_203[],Hilfsgrössen!$D$2,FALSE)</f>
        <v>Unités de personnel</v>
      </c>
      <c r="E77" s="9" t="s">
        <v>69</v>
      </c>
      <c r="F77" s="9" t="s">
        <v>108</v>
      </c>
      <c r="H77" s="15">
        <v>250</v>
      </c>
      <c r="I77" s="15">
        <v>263</v>
      </c>
      <c r="J77" s="15">
        <v>272</v>
      </c>
      <c r="K77" s="15">
        <v>257</v>
      </c>
      <c r="L77" s="15">
        <v>258</v>
      </c>
      <c r="M77" s="15">
        <v>270.46499999999997</v>
      </c>
      <c r="N77" s="15">
        <v>274.57583333333332</v>
      </c>
      <c r="O77" s="15">
        <v>300</v>
      </c>
      <c r="P77" s="15">
        <v>298</v>
      </c>
      <c r="Q77" s="15">
        <v>301.18891666666667</v>
      </c>
      <c r="R77" s="15">
        <v>293.68608333333333</v>
      </c>
      <c r="S77" s="15">
        <v>307</v>
      </c>
      <c r="T77" s="15">
        <v>280</v>
      </c>
      <c r="U77" s="15">
        <v>288</v>
      </c>
      <c r="V77" s="15">
        <v>271.89</v>
      </c>
      <c r="W77" s="15">
        <v>264</v>
      </c>
      <c r="X77" s="15">
        <v>261.6925</v>
      </c>
      <c r="Y77" s="11">
        <v>266.57833333333298</v>
      </c>
      <c r="Z77" s="11">
        <v>269.27424999999999</v>
      </c>
      <c r="AA77" s="328"/>
    </row>
    <row r="78" spans="3:27" ht="12.95" customHeight="1" x14ac:dyDescent="0.2">
      <c r="C78" s="114" t="str">
        <f>VLOOKUP(65,Textbausteine_203[],Hilfsgrössen!$D$2,FALSE)</f>
        <v>Appenzell Rhodes-Extérieures</v>
      </c>
      <c r="D78" s="1" t="str">
        <f>VLOOKUP(15,Textbausteine_203[],Hilfsgrössen!$D$2,FALSE)</f>
        <v>Unités de personnel</v>
      </c>
      <c r="E78" s="9" t="s">
        <v>69</v>
      </c>
      <c r="F78" s="9" t="s">
        <v>108</v>
      </c>
      <c r="G78" s="267"/>
      <c r="H78" s="15">
        <v>200</v>
      </c>
      <c r="I78" s="15">
        <v>192</v>
      </c>
      <c r="J78" s="15">
        <v>186</v>
      </c>
      <c r="K78" s="15">
        <v>174</v>
      </c>
      <c r="L78" s="15">
        <v>170</v>
      </c>
      <c r="M78" s="15">
        <v>169.29000000000002</v>
      </c>
      <c r="N78" s="15">
        <v>147.40916666666666</v>
      </c>
      <c r="O78" s="15">
        <v>142</v>
      </c>
      <c r="P78" s="15">
        <v>137</v>
      </c>
      <c r="Q78" s="15">
        <v>132.54058333333333</v>
      </c>
      <c r="R78" s="15">
        <v>129.78966666666668</v>
      </c>
      <c r="S78" s="15">
        <v>124</v>
      </c>
      <c r="T78" s="12">
        <v>121</v>
      </c>
      <c r="U78" s="12">
        <v>119</v>
      </c>
      <c r="V78" s="12">
        <v>114.274917</v>
      </c>
      <c r="W78" s="12">
        <v>108</v>
      </c>
      <c r="X78" s="12">
        <v>101.811833333333</v>
      </c>
      <c r="Y78" s="11">
        <v>100</v>
      </c>
      <c r="Z78" s="11">
        <v>102.27991666666701</v>
      </c>
      <c r="AA78" s="328"/>
    </row>
    <row r="79" spans="3:27" ht="12.95" customHeight="1" x14ac:dyDescent="0.2">
      <c r="C79" s="114" t="str">
        <f>VLOOKUP(64,Textbausteine_203[],Hilfsgrössen!$D$2,FALSE)</f>
        <v>Appenzell Rhodes-Intérieures</v>
      </c>
      <c r="D79" s="1" t="str">
        <f>VLOOKUP(15,Textbausteine_203[],Hilfsgrössen!$D$2,FALSE)</f>
        <v>Unités de personnel</v>
      </c>
      <c r="E79" s="9" t="s">
        <v>69</v>
      </c>
      <c r="F79" s="9" t="s">
        <v>108</v>
      </c>
      <c r="H79" s="15">
        <v>39</v>
      </c>
      <c r="I79" s="15">
        <v>40</v>
      </c>
      <c r="J79" s="15">
        <v>41</v>
      </c>
      <c r="K79" s="15">
        <v>40</v>
      </c>
      <c r="L79" s="15">
        <v>40</v>
      </c>
      <c r="M79" s="15">
        <v>41.997999999999998</v>
      </c>
      <c r="N79" s="15">
        <v>39.446666666666673</v>
      </c>
      <c r="O79" s="15">
        <v>39</v>
      </c>
      <c r="P79" s="15">
        <v>37</v>
      </c>
      <c r="Q79" s="15">
        <v>39.22291666666667</v>
      </c>
      <c r="R79" s="15">
        <v>40.095416666666665</v>
      </c>
      <c r="S79" s="15">
        <v>37</v>
      </c>
      <c r="T79" s="12">
        <v>40</v>
      </c>
      <c r="U79" s="12">
        <v>39</v>
      </c>
      <c r="V79" s="12">
        <v>38.465416699999999</v>
      </c>
      <c r="W79" s="12">
        <v>43</v>
      </c>
      <c r="X79" s="12">
        <v>53.016500000000001</v>
      </c>
      <c r="Y79" s="12">
        <v>53.016500000000001</v>
      </c>
      <c r="Z79" s="12">
        <v>53.042000000000002</v>
      </c>
      <c r="AA79" s="328"/>
    </row>
    <row r="80" spans="3:27" ht="12.95" customHeight="1" x14ac:dyDescent="0.2">
      <c r="C80" s="26" t="str">
        <f>VLOOKUP(78,Textbausteine_203[],Hilfsgrössen!$D$2,FALSE)</f>
        <v>Saint-Gall</v>
      </c>
      <c r="D80" s="1" t="str">
        <f>VLOOKUP(15,Textbausteine_203[],Hilfsgrössen!$D$2,FALSE)</f>
        <v>Unités de personnel</v>
      </c>
      <c r="E80" s="9" t="s">
        <v>111</v>
      </c>
      <c r="F80" s="9" t="s">
        <v>108</v>
      </c>
      <c r="H80" s="15">
        <v>2001</v>
      </c>
      <c r="I80" s="15">
        <v>1922</v>
      </c>
      <c r="J80" s="15">
        <v>1901</v>
      </c>
      <c r="K80" s="15">
        <v>1854</v>
      </c>
      <c r="L80" s="15">
        <v>1803</v>
      </c>
      <c r="M80" s="15">
        <v>1818.3240000000001</v>
      </c>
      <c r="N80" s="15">
        <v>1912.5952319625715</v>
      </c>
      <c r="O80" s="15">
        <v>1945</v>
      </c>
      <c r="P80" s="15">
        <v>1929</v>
      </c>
      <c r="Q80" s="15">
        <v>1947.7953333333332</v>
      </c>
      <c r="R80" s="15">
        <v>2056.2443333333331</v>
      </c>
      <c r="S80" s="15">
        <v>2026</v>
      </c>
      <c r="T80" s="15">
        <v>1976</v>
      </c>
      <c r="U80" s="15">
        <v>1803</v>
      </c>
      <c r="V80" s="15">
        <v>1596</v>
      </c>
      <c r="W80" s="15">
        <v>1483</v>
      </c>
      <c r="X80" s="15">
        <v>1375.1025</v>
      </c>
      <c r="Y80" s="11">
        <v>1343.6888444660826</v>
      </c>
      <c r="Z80" s="11">
        <v>1356.8615000000002</v>
      </c>
      <c r="AA80" s="328"/>
    </row>
    <row r="81" spans="2:27" ht="12.95" customHeight="1" x14ac:dyDescent="0.2">
      <c r="C81" s="26" t="str">
        <f>VLOOKUP(72,Textbausteine_203[],Hilfsgrössen!$D$2,FALSE)</f>
        <v>Grisons</v>
      </c>
      <c r="D81" s="1" t="str">
        <f>VLOOKUP(15,Textbausteine_203[],Hilfsgrössen!$D$2,FALSE)</f>
        <v>Unités de personnel</v>
      </c>
      <c r="E81" s="9" t="s">
        <v>69</v>
      </c>
      <c r="F81" s="9" t="s">
        <v>108</v>
      </c>
      <c r="H81" s="15">
        <v>1120</v>
      </c>
      <c r="I81" s="15">
        <v>1053</v>
      </c>
      <c r="J81" s="15">
        <v>1005</v>
      </c>
      <c r="K81" s="15">
        <v>966</v>
      </c>
      <c r="L81" s="15">
        <v>946</v>
      </c>
      <c r="M81" s="15">
        <v>944.60699999999997</v>
      </c>
      <c r="N81" s="15">
        <v>934.55416666666645</v>
      </c>
      <c r="O81" s="15">
        <v>930</v>
      </c>
      <c r="P81" s="15">
        <v>911</v>
      </c>
      <c r="Q81" s="15">
        <v>899.74924999999996</v>
      </c>
      <c r="R81" s="15">
        <v>920.70725000000004</v>
      </c>
      <c r="S81" s="15">
        <v>901</v>
      </c>
      <c r="T81" s="15">
        <v>875</v>
      </c>
      <c r="U81" s="15">
        <v>861</v>
      </c>
      <c r="V81" s="15">
        <v>844.06224999999995</v>
      </c>
      <c r="W81" s="15">
        <v>845</v>
      </c>
      <c r="X81" s="15">
        <v>850.21391666666705</v>
      </c>
      <c r="Y81" s="11">
        <v>861.49641666666707</v>
      </c>
      <c r="Z81" s="11">
        <v>895.15299999999991</v>
      </c>
      <c r="AA81" s="328"/>
    </row>
    <row r="82" spans="2:27" ht="12.95" customHeight="1" x14ac:dyDescent="0.2">
      <c r="C82" s="164" t="str">
        <f>VLOOKUP(63,Textbausteine_203[],Hilfsgrössen!$D$2,FALSE)</f>
        <v>Argovie</v>
      </c>
      <c r="D82" s="1" t="str">
        <f>VLOOKUP(15,Textbausteine_203[],Hilfsgrössen!$D$2,FALSE)</f>
        <v>Unités de personnel</v>
      </c>
      <c r="E82" s="9" t="s">
        <v>69</v>
      </c>
      <c r="F82" s="9" t="s">
        <v>108</v>
      </c>
      <c r="H82" s="15">
        <v>2575</v>
      </c>
      <c r="I82" s="15">
        <v>2546</v>
      </c>
      <c r="J82" s="15">
        <v>2452</v>
      </c>
      <c r="K82" s="15">
        <v>2354</v>
      </c>
      <c r="L82" s="15">
        <v>2570</v>
      </c>
      <c r="M82" s="15">
        <v>2557.2199999999998</v>
      </c>
      <c r="N82" s="15">
        <v>2505.5350000000003</v>
      </c>
      <c r="O82" s="15">
        <v>2504</v>
      </c>
      <c r="P82" s="15">
        <v>2406</v>
      </c>
      <c r="Q82" s="15">
        <v>2228.5073333333335</v>
      </c>
      <c r="R82" s="15">
        <v>2103.5278333333335</v>
      </c>
      <c r="S82" s="15">
        <v>2008</v>
      </c>
      <c r="T82" s="12">
        <v>1983</v>
      </c>
      <c r="U82" s="12">
        <v>1904</v>
      </c>
      <c r="V82" s="12">
        <v>1918.1749199999999</v>
      </c>
      <c r="W82" s="12">
        <v>1976</v>
      </c>
      <c r="X82" s="12">
        <v>1950.11816666667</v>
      </c>
      <c r="Y82" s="11">
        <v>2043.5475984416764</v>
      </c>
      <c r="Z82" s="11">
        <v>2152.1442499999994</v>
      </c>
      <c r="AA82" s="328"/>
    </row>
    <row r="83" spans="2:27" ht="12.95" customHeight="1" x14ac:dyDescent="0.2">
      <c r="C83" s="26" t="str">
        <f>VLOOKUP(82,Textbausteine_203[],Hilfsgrössen!$D$2,FALSE)</f>
        <v>Thurgovie</v>
      </c>
      <c r="D83" s="1" t="str">
        <f>VLOOKUP(15,Textbausteine_203[],Hilfsgrössen!$D$2,FALSE)</f>
        <v>Unités de personnel</v>
      </c>
      <c r="E83" s="9" t="s">
        <v>69</v>
      </c>
      <c r="F83" s="9" t="s">
        <v>108</v>
      </c>
      <c r="G83" s="35"/>
      <c r="H83" s="15">
        <v>1103</v>
      </c>
      <c r="I83" s="15">
        <v>1051</v>
      </c>
      <c r="J83" s="15">
        <v>1028</v>
      </c>
      <c r="K83" s="15">
        <v>1017</v>
      </c>
      <c r="L83" s="15">
        <v>1054</v>
      </c>
      <c r="M83" s="15">
        <v>1053.6889999999999</v>
      </c>
      <c r="N83" s="15">
        <v>998.76166666666666</v>
      </c>
      <c r="O83" s="15">
        <v>1014</v>
      </c>
      <c r="P83" s="15">
        <v>1018</v>
      </c>
      <c r="Q83" s="15">
        <v>1028.6684166666666</v>
      </c>
      <c r="R83" s="15">
        <v>995.8000833333333</v>
      </c>
      <c r="S83" s="15">
        <v>993</v>
      </c>
      <c r="T83" s="15">
        <v>973</v>
      </c>
      <c r="U83" s="15">
        <v>1078</v>
      </c>
      <c r="V83" s="15">
        <v>1102.99</v>
      </c>
      <c r="W83" s="15">
        <v>1124</v>
      </c>
      <c r="X83" s="15">
        <v>1150.499</v>
      </c>
      <c r="Y83" s="11">
        <v>1202.23583333333</v>
      </c>
      <c r="Z83" s="11">
        <v>1212.3280833333299</v>
      </c>
      <c r="AA83" s="328"/>
    </row>
    <row r="84" spans="2:27" ht="12.95" customHeight="1" x14ac:dyDescent="0.2">
      <c r="C84" s="26" t="str">
        <f>VLOOKUP(83,Textbausteine_203[],Hilfsgrössen!$D$2,FALSE)</f>
        <v>Tessin</v>
      </c>
      <c r="D84" s="1" t="str">
        <f>VLOOKUP(15,Textbausteine_203[],Hilfsgrössen!$D$2,FALSE)</f>
        <v>Unités de personnel</v>
      </c>
      <c r="E84" s="9" t="s">
        <v>111</v>
      </c>
      <c r="F84" s="9" t="s">
        <v>108</v>
      </c>
      <c r="G84" s="35"/>
      <c r="H84" s="15">
        <v>1845</v>
      </c>
      <c r="I84" s="15">
        <v>1768</v>
      </c>
      <c r="J84" s="15">
        <v>1703</v>
      </c>
      <c r="K84" s="15">
        <v>1640</v>
      </c>
      <c r="L84" s="15">
        <v>1603</v>
      </c>
      <c r="M84" s="15">
        <v>1572.279</v>
      </c>
      <c r="N84" s="15">
        <v>1560.2808333333335</v>
      </c>
      <c r="O84" s="15">
        <v>1545</v>
      </c>
      <c r="P84" s="15">
        <v>1575</v>
      </c>
      <c r="Q84" s="15">
        <v>1547.4628333333333</v>
      </c>
      <c r="R84" s="15">
        <v>1523.1366666666665</v>
      </c>
      <c r="S84" s="15">
        <v>1512</v>
      </c>
      <c r="T84" s="15">
        <v>1482</v>
      </c>
      <c r="U84" s="15">
        <v>1443</v>
      </c>
      <c r="V84" s="15">
        <v>1359</v>
      </c>
      <c r="W84" s="15">
        <v>1346</v>
      </c>
      <c r="X84" s="15">
        <v>1370.8184166666699</v>
      </c>
      <c r="Y84" s="11">
        <v>1452.9214166666702</v>
      </c>
      <c r="Z84" s="11">
        <v>1446.29991666667</v>
      </c>
      <c r="AA84" s="328"/>
    </row>
    <row r="85" spans="2:27" ht="12.95" customHeight="1" x14ac:dyDescent="0.2">
      <c r="C85" s="26" t="str">
        <f>VLOOKUP(85,Textbausteine_203[],Hilfsgrössen!$D$2,FALSE)</f>
        <v>Vaud</v>
      </c>
      <c r="D85" s="1" t="str">
        <f>VLOOKUP(15,Textbausteine_203[],Hilfsgrössen!$D$2,FALSE)</f>
        <v>Unités de personnel</v>
      </c>
      <c r="E85" s="9" t="s">
        <v>69</v>
      </c>
      <c r="F85" s="9" t="s">
        <v>108</v>
      </c>
      <c r="G85" s="35"/>
      <c r="H85" s="15">
        <v>3764</v>
      </c>
      <c r="I85" s="15">
        <v>3637</v>
      </c>
      <c r="J85" s="15">
        <v>3477</v>
      </c>
      <c r="K85" s="15">
        <v>3348</v>
      </c>
      <c r="L85" s="15">
        <v>3367</v>
      </c>
      <c r="M85" s="15">
        <v>3392.8409999999999</v>
      </c>
      <c r="N85" s="15">
        <v>3303.060833333333</v>
      </c>
      <c r="O85" s="15">
        <v>3316</v>
      </c>
      <c r="P85" s="15">
        <v>3177</v>
      </c>
      <c r="Q85" s="15">
        <v>3084.159916666667</v>
      </c>
      <c r="R85" s="15">
        <v>3059.771666666667</v>
      </c>
      <c r="S85" s="15">
        <v>3038</v>
      </c>
      <c r="T85" s="12">
        <v>2982</v>
      </c>
      <c r="U85" s="12">
        <v>2890</v>
      </c>
      <c r="V85" s="12">
        <v>2820.0921699999999</v>
      </c>
      <c r="W85" s="12">
        <v>2799</v>
      </c>
      <c r="X85" s="12">
        <v>2742.6490000000031</v>
      </c>
      <c r="Y85" s="11">
        <v>2755.9782797701682</v>
      </c>
      <c r="Z85" s="11">
        <v>2745.8145</v>
      </c>
      <c r="AA85" s="328"/>
    </row>
    <row r="86" spans="2:27" ht="12.95" customHeight="1" x14ac:dyDescent="0.2">
      <c r="C86" s="26" t="str">
        <f>VLOOKUP(86,Textbausteine_203[],Hilfsgrössen!$D$2,FALSE)</f>
        <v>Valais</v>
      </c>
      <c r="D86" s="1" t="str">
        <f>VLOOKUP(15,Textbausteine_203[],Hilfsgrössen!$D$2,FALSE)</f>
        <v>Unités de personnel</v>
      </c>
      <c r="E86" s="9" t="s">
        <v>111</v>
      </c>
      <c r="F86" s="9" t="s">
        <v>108</v>
      </c>
      <c r="G86" s="35"/>
      <c r="H86" s="15">
        <v>1142</v>
      </c>
      <c r="I86" s="15">
        <v>1109</v>
      </c>
      <c r="J86" s="15">
        <v>1074</v>
      </c>
      <c r="K86" s="15">
        <v>1038</v>
      </c>
      <c r="L86" s="15">
        <v>1047</v>
      </c>
      <c r="M86" s="15">
        <v>1047.3909999999998</v>
      </c>
      <c r="N86" s="15">
        <v>1042.2274999999997</v>
      </c>
      <c r="O86" s="15">
        <v>1059</v>
      </c>
      <c r="P86" s="15">
        <v>1062</v>
      </c>
      <c r="Q86" s="15">
        <v>1062.9904166666668</v>
      </c>
      <c r="R86" s="15">
        <v>1086.8663333333334</v>
      </c>
      <c r="S86" s="15">
        <v>1082</v>
      </c>
      <c r="T86" s="12">
        <v>1071</v>
      </c>
      <c r="U86" s="12">
        <v>1057</v>
      </c>
      <c r="V86" s="12">
        <v>1055</v>
      </c>
      <c r="W86" s="12">
        <v>1026</v>
      </c>
      <c r="X86" s="12">
        <v>1044.79608333333</v>
      </c>
      <c r="Y86" s="11">
        <v>1086.5649166666699</v>
      </c>
      <c r="Z86" s="11">
        <v>1121.52866666667</v>
      </c>
      <c r="AA86" s="328"/>
    </row>
    <row r="87" spans="2:27" ht="12.95" customHeight="1" x14ac:dyDescent="0.2">
      <c r="C87" s="26" t="str">
        <f>VLOOKUP(75,Textbausteine_203[],Hilfsgrössen!$D$2,FALSE)</f>
        <v>Neuchâtel</v>
      </c>
      <c r="D87" s="1" t="str">
        <f>VLOOKUP(15,Textbausteine_203[],Hilfsgrössen!$D$2,FALSE)</f>
        <v>Unités de personnel</v>
      </c>
      <c r="E87" s="9" t="s">
        <v>69</v>
      </c>
      <c r="F87" s="9" t="s">
        <v>108</v>
      </c>
      <c r="H87" s="15">
        <v>743</v>
      </c>
      <c r="I87" s="15">
        <v>709</v>
      </c>
      <c r="J87" s="15">
        <v>680</v>
      </c>
      <c r="K87" s="15">
        <v>655</v>
      </c>
      <c r="L87" s="15">
        <v>645</v>
      </c>
      <c r="M87" s="15">
        <v>644.33799999999997</v>
      </c>
      <c r="N87" s="15">
        <v>632.70416666666654</v>
      </c>
      <c r="O87" s="15">
        <v>626</v>
      </c>
      <c r="P87" s="15">
        <v>597</v>
      </c>
      <c r="Q87" s="15">
        <v>590.3054166666667</v>
      </c>
      <c r="R87" s="15">
        <v>580.35141666666664</v>
      </c>
      <c r="S87" s="15">
        <v>567</v>
      </c>
      <c r="T87" s="15">
        <v>546</v>
      </c>
      <c r="U87" s="15">
        <v>519</v>
      </c>
      <c r="V87" s="15">
        <v>488.40341699999999</v>
      </c>
      <c r="W87" s="15">
        <v>482</v>
      </c>
      <c r="X87" s="15">
        <v>479.56074999999998</v>
      </c>
      <c r="Y87" s="11">
        <v>473.76241666666704</v>
      </c>
      <c r="Z87" s="11">
        <v>477.24199999999996</v>
      </c>
      <c r="AA87" s="328"/>
    </row>
    <row r="88" spans="2:27" ht="12.95" customHeight="1" x14ac:dyDescent="0.2">
      <c r="C88" s="26" t="str">
        <f>VLOOKUP(70,Textbausteine_203[],Hilfsgrössen!$D$2,FALSE)</f>
        <v>Genève</v>
      </c>
      <c r="D88" s="1" t="str">
        <f>VLOOKUP(15,Textbausteine_203[],Hilfsgrössen!$D$2,FALSE)</f>
        <v>Unités de personnel</v>
      </c>
      <c r="E88" s="9" t="s">
        <v>69</v>
      </c>
      <c r="F88" s="9" t="s">
        <v>108</v>
      </c>
      <c r="H88" s="15">
        <v>2187</v>
      </c>
      <c r="I88" s="15">
        <v>2169</v>
      </c>
      <c r="J88" s="15">
        <v>2097</v>
      </c>
      <c r="K88" s="15">
        <v>1979</v>
      </c>
      <c r="L88" s="15">
        <v>1806</v>
      </c>
      <c r="M88" s="15">
        <v>1612.6959999999999</v>
      </c>
      <c r="N88" s="15">
        <v>1570.3766666666666</v>
      </c>
      <c r="O88" s="15">
        <v>1575</v>
      </c>
      <c r="P88" s="15">
        <v>1504</v>
      </c>
      <c r="Q88" s="15">
        <v>1465.8400833333335</v>
      </c>
      <c r="R88" s="15">
        <v>1431.9389999999999</v>
      </c>
      <c r="S88" s="15">
        <v>1392</v>
      </c>
      <c r="T88" s="15">
        <v>1357</v>
      </c>
      <c r="U88" s="15">
        <v>1289</v>
      </c>
      <c r="V88" s="15">
        <v>1235.62417</v>
      </c>
      <c r="W88" s="15">
        <v>1170</v>
      </c>
      <c r="X88" s="15">
        <v>1127.4347500000001</v>
      </c>
      <c r="Y88" s="11">
        <v>1083.5641373674555</v>
      </c>
      <c r="Z88" s="11">
        <v>1038.8354999999999</v>
      </c>
      <c r="AA88" s="328"/>
    </row>
    <row r="89" spans="2:27" ht="12.95" customHeight="1" x14ac:dyDescent="0.2">
      <c r="C89" s="26" t="str">
        <f>VLOOKUP(73,Textbausteine_203[],Hilfsgrössen!$D$2,FALSE)</f>
        <v>Jura</v>
      </c>
      <c r="D89" s="1" t="str">
        <f>VLOOKUP(15,Textbausteine_203[],Hilfsgrössen!$D$2,FALSE)</f>
        <v>Unités de personnel</v>
      </c>
      <c r="E89" s="9" t="s">
        <v>111</v>
      </c>
      <c r="F89" s="9" t="s">
        <v>108</v>
      </c>
      <c r="H89" s="15">
        <v>338</v>
      </c>
      <c r="I89" s="15">
        <v>329</v>
      </c>
      <c r="J89" s="15">
        <v>318</v>
      </c>
      <c r="K89" s="15">
        <v>311</v>
      </c>
      <c r="L89" s="15">
        <v>317</v>
      </c>
      <c r="M89" s="15">
        <v>315.41800000000001</v>
      </c>
      <c r="N89" s="15">
        <v>305.7</v>
      </c>
      <c r="O89" s="15">
        <v>297</v>
      </c>
      <c r="P89" s="15">
        <v>286</v>
      </c>
      <c r="Q89" s="15">
        <v>279.67633333333333</v>
      </c>
      <c r="R89" s="15">
        <v>289.53483333333332</v>
      </c>
      <c r="S89" s="15">
        <v>317</v>
      </c>
      <c r="T89" s="15">
        <v>334</v>
      </c>
      <c r="U89" s="15">
        <v>326</v>
      </c>
      <c r="V89" s="15">
        <v>320</v>
      </c>
      <c r="W89" s="15">
        <v>326</v>
      </c>
      <c r="X89" s="15">
        <v>318.87491666666699</v>
      </c>
      <c r="Y89" s="11">
        <v>317.49716666666694</v>
      </c>
      <c r="Z89" s="11">
        <v>336.30958333333297</v>
      </c>
      <c r="AA89" s="328"/>
    </row>
    <row r="90" spans="2:27" ht="12.95" customHeight="1" x14ac:dyDescent="0.2">
      <c r="C90" s="26" t="str">
        <f>VLOOKUP(90,Textbausteine_203[],Hilfsgrössen!$D$2,FALSE)</f>
        <v>Étranger</v>
      </c>
      <c r="D90" s="1" t="str">
        <f>VLOOKUP(15,Textbausteine_203[],Hilfsgrössen!$D$2,FALSE)</f>
        <v>Unités de personnel</v>
      </c>
      <c r="E90" s="236" t="s">
        <v>112</v>
      </c>
      <c r="F90" s="9" t="s">
        <v>108</v>
      </c>
      <c r="G90" s="33"/>
      <c r="H90" s="184" t="s">
        <v>29</v>
      </c>
      <c r="I90" s="184" t="s">
        <v>29</v>
      </c>
      <c r="J90" s="184" t="s">
        <v>29</v>
      </c>
      <c r="K90" s="184" t="s">
        <v>29</v>
      </c>
      <c r="L90" s="184" t="s">
        <v>29</v>
      </c>
      <c r="M90" s="184" t="s">
        <v>29</v>
      </c>
      <c r="N90" s="184" t="s">
        <v>29</v>
      </c>
      <c r="O90" s="184" t="s">
        <v>29</v>
      </c>
      <c r="P90" s="184" t="s">
        <v>29</v>
      </c>
      <c r="Q90" s="184" t="s">
        <v>29</v>
      </c>
      <c r="R90" s="184" t="s">
        <v>29</v>
      </c>
      <c r="S90" s="184" t="s">
        <v>29</v>
      </c>
      <c r="T90" s="184" t="s">
        <v>29</v>
      </c>
      <c r="U90" s="184" t="s">
        <v>29</v>
      </c>
      <c r="V90" s="184" t="s">
        <v>29</v>
      </c>
      <c r="W90" s="75">
        <v>55</v>
      </c>
      <c r="X90" s="75">
        <v>52</v>
      </c>
      <c r="Y90" s="11">
        <v>45.879166666666663</v>
      </c>
      <c r="Z90" s="11" t="s">
        <v>29</v>
      </c>
      <c r="AA90" s="328"/>
    </row>
    <row r="91" spans="2:27" ht="12.95" customHeight="1" x14ac:dyDescent="0.2">
      <c r="E91" s="11"/>
      <c r="G91" s="33"/>
      <c r="T91" s="75"/>
      <c r="U91" s="75"/>
      <c r="V91" s="75"/>
      <c r="W91" s="75"/>
      <c r="X91" s="75"/>
      <c r="Y91" s="75"/>
      <c r="Z91" s="75"/>
      <c r="AA91" s="328"/>
    </row>
    <row r="92" spans="2:27" ht="12.95" customHeight="1" x14ac:dyDescent="0.2">
      <c r="B92" s="86"/>
      <c r="C92" s="2" t="str">
        <f>VLOOKUP(62,Textbausteine_203[],Hilfsgrössen!$D$2,FALSE)</f>
        <v>Personnel Poste sur 100 employés par canton</v>
      </c>
      <c r="E92" s="28"/>
      <c r="F92" s="28"/>
      <c r="T92" s="75"/>
      <c r="U92" s="75"/>
      <c r="V92" s="75"/>
      <c r="W92" s="75"/>
      <c r="X92" s="75"/>
      <c r="Y92" s="75"/>
      <c r="Z92" s="75"/>
      <c r="AA92" s="328"/>
    </row>
    <row r="93" spans="2:27" ht="12.95" customHeight="1" x14ac:dyDescent="0.2">
      <c r="C93" s="13" t="str">
        <f>VLOOKUP(89,Textbausteine_203[],Hilfsgrössen!$D$2,FALSE)</f>
        <v>Suisse</v>
      </c>
      <c r="D93" s="1" t="str">
        <f>VLOOKUP(12,Textbausteine_203[],Hilfsgrössen!$D$2,FALSE)</f>
        <v>%</v>
      </c>
      <c r="E93" s="11" t="s">
        <v>113</v>
      </c>
      <c r="F93" s="9" t="s">
        <v>108</v>
      </c>
      <c r="H93" s="106">
        <v>1.4108364367286998</v>
      </c>
      <c r="I93" s="106">
        <v>1.3763565711030843</v>
      </c>
      <c r="J93" s="106">
        <v>1.3358271694868376</v>
      </c>
      <c r="K93" s="106">
        <v>1.2925343995785739</v>
      </c>
      <c r="L93" s="106">
        <v>1.3026169595629598</v>
      </c>
      <c r="M93" s="106">
        <v>1.3263171993287255</v>
      </c>
      <c r="N93" s="106">
        <v>1.3361010167950553</v>
      </c>
      <c r="O93" s="106">
        <v>1.3084444302818399</v>
      </c>
      <c r="P93" s="106">
        <v>1.1599999999999999</v>
      </c>
      <c r="Q93" s="106">
        <v>1.1499999999999999</v>
      </c>
      <c r="R93" s="106">
        <v>1.1599999999999999</v>
      </c>
      <c r="S93" s="106">
        <v>1.1299999999999999</v>
      </c>
      <c r="T93" s="91">
        <v>1.1200000000000001</v>
      </c>
      <c r="U93" s="91">
        <v>1.08</v>
      </c>
      <c r="V93" s="91">
        <v>1.01426694</v>
      </c>
      <c r="W93" s="91">
        <v>0.98</v>
      </c>
      <c r="X93" s="91">
        <v>0.94195828561916772</v>
      </c>
      <c r="Y93" s="75">
        <v>0.92991186005618076</v>
      </c>
      <c r="Z93" s="75">
        <v>0.91419553639761197</v>
      </c>
      <c r="AA93" s="328"/>
    </row>
    <row r="94" spans="2:27" ht="12.95" customHeight="1" x14ac:dyDescent="0.2">
      <c r="C94" s="26" t="str">
        <f>VLOOKUP(88,Textbausteine_203[],Hilfsgrössen!$D$2,FALSE)</f>
        <v>Zurich</v>
      </c>
      <c r="D94" s="1" t="str">
        <f>VLOOKUP(12,Textbausteine_203[],Hilfsgrössen!$D$2,FALSE)</f>
        <v>%</v>
      </c>
      <c r="E94" s="11" t="s">
        <v>113</v>
      </c>
      <c r="F94" s="9" t="s">
        <v>108</v>
      </c>
      <c r="H94" s="106">
        <v>1.1052724449021936</v>
      </c>
      <c r="I94" s="106">
        <v>1.052315759520462</v>
      </c>
      <c r="J94" s="106">
        <v>1.017758101117737</v>
      </c>
      <c r="K94" s="106">
        <v>0.95760243980882986</v>
      </c>
      <c r="L94" s="106">
        <v>0.9426998665547045</v>
      </c>
      <c r="M94" s="106">
        <v>1.0534211260713899</v>
      </c>
      <c r="N94" s="106">
        <v>1.2699964835664153</v>
      </c>
      <c r="O94" s="106">
        <v>1.1967319042714593</v>
      </c>
      <c r="P94" s="106">
        <v>1.08</v>
      </c>
      <c r="Q94" s="106">
        <v>1.05</v>
      </c>
      <c r="R94" s="106">
        <v>1.07</v>
      </c>
      <c r="S94" s="106">
        <v>1.04</v>
      </c>
      <c r="T94" s="91">
        <v>1.05</v>
      </c>
      <c r="U94" s="91">
        <v>1.02</v>
      </c>
      <c r="V94" s="91">
        <v>0.97397592</v>
      </c>
      <c r="W94" s="91">
        <v>0.95</v>
      </c>
      <c r="X94" s="91">
        <v>0.8995838898608981</v>
      </c>
      <c r="Y94" s="75">
        <v>0.83757669895865672</v>
      </c>
      <c r="Z94" s="75">
        <v>0.78633210212188132</v>
      </c>
      <c r="AA94" s="328"/>
    </row>
    <row r="95" spans="2:27" ht="12.95" customHeight="1" x14ac:dyDescent="0.2">
      <c r="C95" s="26" t="str">
        <f>VLOOKUP(66,Textbausteine_203[],Hilfsgrössen!$D$2,FALSE)</f>
        <v>Berne</v>
      </c>
      <c r="D95" s="1" t="str">
        <f>VLOOKUP(12,Textbausteine_203[],Hilfsgrössen!$D$2,FALSE)</f>
        <v>%</v>
      </c>
      <c r="E95" s="11" t="s">
        <v>113</v>
      </c>
      <c r="F95" s="9" t="s">
        <v>108</v>
      </c>
      <c r="H95" s="106">
        <v>2.4419239472726408</v>
      </c>
      <c r="I95" s="106">
        <v>2.4137907550425872</v>
      </c>
      <c r="J95" s="106">
        <v>2.3593339786042642</v>
      </c>
      <c r="K95" s="106">
        <v>2.2824917316791415</v>
      </c>
      <c r="L95" s="106">
        <v>2.2168363848316535</v>
      </c>
      <c r="M95" s="106">
        <v>2.1918632206098776</v>
      </c>
      <c r="N95" s="106">
        <v>2.1615220517799179</v>
      </c>
      <c r="O95" s="106">
        <v>2.1316871858169946</v>
      </c>
      <c r="P95" s="106">
        <v>1.93</v>
      </c>
      <c r="Q95" s="106">
        <v>1.91</v>
      </c>
      <c r="R95" s="106">
        <v>1.91</v>
      </c>
      <c r="S95" s="106">
        <v>1.92</v>
      </c>
      <c r="T95" s="91">
        <v>1.91</v>
      </c>
      <c r="U95" s="91">
        <v>1.86</v>
      </c>
      <c r="V95" s="91">
        <v>1.7813217699999999</v>
      </c>
      <c r="W95" s="91">
        <v>1.81</v>
      </c>
      <c r="X95" s="91">
        <v>1.815835245729984</v>
      </c>
      <c r="Y95" s="75">
        <v>1.8482162946420542</v>
      </c>
      <c r="Z95" s="75">
        <v>1.8037402596266356</v>
      </c>
      <c r="AA95" s="328"/>
    </row>
    <row r="96" spans="2:27" ht="12.95" customHeight="1" x14ac:dyDescent="0.2">
      <c r="C96" s="26" t="str">
        <f>VLOOKUP(74,Textbausteine_203[],Hilfsgrössen!$D$2,FALSE)</f>
        <v>Lucerne</v>
      </c>
      <c r="D96" s="1" t="str">
        <f>VLOOKUP(12,Textbausteine_203[],Hilfsgrössen!$D$2,FALSE)</f>
        <v>%</v>
      </c>
      <c r="E96" s="11" t="s">
        <v>113</v>
      </c>
      <c r="F96" s="9" t="s">
        <v>108</v>
      </c>
      <c r="H96" s="106">
        <v>1.3643902949750102</v>
      </c>
      <c r="I96" s="106">
        <v>1.3095296744252047</v>
      </c>
      <c r="J96" s="106">
        <v>1.2952407453242287</v>
      </c>
      <c r="K96" s="106">
        <v>1.276222909193103</v>
      </c>
      <c r="L96" s="106">
        <v>1.2420580472026141</v>
      </c>
      <c r="M96" s="106">
        <v>1.2223124101105949</v>
      </c>
      <c r="N96" s="106">
        <v>1.6291948436424248</v>
      </c>
      <c r="O96" s="106">
        <v>1.6048760237978468</v>
      </c>
      <c r="P96" s="106">
        <v>1.31</v>
      </c>
      <c r="Q96" s="106">
        <v>1.3</v>
      </c>
      <c r="R96" s="106">
        <v>1.25</v>
      </c>
      <c r="S96" s="106">
        <v>1.43</v>
      </c>
      <c r="T96" s="81">
        <v>1.42</v>
      </c>
      <c r="U96" s="81">
        <v>1.38</v>
      </c>
      <c r="V96" s="81">
        <v>1.26056634</v>
      </c>
      <c r="W96" s="81">
        <v>1.22</v>
      </c>
      <c r="X96" s="81">
        <v>1.1871164409886281</v>
      </c>
      <c r="Y96" s="75">
        <v>1.1471953645839295</v>
      </c>
      <c r="Z96" s="75">
        <v>1.1965847898689765</v>
      </c>
      <c r="AA96" s="328"/>
    </row>
    <row r="97" spans="3:27" ht="12.95" customHeight="1" x14ac:dyDescent="0.2">
      <c r="C97" s="26" t="str">
        <f>VLOOKUP(84,Textbausteine_203[],Hilfsgrössen!$D$2,FALSE)</f>
        <v>Uri</v>
      </c>
      <c r="D97" s="1" t="str">
        <f>VLOOKUP(12,Textbausteine_203[],Hilfsgrössen!$D$2,FALSE)</f>
        <v>%</v>
      </c>
      <c r="E97" s="11" t="s">
        <v>113</v>
      </c>
      <c r="F97" s="9" t="s">
        <v>108</v>
      </c>
      <c r="H97" s="106">
        <v>1.079694986166408</v>
      </c>
      <c r="I97" s="106">
        <v>1.0622624108689294</v>
      </c>
      <c r="J97" s="106">
        <v>1.0735092336414964</v>
      </c>
      <c r="K97" s="106">
        <v>1.1134354544841083</v>
      </c>
      <c r="L97" s="106">
        <v>1.1606721101288886</v>
      </c>
      <c r="M97" s="106">
        <v>1.1640461569606586</v>
      </c>
      <c r="N97" s="106">
        <v>0.97285016982702377</v>
      </c>
      <c r="O97" s="106">
        <v>0.95935398249994353</v>
      </c>
      <c r="P97" s="106">
        <v>0.85</v>
      </c>
      <c r="Q97" s="106">
        <v>0.81</v>
      </c>
      <c r="R97" s="106">
        <v>0.79</v>
      </c>
      <c r="S97" s="106">
        <v>0.78</v>
      </c>
      <c r="T97" s="91">
        <v>0.75</v>
      </c>
      <c r="U97" s="91">
        <v>0.7</v>
      </c>
      <c r="V97" s="91">
        <v>0.61658411999999996</v>
      </c>
      <c r="W97" s="91">
        <v>0.56000000000000005</v>
      </c>
      <c r="X97" s="91">
        <v>0.50678272231189014</v>
      </c>
      <c r="Y97" s="75">
        <v>0.51446852663131193</v>
      </c>
      <c r="Z97" s="75">
        <v>0.54042733072015969</v>
      </c>
      <c r="AA97" s="328"/>
    </row>
    <row r="98" spans="3:27" ht="12.95" customHeight="1" x14ac:dyDescent="0.2">
      <c r="C98" s="26" t="str">
        <f>VLOOKUP(81,Textbausteine_203[],Hilfsgrössen!$D$2,FALSE)</f>
        <v>Schwyz</v>
      </c>
      <c r="D98" s="1" t="str">
        <f>VLOOKUP(12,Textbausteine_203[],Hilfsgrössen!$D$2,FALSE)</f>
        <v>%</v>
      </c>
      <c r="E98" s="11" t="s">
        <v>113</v>
      </c>
      <c r="F98" s="9" t="s">
        <v>108</v>
      </c>
      <c r="H98" s="106">
        <v>0.98230842479827607</v>
      </c>
      <c r="I98" s="106">
        <v>0.95975542524933588</v>
      </c>
      <c r="J98" s="106">
        <v>0.94346714779732377</v>
      </c>
      <c r="K98" s="106">
        <v>0.91214353731268483</v>
      </c>
      <c r="L98" s="106">
        <v>1.0201751894730393</v>
      </c>
      <c r="M98" s="106">
        <v>1.0856061745100987</v>
      </c>
      <c r="N98" s="106">
        <v>0.82429821190909758</v>
      </c>
      <c r="O98" s="106">
        <v>0.79450597793704092</v>
      </c>
      <c r="P98" s="106">
        <v>0.62</v>
      </c>
      <c r="Q98" s="106">
        <v>0.59</v>
      </c>
      <c r="R98" s="106">
        <v>0.56999999999999995</v>
      </c>
      <c r="S98" s="106">
        <v>1.52</v>
      </c>
      <c r="T98" s="91">
        <v>0.51</v>
      </c>
      <c r="U98" s="91">
        <v>0.49</v>
      </c>
      <c r="V98" s="91">
        <v>0.45962395</v>
      </c>
      <c r="W98" s="91">
        <v>0.41</v>
      </c>
      <c r="X98" s="91">
        <v>0.42166791697924483</v>
      </c>
      <c r="Y98" s="75">
        <v>0.42175543885971495</v>
      </c>
      <c r="Z98" s="75">
        <v>0.41593314995415476</v>
      </c>
      <c r="AA98" s="328"/>
    </row>
    <row r="99" spans="3:27" ht="12.95" customHeight="1" x14ac:dyDescent="0.2">
      <c r="C99" s="26" t="str">
        <f>VLOOKUP(77,Textbausteine_203[],Hilfsgrössen!$D$2,FALSE)</f>
        <v>Obwald</v>
      </c>
      <c r="D99" s="1" t="str">
        <f>VLOOKUP(12,Textbausteine_203[],Hilfsgrössen!$D$2,FALSE)</f>
        <v>%</v>
      </c>
      <c r="E99" s="11" t="s">
        <v>113</v>
      </c>
      <c r="F99" s="9" t="s">
        <v>108</v>
      </c>
      <c r="H99" s="106">
        <v>0.77406869859700045</v>
      </c>
      <c r="I99" s="106">
        <v>0.72770520883728429</v>
      </c>
      <c r="J99" s="106">
        <v>0.73022496371552981</v>
      </c>
      <c r="K99" s="106">
        <v>0.74383164005805513</v>
      </c>
      <c r="L99" s="106">
        <v>0.78011611030478956</v>
      </c>
      <c r="M99" s="106">
        <v>0.89451499758103536</v>
      </c>
      <c r="N99" s="106">
        <v>0.77205289469440408</v>
      </c>
      <c r="O99" s="106">
        <v>0.76701338493791316</v>
      </c>
      <c r="P99" s="106">
        <v>0.61</v>
      </c>
      <c r="Q99" s="106">
        <v>0.61</v>
      </c>
      <c r="R99" s="106">
        <v>0.59</v>
      </c>
      <c r="S99" s="106">
        <v>0.56000000000000005</v>
      </c>
      <c r="T99" s="91">
        <v>0.52</v>
      </c>
      <c r="U99" s="91">
        <v>0.49</v>
      </c>
      <c r="V99" s="91">
        <v>0.43803576</v>
      </c>
      <c r="W99" s="91">
        <v>0.54</v>
      </c>
      <c r="X99" s="91">
        <v>0.5799638671718883</v>
      </c>
      <c r="Y99" s="75">
        <v>0.59035605224870735</v>
      </c>
      <c r="Z99" s="75">
        <v>0.57959614369993762</v>
      </c>
      <c r="AA99" s="328"/>
    </row>
    <row r="100" spans="3:27" ht="12.95" customHeight="1" x14ac:dyDescent="0.2">
      <c r="C100" s="26" t="str">
        <f>VLOOKUP(76,Textbausteine_203[],Hilfsgrössen!$D$2,FALSE)</f>
        <v>Nidwald</v>
      </c>
      <c r="D100" s="1" t="str">
        <f>VLOOKUP(12,Textbausteine_203[],Hilfsgrössen!$D$2,FALSE)</f>
        <v>%</v>
      </c>
      <c r="E100" s="11" t="s">
        <v>113</v>
      </c>
      <c r="F100" s="9" t="s">
        <v>108</v>
      </c>
      <c r="H100" s="106">
        <v>0.91697508700215435</v>
      </c>
      <c r="I100" s="106">
        <v>0.87186285882634562</v>
      </c>
      <c r="J100" s="106">
        <v>0.8704818722495351</v>
      </c>
      <c r="K100" s="106">
        <v>0.86725957023697731</v>
      </c>
      <c r="L100" s="106">
        <v>0.88935535546594491</v>
      </c>
      <c r="M100" s="106">
        <v>0.9648511296470198</v>
      </c>
      <c r="N100" s="106">
        <v>0.79867057025539057</v>
      </c>
      <c r="O100" s="106">
        <v>0.76138393268150772</v>
      </c>
      <c r="P100" s="106">
        <v>0.57999999999999996</v>
      </c>
      <c r="Q100" s="106">
        <v>0.55000000000000004</v>
      </c>
      <c r="R100" s="106">
        <v>0.55000000000000004</v>
      </c>
      <c r="S100" s="106">
        <v>0.51</v>
      </c>
      <c r="T100" s="81">
        <v>0.48</v>
      </c>
      <c r="U100" s="81">
        <v>0.46</v>
      </c>
      <c r="V100" s="81">
        <v>0.42093978999999998</v>
      </c>
      <c r="W100" s="81">
        <v>0.39</v>
      </c>
      <c r="X100" s="81">
        <v>0.3670186023127201</v>
      </c>
      <c r="Y100" s="75">
        <v>0.56704733175321265</v>
      </c>
      <c r="Z100" s="75">
        <v>0.60080442433383752</v>
      </c>
      <c r="AA100" s="328"/>
    </row>
    <row r="101" spans="3:27" ht="12.95" customHeight="1" x14ac:dyDescent="0.2">
      <c r="C101" s="26" t="str">
        <f>VLOOKUP(71,Textbausteine_203[],Hilfsgrössen!$D$2,FALSE)</f>
        <v>Glaris</v>
      </c>
      <c r="D101" s="1" t="str">
        <f>VLOOKUP(12,Textbausteine_203[],Hilfsgrössen!$D$2,FALSE)</f>
        <v>%</v>
      </c>
      <c r="E101" s="11" t="s">
        <v>113</v>
      </c>
      <c r="F101" s="9" t="s">
        <v>108</v>
      </c>
      <c r="H101" s="106">
        <v>1.9809162435131966</v>
      </c>
      <c r="I101" s="106">
        <v>2.0980972043970763</v>
      </c>
      <c r="J101" s="106">
        <v>2.005561445603854</v>
      </c>
      <c r="K101" s="106">
        <v>1.9362758774621951</v>
      </c>
      <c r="L101" s="106">
        <v>2.0032364265386975</v>
      </c>
      <c r="M101" s="106">
        <v>2.0339266781987613</v>
      </c>
      <c r="N101" s="106">
        <v>1.9511559994791958</v>
      </c>
      <c r="O101" s="106">
        <v>1.9107006677454756</v>
      </c>
      <c r="P101" s="106">
        <v>1.61</v>
      </c>
      <c r="Q101" s="106">
        <v>1.55</v>
      </c>
      <c r="R101" s="106">
        <v>1.46</v>
      </c>
      <c r="S101" s="106">
        <v>1.46</v>
      </c>
      <c r="T101" s="91">
        <v>1.42</v>
      </c>
      <c r="U101" s="91">
        <v>1.33</v>
      </c>
      <c r="V101" s="91">
        <v>1.32967295</v>
      </c>
      <c r="W101" s="91">
        <v>1.54</v>
      </c>
      <c r="X101" s="91">
        <v>1.5667986578248509</v>
      </c>
      <c r="Y101" s="75">
        <v>1.4852980932843518</v>
      </c>
      <c r="Z101" s="75">
        <v>1.4391807006663184</v>
      </c>
      <c r="AA101" s="328"/>
    </row>
    <row r="102" spans="3:27" ht="12.95" customHeight="1" x14ac:dyDescent="0.2">
      <c r="C102" s="26" t="str">
        <f>VLOOKUP(87,Textbausteine_203[],Hilfsgrössen!$D$2,FALSE)</f>
        <v>Zoug</v>
      </c>
      <c r="D102" s="1" t="str">
        <f>VLOOKUP(12,Textbausteine_203[],Hilfsgrössen!$D$2,FALSE)</f>
        <v>%</v>
      </c>
      <c r="E102" s="11" t="s">
        <v>113</v>
      </c>
      <c r="F102" s="9" t="s">
        <v>108</v>
      </c>
      <c r="H102" s="106">
        <v>0.61501676197988564</v>
      </c>
      <c r="I102" s="106">
        <v>0.59221553934135274</v>
      </c>
      <c r="J102" s="106">
        <v>0.57742555708933152</v>
      </c>
      <c r="K102" s="106">
        <v>0.56448432261881287</v>
      </c>
      <c r="L102" s="106">
        <v>0.57434431078682713</v>
      </c>
      <c r="M102" s="106">
        <v>0.65712753894695319</v>
      </c>
      <c r="N102" s="106">
        <v>0.5262768684677579</v>
      </c>
      <c r="O102" s="106">
        <v>0.51816291987116281</v>
      </c>
      <c r="P102" s="106">
        <v>0.71</v>
      </c>
      <c r="Q102" s="106">
        <v>0.71</v>
      </c>
      <c r="R102" s="106">
        <v>0.72</v>
      </c>
      <c r="S102" s="106">
        <v>0.7</v>
      </c>
      <c r="T102" s="91">
        <v>0.68</v>
      </c>
      <c r="U102" s="91">
        <v>0.65</v>
      </c>
      <c r="V102" s="91">
        <v>0.60757103000000001</v>
      </c>
      <c r="W102" s="91">
        <v>0.43</v>
      </c>
      <c r="X102" s="91">
        <v>0.26654729093154067</v>
      </c>
      <c r="Y102" s="75">
        <v>0.28315163644236868</v>
      </c>
      <c r="Z102" s="75">
        <v>0.28519974954502658</v>
      </c>
      <c r="AA102" s="328"/>
    </row>
    <row r="103" spans="3:27" ht="12.95" customHeight="1" x14ac:dyDescent="0.2">
      <c r="C103" s="26" t="str">
        <f>VLOOKUP(69,Textbausteine_203[],Hilfsgrössen!$D$2,FALSE)</f>
        <v>Fribourg</v>
      </c>
      <c r="D103" s="1" t="str">
        <f>VLOOKUP(12,Textbausteine_203[],Hilfsgrössen!$D$2,FALSE)</f>
        <v>%</v>
      </c>
      <c r="E103" s="11" t="s">
        <v>113</v>
      </c>
      <c r="F103" s="9" t="s">
        <v>108</v>
      </c>
      <c r="H103" s="106">
        <v>1.5774245599718086</v>
      </c>
      <c r="I103" s="106">
        <v>1.6629277548375423</v>
      </c>
      <c r="J103" s="106">
        <v>1.6472077452380509</v>
      </c>
      <c r="K103" s="106">
        <v>1.6302835840273013</v>
      </c>
      <c r="L103" s="106">
        <v>1.6183432501391302</v>
      </c>
      <c r="M103" s="106">
        <v>1.5040868371756588</v>
      </c>
      <c r="N103" s="106">
        <v>1.4054781732415873</v>
      </c>
      <c r="O103" s="106">
        <v>1.3810579223621491</v>
      </c>
      <c r="P103" s="106">
        <v>1.1200000000000001</v>
      </c>
      <c r="Q103" s="106">
        <v>1.1399999999999999</v>
      </c>
      <c r="R103" s="106">
        <v>1.1499999999999999</v>
      </c>
      <c r="S103" s="106">
        <v>1.1299999999999999</v>
      </c>
      <c r="T103" s="91">
        <v>1.0900000000000001</v>
      </c>
      <c r="U103" s="91">
        <v>1.04</v>
      </c>
      <c r="V103" s="91">
        <v>0.96203344000000002</v>
      </c>
      <c r="W103" s="91">
        <v>0.93</v>
      </c>
      <c r="X103" s="91">
        <v>0.89269926999588944</v>
      </c>
      <c r="Y103" s="75">
        <v>0.86611808112113009</v>
      </c>
      <c r="Z103" s="75">
        <v>0.85063964342548515</v>
      </c>
      <c r="AA103" s="328"/>
    </row>
    <row r="104" spans="3:27" ht="12.95" customHeight="1" x14ac:dyDescent="0.2">
      <c r="C104" s="26" t="str">
        <f>VLOOKUP(80,Textbausteine_203[],Hilfsgrössen!$D$2,FALSE)</f>
        <v>Soleure</v>
      </c>
      <c r="D104" s="1" t="str">
        <f>VLOOKUP(12,Textbausteine_203[],Hilfsgrössen!$D$2,FALSE)</f>
        <v>%</v>
      </c>
      <c r="E104" s="11" t="s">
        <v>113</v>
      </c>
      <c r="F104" s="9" t="s">
        <v>108</v>
      </c>
      <c r="H104" s="106">
        <v>1.8399741399843479</v>
      </c>
      <c r="I104" s="106">
        <v>1.7046672037910258</v>
      </c>
      <c r="J104" s="106">
        <v>1.5919677021271295</v>
      </c>
      <c r="K104" s="106">
        <v>1.5805233250535913</v>
      </c>
      <c r="L104" s="106">
        <v>1.8901629861512812</v>
      </c>
      <c r="M104" s="106">
        <v>2.2489281704038926</v>
      </c>
      <c r="N104" s="106">
        <v>2.1691080563022438</v>
      </c>
      <c r="O104" s="106">
        <v>2.1770475347919289</v>
      </c>
      <c r="P104" s="106">
        <v>2.2400000000000002</v>
      </c>
      <c r="Q104" s="106">
        <v>2.2000000000000002</v>
      </c>
      <c r="R104" s="106">
        <v>2.1800000000000002</v>
      </c>
      <c r="S104" s="106">
        <v>2.21</v>
      </c>
      <c r="T104" s="91">
        <v>2.15</v>
      </c>
      <c r="U104" s="91">
        <v>2.16</v>
      </c>
      <c r="V104" s="91">
        <v>2.0841260500000001</v>
      </c>
      <c r="W104" s="91">
        <v>1.88</v>
      </c>
      <c r="X104" s="91">
        <v>1.7228937077852824</v>
      </c>
      <c r="Y104" s="75">
        <v>1.6472986338955959</v>
      </c>
      <c r="Z104" s="75">
        <v>1.4694774262353361</v>
      </c>
      <c r="AA104" s="328"/>
    </row>
    <row r="105" spans="3:27" ht="12.95" customHeight="1" x14ac:dyDescent="0.2">
      <c r="C105" s="26" t="str">
        <f>VLOOKUP(68,Textbausteine_203[],Hilfsgrössen!$D$2,FALSE)</f>
        <v>Bâle-Ville</v>
      </c>
      <c r="D105" s="1" t="str">
        <f>VLOOKUP(12,Textbausteine_203[],Hilfsgrössen!$D$2,FALSE)</f>
        <v>%</v>
      </c>
      <c r="E105" s="11" t="s">
        <v>113</v>
      </c>
      <c r="F105" s="9" t="s">
        <v>108</v>
      </c>
      <c r="H105" s="106">
        <v>1.3629080398378837</v>
      </c>
      <c r="I105" s="106">
        <v>1.272476881669756</v>
      </c>
      <c r="J105" s="106">
        <v>1.2224932515918825</v>
      </c>
      <c r="K105" s="106">
        <v>1.1794275660561122</v>
      </c>
      <c r="L105" s="106">
        <v>1.2391215558138804</v>
      </c>
      <c r="M105" s="106">
        <v>1.0637575795658047</v>
      </c>
      <c r="N105" s="106">
        <v>1.2916051254477872</v>
      </c>
      <c r="O105" s="106">
        <v>1.2049807827243497</v>
      </c>
      <c r="P105" s="106">
        <v>1.48</v>
      </c>
      <c r="Q105" s="106">
        <v>1.53</v>
      </c>
      <c r="R105" s="106">
        <v>1.64</v>
      </c>
      <c r="S105" s="106">
        <v>1.26</v>
      </c>
      <c r="T105" s="91">
        <v>1.25</v>
      </c>
      <c r="U105" s="91">
        <v>1.18</v>
      </c>
      <c r="V105" s="91">
        <v>1.06752702</v>
      </c>
      <c r="W105" s="91">
        <v>0.93</v>
      </c>
      <c r="X105" s="91">
        <v>0.90832507346475544</v>
      </c>
      <c r="Y105" s="75">
        <v>0.89554758216554475</v>
      </c>
      <c r="Z105" s="75">
        <v>0.8927598100142804</v>
      </c>
      <c r="AA105" s="328"/>
    </row>
    <row r="106" spans="3:27" ht="12.95" customHeight="1" x14ac:dyDescent="0.2">
      <c r="C106" s="26" t="str">
        <f>VLOOKUP(67,Textbausteine_203[],Hilfsgrössen!$D$2,FALSE)</f>
        <v>Bâle-Campagne</v>
      </c>
      <c r="D106" s="1" t="str">
        <f>VLOOKUP(12,Textbausteine_203[],Hilfsgrössen!$D$2,FALSE)</f>
        <v>%</v>
      </c>
      <c r="E106" s="11" t="s">
        <v>113</v>
      </c>
      <c r="F106" s="9" t="s">
        <v>108</v>
      </c>
      <c r="H106" s="106">
        <v>1.1903326662326492</v>
      </c>
      <c r="I106" s="106">
        <v>1.0989166034653897</v>
      </c>
      <c r="J106" s="106">
        <v>1.0472556222744078</v>
      </c>
      <c r="K106" s="106">
        <v>1.0488751717985194</v>
      </c>
      <c r="L106" s="106">
        <v>1.2795473360178107</v>
      </c>
      <c r="M106" s="106">
        <v>1.4396249768925968</v>
      </c>
      <c r="N106" s="106">
        <v>0.97787851266017789</v>
      </c>
      <c r="O106" s="106">
        <v>0.95249385811920462</v>
      </c>
      <c r="P106" s="106">
        <v>0.83</v>
      </c>
      <c r="Q106" s="106">
        <v>0.8</v>
      </c>
      <c r="R106" s="106">
        <v>0.75</v>
      </c>
      <c r="S106" s="106">
        <v>0.7</v>
      </c>
      <c r="T106" s="91">
        <v>0.67</v>
      </c>
      <c r="U106" s="91">
        <v>0.64</v>
      </c>
      <c r="V106" s="91">
        <v>0.59342196999999997</v>
      </c>
      <c r="W106" s="91">
        <v>0.53</v>
      </c>
      <c r="X106" s="91">
        <v>0.52758613685757039</v>
      </c>
      <c r="Y106" s="75">
        <v>0.56279239815573356</v>
      </c>
      <c r="Z106" s="75">
        <v>0.62096397451608321</v>
      </c>
      <c r="AA106" s="328"/>
    </row>
    <row r="107" spans="3:27" ht="12.95" customHeight="1" x14ac:dyDescent="0.2">
      <c r="C107" s="26" t="str">
        <f>VLOOKUP(79,Textbausteine_203[],Hilfsgrössen!$D$2,FALSE)</f>
        <v>Schaffhouse</v>
      </c>
      <c r="D107" s="1" t="str">
        <f>VLOOKUP(12,Textbausteine_203[],Hilfsgrössen!$D$2,FALSE)</f>
        <v>%</v>
      </c>
      <c r="E107" s="11" t="s">
        <v>113</v>
      </c>
      <c r="F107" s="9" t="s">
        <v>108</v>
      </c>
      <c r="H107" s="106">
        <v>0.9880641846494348</v>
      </c>
      <c r="I107" s="106">
        <v>1.0240736349344364</v>
      </c>
      <c r="J107" s="106">
        <v>1.030880299317577</v>
      </c>
      <c r="K107" s="106">
        <v>0.98279450899797127</v>
      </c>
      <c r="L107" s="106">
        <v>0.9880641846494348</v>
      </c>
      <c r="M107" s="106">
        <v>1.0159486733591547</v>
      </c>
      <c r="N107" s="106">
        <v>0.96918118023168998</v>
      </c>
      <c r="O107" s="106">
        <v>1.0319781484116319</v>
      </c>
      <c r="P107" s="106">
        <v>0.89</v>
      </c>
      <c r="Q107" s="106">
        <v>0.87</v>
      </c>
      <c r="R107" s="106">
        <v>0.85</v>
      </c>
      <c r="S107" s="106">
        <v>0.53</v>
      </c>
      <c r="T107" s="91">
        <v>0.8</v>
      </c>
      <c r="U107" s="91">
        <v>0.81</v>
      </c>
      <c r="V107" s="91">
        <v>0.75841104999999998</v>
      </c>
      <c r="W107" s="91">
        <v>0.72</v>
      </c>
      <c r="X107" s="91">
        <v>0.69251819374850787</v>
      </c>
      <c r="Y107" s="75">
        <v>0.6966192436172759</v>
      </c>
      <c r="Z107" s="75">
        <v>0.69419589596754872</v>
      </c>
      <c r="AA107" s="328"/>
    </row>
    <row r="108" spans="3:27" ht="12.95" customHeight="1" x14ac:dyDescent="0.2">
      <c r="C108" s="26" t="str">
        <f>VLOOKUP(65,Textbausteine_203[],Hilfsgrössen!$D$2,FALSE)</f>
        <v>Appenzell Rhodes-Extérieures</v>
      </c>
      <c r="D108" s="1" t="str">
        <f>VLOOKUP(12,Textbausteine_203[],Hilfsgrössen!$D$2,FALSE)</f>
        <v>%</v>
      </c>
      <c r="E108" s="11" t="s">
        <v>113</v>
      </c>
      <c r="F108" s="9" t="s">
        <v>108</v>
      </c>
      <c r="H108" s="106">
        <v>1.3698630136986301</v>
      </c>
      <c r="I108" s="106">
        <v>1.3588029893665765</v>
      </c>
      <c r="J108" s="106">
        <v>1.2975778546712802</v>
      </c>
      <c r="K108" s="106">
        <v>1.1850026070057353</v>
      </c>
      <c r="L108" s="106">
        <v>1.1707825757216666</v>
      </c>
      <c r="M108" s="106">
        <v>1.275456226003697</v>
      </c>
      <c r="N108" s="106">
        <v>0.94444707778357107</v>
      </c>
      <c r="O108" s="106">
        <v>0.89230696307531865</v>
      </c>
      <c r="P108" s="106">
        <v>0.77</v>
      </c>
      <c r="Q108" s="106">
        <v>0.76</v>
      </c>
      <c r="R108" s="106">
        <v>0.73</v>
      </c>
      <c r="S108" s="106">
        <v>0.67</v>
      </c>
      <c r="T108" s="91">
        <v>0.66</v>
      </c>
      <c r="U108" s="91">
        <v>0.64</v>
      </c>
      <c r="V108" s="91">
        <v>0.58383233999999995</v>
      </c>
      <c r="W108" s="91">
        <v>0.55000000000000004</v>
      </c>
      <c r="X108" s="91">
        <v>0.51703044264834241</v>
      </c>
      <c r="Y108" s="75">
        <v>0.50954667916129792</v>
      </c>
      <c r="Z108" s="75">
        <v>0.51898272877539731</v>
      </c>
      <c r="AA108" s="328"/>
    </row>
    <row r="109" spans="3:27" ht="12.95" customHeight="1" x14ac:dyDescent="0.2">
      <c r="C109" s="26" t="str">
        <f>VLOOKUP(64,Textbausteine_203[],Hilfsgrössen!$D$2,FALSE)</f>
        <v>Appenzell Rhodes-Intérieures</v>
      </c>
      <c r="D109" s="1" t="str">
        <f>VLOOKUP(12,Textbausteine_203[],Hilfsgrössen!$D$2,FALSE)</f>
        <v>%</v>
      </c>
      <c r="E109" s="11" t="s">
        <v>113</v>
      </c>
      <c r="F109" s="9" t="s">
        <v>108</v>
      </c>
      <c r="H109" s="106">
        <v>0.99901735997379626</v>
      </c>
      <c r="I109" s="106">
        <v>1.009935582487171</v>
      </c>
      <c r="J109" s="106">
        <v>1.0426902500272954</v>
      </c>
      <c r="K109" s="106">
        <v>1.0317720275139208</v>
      </c>
      <c r="L109" s="106">
        <v>1.0645266950540453</v>
      </c>
      <c r="M109" s="106">
        <v>1.151867016049787</v>
      </c>
      <c r="N109" s="106">
        <v>0.94579102522109415</v>
      </c>
      <c r="O109" s="106">
        <v>0.91849546893765699</v>
      </c>
      <c r="P109" s="106">
        <v>0.74</v>
      </c>
      <c r="Q109" s="106">
        <v>0.77</v>
      </c>
      <c r="R109" s="106">
        <v>0.79</v>
      </c>
      <c r="S109" s="106">
        <v>0.74</v>
      </c>
      <c r="T109" s="91">
        <v>0.79</v>
      </c>
      <c r="U109" s="91">
        <v>0.76</v>
      </c>
      <c r="V109" s="91">
        <v>0.71222350000000001</v>
      </c>
      <c r="W109" s="91">
        <v>0.78</v>
      </c>
      <c r="X109" s="91">
        <v>0.89113680154142627</v>
      </c>
      <c r="Y109" s="75">
        <v>0.8838066515875006</v>
      </c>
      <c r="Z109" s="75">
        <v>0.90265560861187855</v>
      </c>
      <c r="AA109" s="328"/>
    </row>
    <row r="110" spans="3:27" ht="12.95" customHeight="1" x14ac:dyDescent="0.2">
      <c r="C110" s="26" t="str">
        <f>VLOOKUP(78,Textbausteine_203[],Hilfsgrössen!$D$2,FALSE)</f>
        <v>Saint-Gall</v>
      </c>
      <c r="D110" s="1" t="str">
        <f>VLOOKUP(12,Textbausteine_203[],Hilfsgrössen!$D$2,FALSE)</f>
        <v>%</v>
      </c>
      <c r="E110" s="11" t="s">
        <v>113</v>
      </c>
      <c r="F110" s="9" t="s">
        <v>108</v>
      </c>
      <c r="H110" s="106">
        <v>1.1738766005062162</v>
      </c>
      <c r="I110" s="106">
        <v>1.13272416721376</v>
      </c>
      <c r="J110" s="106">
        <v>1.1278878143017375</v>
      </c>
      <c r="K110" s="106">
        <v>1.1107027982278304</v>
      </c>
      <c r="L110" s="106">
        <v>1.0958383741623277</v>
      </c>
      <c r="M110" s="106">
        <v>1.1529908459921796</v>
      </c>
      <c r="N110" s="106">
        <v>1.3034404351429221</v>
      </c>
      <c r="O110" s="106">
        <v>1.3400347111828641</v>
      </c>
      <c r="P110" s="106">
        <v>1.17</v>
      </c>
      <c r="Q110" s="106">
        <v>1.3</v>
      </c>
      <c r="R110" s="106">
        <v>1.55</v>
      </c>
      <c r="S110" s="106">
        <v>0.99</v>
      </c>
      <c r="T110" s="91">
        <v>1.45</v>
      </c>
      <c r="U110" s="91">
        <v>1.34</v>
      </c>
      <c r="V110" s="91">
        <v>1.18714389</v>
      </c>
      <c r="W110" s="91">
        <v>1.08</v>
      </c>
      <c r="X110" s="91">
        <v>0.98669417554215155</v>
      </c>
      <c r="Y110" s="75">
        <v>0.94199210036987235</v>
      </c>
      <c r="Z110" s="75">
        <v>0.94143319419489735</v>
      </c>
      <c r="AA110" s="328"/>
    </row>
    <row r="111" spans="3:27" ht="12.95" customHeight="1" x14ac:dyDescent="0.2">
      <c r="C111" s="26" t="str">
        <f>VLOOKUP(72,Textbausteine_203[],Hilfsgrössen!$D$2,FALSE)</f>
        <v>Grisons</v>
      </c>
      <c r="D111" s="1" t="str">
        <f>VLOOKUP(12,Textbausteine_203[],Hilfsgrössen!$D$2,FALSE)</f>
        <v>%</v>
      </c>
      <c r="E111" s="11" t="s">
        <v>113</v>
      </c>
      <c r="F111" s="9" t="s">
        <v>108</v>
      </c>
      <c r="H111" s="106">
        <v>1.7506620150477072</v>
      </c>
      <c r="I111" s="106">
        <v>1.6917286649012935</v>
      </c>
      <c r="J111" s="106">
        <v>1.6386623793311195</v>
      </c>
      <c r="K111" s="106">
        <v>1.5867344794249925</v>
      </c>
      <c r="L111" s="106">
        <v>1.6266655457946282</v>
      </c>
      <c r="M111" s="106">
        <v>1.5851582531209281</v>
      </c>
      <c r="N111" s="106">
        <v>1.3943473022011126</v>
      </c>
      <c r="O111" s="106">
        <v>1.3599330278957029</v>
      </c>
      <c r="P111" s="106">
        <v>1.07</v>
      </c>
      <c r="Q111" s="106">
        <v>1.05</v>
      </c>
      <c r="R111" s="106">
        <v>1.06</v>
      </c>
      <c r="S111" s="106">
        <v>1.03</v>
      </c>
      <c r="T111" s="152">
        <v>1</v>
      </c>
      <c r="U111" s="152">
        <v>0.97</v>
      </c>
      <c r="V111" s="152">
        <v>0.92750657000000003</v>
      </c>
      <c r="W111" s="152">
        <v>0.92</v>
      </c>
      <c r="X111" s="152">
        <v>0.90158647917122303</v>
      </c>
      <c r="Y111" s="75">
        <v>0.90975229984159212</v>
      </c>
      <c r="Z111" s="75">
        <v>0.93274127085643987</v>
      </c>
      <c r="AA111" s="328"/>
    </row>
    <row r="112" spans="3:27" ht="12.95" customHeight="1" x14ac:dyDescent="0.2">
      <c r="C112" s="26" t="str">
        <f>VLOOKUP(63,Textbausteine_203[],Hilfsgrössen!$D$2,FALSE)</f>
        <v>Argovie</v>
      </c>
      <c r="D112" s="1" t="str">
        <f>VLOOKUP(12,Textbausteine_203[],Hilfsgrössen!$D$2,FALSE)</f>
        <v>%</v>
      </c>
      <c r="E112" s="11" t="s">
        <v>113</v>
      </c>
      <c r="F112" s="9" t="s">
        <v>108</v>
      </c>
      <c r="G112" s="33"/>
      <c r="H112" s="106">
        <v>1.309817049549385</v>
      </c>
      <c r="I112" s="106">
        <v>1.3080356761751266</v>
      </c>
      <c r="J112" s="106">
        <v>1.2523431029207071</v>
      </c>
      <c r="K112" s="106">
        <v>1.206391205514096</v>
      </c>
      <c r="L112" s="106">
        <v>1.2970258674248791</v>
      </c>
      <c r="M112" s="106">
        <v>1.2784483199695935</v>
      </c>
      <c r="N112" s="106">
        <v>1.179590633443703</v>
      </c>
      <c r="O112" s="106">
        <v>1.1588067898031134</v>
      </c>
      <c r="P112" s="106">
        <v>0.98</v>
      </c>
      <c r="Q112" s="106">
        <v>0.91</v>
      </c>
      <c r="R112" s="106">
        <v>0.86</v>
      </c>
      <c r="S112" s="106">
        <v>0.81</v>
      </c>
      <c r="T112" s="81">
        <v>0.79</v>
      </c>
      <c r="U112" s="81">
        <v>0.75</v>
      </c>
      <c r="V112" s="81">
        <v>0.72422096999999996</v>
      </c>
      <c r="W112" s="81">
        <v>0.73</v>
      </c>
      <c r="X112" s="81">
        <v>0.69897674437179558</v>
      </c>
      <c r="Y112" s="75">
        <v>0.72545660883281671</v>
      </c>
      <c r="Z112" s="75">
        <v>0.7607764322733378</v>
      </c>
      <c r="AA112" s="328"/>
    </row>
    <row r="113" spans="1:83" ht="12.95" customHeight="1" x14ac:dyDescent="0.2">
      <c r="C113" s="26" t="str">
        <f>VLOOKUP(82,Textbausteine_203[],Hilfsgrössen!$D$2,FALSE)</f>
        <v>Thurgovie</v>
      </c>
      <c r="D113" s="1" t="str">
        <f>VLOOKUP(12,Textbausteine_203[],Hilfsgrössen!$D$2,FALSE)</f>
        <v>%</v>
      </c>
      <c r="E113" s="11" t="s">
        <v>113</v>
      </c>
      <c r="F113" s="9" t="s">
        <v>108</v>
      </c>
      <c r="H113" s="106">
        <v>1.4557934734440263</v>
      </c>
      <c r="I113" s="106">
        <v>1.3977283084572423</v>
      </c>
      <c r="J113" s="106">
        <v>1.356634829041697</v>
      </c>
      <c r="K113" s="106">
        <v>1.3369916744453558</v>
      </c>
      <c r="L113" s="106">
        <v>1.3643349456434626</v>
      </c>
      <c r="M113" s="106">
        <v>1.4631007269538654</v>
      </c>
      <c r="N113" s="106">
        <v>1.2291114694022509</v>
      </c>
      <c r="O113" s="106">
        <v>1.2201541909063194</v>
      </c>
      <c r="P113" s="106">
        <v>1.0900000000000001</v>
      </c>
      <c r="Q113" s="106">
        <v>1.0900000000000001</v>
      </c>
      <c r="R113" s="106">
        <v>1.05</v>
      </c>
      <c r="S113" s="106">
        <v>0.97</v>
      </c>
      <c r="T113" s="91">
        <v>1</v>
      </c>
      <c r="U113" s="91">
        <v>1.0900000000000001</v>
      </c>
      <c r="V113" s="91">
        <v>1.07594028</v>
      </c>
      <c r="W113" s="91">
        <v>1.07</v>
      </c>
      <c r="X113" s="91">
        <v>1.0654106579831524</v>
      </c>
      <c r="Y113" s="75">
        <v>1.092223600558226</v>
      </c>
      <c r="Z113" s="75">
        <v>1.0946787615651032</v>
      </c>
      <c r="AA113" s="328"/>
    </row>
    <row r="114" spans="1:83" ht="12.95" customHeight="1" x14ac:dyDescent="0.2">
      <c r="C114" s="26" t="str">
        <f>VLOOKUP(83,Textbausteine_203[],Hilfsgrössen!$D$2,FALSE)</f>
        <v>Tessin</v>
      </c>
      <c r="D114" s="1" t="str">
        <f>VLOOKUP(12,Textbausteine_203[],Hilfsgrössen!$D$2,FALSE)</f>
        <v>%</v>
      </c>
      <c r="E114" s="11" t="s">
        <v>113</v>
      </c>
      <c r="F114" s="9" t="s">
        <v>108</v>
      </c>
      <c r="H114" s="106">
        <v>1.3728575442540039</v>
      </c>
      <c r="I114" s="106">
        <v>1.3381983421021719</v>
      </c>
      <c r="J114" s="106">
        <v>1.3033178411692361</v>
      </c>
      <c r="K114" s="106">
        <v>1.2891261590334364</v>
      </c>
      <c r="L114" s="106">
        <v>1.2655240236021355</v>
      </c>
      <c r="M114" s="106">
        <v>1.2258595110986232</v>
      </c>
      <c r="N114" s="106">
        <v>1.1321063969279761</v>
      </c>
      <c r="O114" s="106">
        <v>1.1130467359745249</v>
      </c>
      <c r="P114" s="106">
        <v>1.03</v>
      </c>
      <c r="Q114" s="106">
        <v>1.02</v>
      </c>
      <c r="R114" s="106">
        <v>1.01</v>
      </c>
      <c r="S114" s="106">
        <v>1.02</v>
      </c>
      <c r="T114" s="91">
        <v>0.96</v>
      </c>
      <c r="U114" s="91">
        <v>0.93</v>
      </c>
      <c r="V114" s="91">
        <v>0.83160433</v>
      </c>
      <c r="W114" s="91">
        <v>0.82</v>
      </c>
      <c r="X114" s="91">
        <v>0.80595963595464204</v>
      </c>
      <c r="Y114" s="75">
        <v>0.82513456594592249</v>
      </c>
      <c r="Z114" s="75">
        <v>0.82403996235596422</v>
      </c>
      <c r="AA114" s="328"/>
    </row>
    <row r="115" spans="1:83" ht="12.95" customHeight="1" x14ac:dyDescent="0.2">
      <c r="C115" s="26" t="str">
        <f>VLOOKUP(85,Textbausteine_203[],Hilfsgrössen!$D$2,FALSE)</f>
        <v>Vaud</v>
      </c>
      <c r="D115" s="1" t="str">
        <f>VLOOKUP(12,Textbausteine_203[],Hilfsgrössen!$D$2,FALSE)</f>
        <v>%</v>
      </c>
      <c r="E115" s="11" t="s">
        <v>113</v>
      </c>
      <c r="F115" s="9" t="s">
        <v>108</v>
      </c>
      <c r="H115" s="106">
        <v>1.4888809754779768</v>
      </c>
      <c r="I115" s="106">
        <v>1.4629350775832723</v>
      </c>
      <c r="J115" s="106">
        <v>1.4029073464613198</v>
      </c>
      <c r="K115" s="106">
        <v>1.3547281948008889</v>
      </c>
      <c r="L115" s="106">
        <v>1.3767185481091746</v>
      </c>
      <c r="M115" s="106">
        <v>1.3737867922443114</v>
      </c>
      <c r="N115" s="106">
        <v>1.3050476646569329</v>
      </c>
      <c r="O115" s="106">
        <v>1.2909263193225029</v>
      </c>
      <c r="P115" s="106">
        <v>1.01</v>
      </c>
      <c r="Q115" s="106">
        <v>0.97</v>
      </c>
      <c r="R115" s="106">
        <v>0.96</v>
      </c>
      <c r="S115" s="106">
        <v>0.94</v>
      </c>
      <c r="T115" s="91">
        <v>0.93</v>
      </c>
      <c r="U115" s="91">
        <v>0.9</v>
      </c>
      <c r="V115" s="91">
        <v>0.83015676999999999</v>
      </c>
      <c r="W115" s="91">
        <v>0.81</v>
      </c>
      <c r="X115" s="91">
        <v>0.76893825768938184</v>
      </c>
      <c r="Y115" s="75">
        <v>0.76754616118176833</v>
      </c>
      <c r="Z115" s="75">
        <v>0.75867716258677087</v>
      </c>
      <c r="AA115" s="328"/>
    </row>
    <row r="116" spans="1:83" ht="12.95" customHeight="1" x14ac:dyDescent="0.2">
      <c r="C116" s="26" t="str">
        <f>VLOOKUP(86,Textbausteine_203[],Hilfsgrössen!$D$2,FALSE)</f>
        <v>Valais</v>
      </c>
      <c r="D116" s="1" t="str">
        <f>VLOOKUP(12,Textbausteine_203[],Hilfsgrössen!$D$2,FALSE)</f>
        <v>%</v>
      </c>
      <c r="E116" s="11" t="s">
        <v>113</v>
      </c>
      <c r="F116" s="9" t="s">
        <v>108</v>
      </c>
      <c r="H116" s="106">
        <v>1.2505175348473463</v>
      </c>
      <c r="I116" s="106">
        <v>1.2424765767561683</v>
      </c>
      <c r="J116" s="106">
        <v>1.218059793803894</v>
      </c>
      <c r="K116" s="106">
        <v>1.2198488031527457</v>
      </c>
      <c r="L116" s="106">
        <v>1.2390167604618711</v>
      </c>
      <c r="M116" s="106">
        <v>1.2230437182770306</v>
      </c>
      <c r="N116" s="106">
        <v>1.1165974064475896</v>
      </c>
      <c r="O116" s="106">
        <v>1.1214532889659017</v>
      </c>
      <c r="P116" s="106">
        <v>0.93</v>
      </c>
      <c r="Q116" s="106">
        <v>0.92</v>
      </c>
      <c r="R116" s="106">
        <v>0.93</v>
      </c>
      <c r="S116" s="106">
        <v>0.91</v>
      </c>
      <c r="T116" s="91">
        <v>0.9</v>
      </c>
      <c r="U116" s="91">
        <v>0.88</v>
      </c>
      <c r="V116" s="91">
        <v>0.84012909000000002</v>
      </c>
      <c r="W116" s="91">
        <v>0.81</v>
      </c>
      <c r="X116" s="91">
        <v>0.78863347983236154</v>
      </c>
      <c r="Y116" s="75">
        <v>0.80185173200287707</v>
      </c>
      <c r="Z116" s="75">
        <v>0.81755870257167562</v>
      </c>
      <c r="AA116" s="328"/>
    </row>
    <row r="117" spans="1:83" ht="12.95" customHeight="1" x14ac:dyDescent="0.2">
      <c r="C117" s="26" t="str">
        <f>VLOOKUP(75,Textbausteine_203[],Hilfsgrössen!$D$2,FALSE)</f>
        <v>Neuchâtel</v>
      </c>
      <c r="D117" s="1" t="str">
        <f>VLOOKUP(12,Textbausteine_203[],Hilfsgrössen!$D$2,FALSE)</f>
        <v>%</v>
      </c>
      <c r="E117" s="11" t="s">
        <v>113</v>
      </c>
      <c r="F117" s="9" t="s">
        <v>108</v>
      </c>
      <c r="H117" s="106">
        <v>1.1246145474333396</v>
      </c>
      <c r="I117" s="106">
        <v>1.0840853437329947</v>
      </c>
      <c r="J117" s="106">
        <v>1.0398716669689823</v>
      </c>
      <c r="K117" s="106">
        <v>0.98970614910212218</v>
      </c>
      <c r="L117" s="106">
        <v>1.0051014439243662</v>
      </c>
      <c r="M117" s="106">
        <v>1.0235273444585524</v>
      </c>
      <c r="N117" s="106">
        <v>0.94596484067960585</v>
      </c>
      <c r="O117" s="106">
        <v>0.92943194872725088</v>
      </c>
      <c r="P117" s="106">
        <v>0.77</v>
      </c>
      <c r="Q117" s="106">
        <v>0.75</v>
      </c>
      <c r="R117" s="106">
        <v>0.73</v>
      </c>
      <c r="S117" s="106">
        <v>0.71</v>
      </c>
      <c r="T117" s="81">
        <v>0.68</v>
      </c>
      <c r="U117" s="81">
        <v>0.64</v>
      </c>
      <c r="V117" s="81">
        <v>0.58487454999999999</v>
      </c>
      <c r="W117" s="81">
        <v>0.56000000000000005</v>
      </c>
      <c r="X117" s="81">
        <v>0.53609159956598718</v>
      </c>
      <c r="Y117" s="75">
        <v>0.52635169004879501</v>
      </c>
      <c r="Z117" s="75">
        <v>0.52305852194493641</v>
      </c>
      <c r="AA117" s="328"/>
    </row>
    <row r="118" spans="1:83" ht="12.95" customHeight="1" x14ac:dyDescent="0.2">
      <c r="C118" s="26" t="str">
        <f>VLOOKUP(70,Textbausteine_203[],Hilfsgrössen!$D$2,FALSE)</f>
        <v>Genève</v>
      </c>
      <c r="D118" s="1" t="str">
        <f>VLOOKUP(12,Textbausteine_203[],Hilfsgrössen!$D$2,FALSE)</f>
        <v>%</v>
      </c>
      <c r="E118" s="11" t="s">
        <v>113</v>
      </c>
      <c r="F118" s="9" t="s">
        <v>108</v>
      </c>
      <c r="H118" s="106">
        <v>1.0265724612674139</v>
      </c>
      <c r="I118" s="106">
        <v>1.0448868142712704</v>
      </c>
      <c r="J118" s="106">
        <v>1.0070472419492527</v>
      </c>
      <c r="K118" s="106">
        <v>0.93067184917449197</v>
      </c>
      <c r="L118" s="106">
        <v>0.83065285863504756</v>
      </c>
      <c r="M118" s="106">
        <v>0.75197813175436368</v>
      </c>
      <c r="N118" s="106">
        <v>0.72600517039916201</v>
      </c>
      <c r="O118" s="106">
        <v>0.72821621228908218</v>
      </c>
      <c r="P118" s="106">
        <v>0.59</v>
      </c>
      <c r="Q118" s="106">
        <v>0.57999999999999996</v>
      </c>
      <c r="R118" s="106">
        <v>0.56999999999999995</v>
      </c>
      <c r="S118" s="106">
        <v>0.54</v>
      </c>
      <c r="T118" s="91">
        <v>0.53</v>
      </c>
      <c r="U118" s="91">
        <v>0.5</v>
      </c>
      <c r="V118" s="91">
        <v>0.46017728000000002</v>
      </c>
      <c r="W118" s="91">
        <v>0.43</v>
      </c>
      <c r="X118" s="91">
        <v>0.40072061816166193</v>
      </c>
      <c r="Y118" s="75">
        <v>0.38501927208834197</v>
      </c>
      <c r="Z118" s="75">
        <v>0.363148584247592</v>
      </c>
      <c r="AA118" s="328"/>
    </row>
    <row r="119" spans="1:83" ht="12.95" customHeight="1" x14ac:dyDescent="0.2">
      <c r="C119" s="26" t="str">
        <f>VLOOKUP(73,Textbausteine_203[],Hilfsgrössen!$D$2,FALSE)</f>
        <v>Jura</v>
      </c>
      <c r="D119" s="1" t="str">
        <f>VLOOKUP(12,Textbausteine_203[],Hilfsgrössen!$D$2,FALSE)</f>
        <v>%</v>
      </c>
      <c r="E119" s="11" t="s">
        <v>113</v>
      </c>
      <c r="F119" s="9" t="s">
        <v>108</v>
      </c>
      <c r="H119" s="106">
        <v>1.4999107196000239</v>
      </c>
      <c r="I119" s="106">
        <v>1.4547745173898379</v>
      </c>
      <c r="J119" s="106">
        <v>1.4014542785151678</v>
      </c>
      <c r="K119" s="106">
        <v>1.4255103862865306</v>
      </c>
      <c r="L119" s="106">
        <v>1.4582465329444676</v>
      </c>
      <c r="M119" s="106">
        <v>1.38781322540325</v>
      </c>
      <c r="N119" s="106">
        <v>1.2397575541138424</v>
      </c>
      <c r="O119" s="106">
        <v>1.179245283018868</v>
      </c>
      <c r="P119" s="106">
        <v>0.98</v>
      </c>
      <c r="Q119" s="106">
        <v>0.97</v>
      </c>
      <c r="R119" s="106">
        <v>1.01</v>
      </c>
      <c r="S119" s="106">
        <v>1.07</v>
      </c>
      <c r="T119" s="152">
        <v>1.1100000000000001</v>
      </c>
      <c r="U119" s="152">
        <v>1.07</v>
      </c>
      <c r="V119" s="152">
        <v>1.0434845800000001</v>
      </c>
      <c r="W119" s="152">
        <v>1</v>
      </c>
      <c r="X119" s="152">
        <v>0.96535539395122494</v>
      </c>
      <c r="Y119" s="75">
        <v>0.95600078090682805</v>
      </c>
      <c r="Z119" s="75">
        <v>1.0109164267005053</v>
      </c>
      <c r="AA119" s="328"/>
    </row>
    <row r="120" spans="1:83" ht="12.95" customHeight="1" x14ac:dyDescent="0.2">
      <c r="E120" s="11"/>
      <c r="T120" s="9"/>
      <c r="U120" s="9"/>
      <c r="V120" s="9"/>
      <c r="W120" s="9"/>
      <c r="X120" s="9"/>
      <c r="Y120" s="9"/>
      <c r="Z120" s="9"/>
      <c r="AA120" s="328"/>
    </row>
    <row r="121" spans="1:83" ht="12.95" customHeight="1" x14ac:dyDescent="0.2">
      <c r="B121" s="113"/>
      <c r="C121" s="2" t="str">
        <f>VLOOKUP(101,Textbausteine_203[],Hilfsgrössen!$D$2,FALSE)</f>
        <v>Emplois dans les communes rurales</v>
      </c>
      <c r="E121" s="11"/>
      <c r="T121" s="9"/>
      <c r="U121" s="9"/>
      <c r="V121" s="9"/>
      <c r="W121" s="9"/>
      <c r="X121" s="9"/>
      <c r="Y121" s="9"/>
      <c r="Z121" s="9"/>
      <c r="AA121" s="328"/>
    </row>
    <row r="122" spans="1:83" s="6" customFormat="1" ht="12.95" customHeight="1" x14ac:dyDescent="0.2">
      <c r="A122" s="65"/>
      <c r="B122" s="113"/>
      <c r="C122" s="86" t="str">
        <f>VLOOKUP(102,Textbausteine_203[],Hilfsgrössen!$D$2,FALSE)</f>
        <v>Effectif</v>
      </c>
      <c r="E122" s="7"/>
      <c r="F122" s="28"/>
      <c r="G122" s="33"/>
      <c r="H122" s="28"/>
      <c r="I122" s="28"/>
      <c r="J122" s="28"/>
      <c r="K122" s="28"/>
      <c r="L122" s="28"/>
      <c r="M122" s="28"/>
      <c r="N122" s="28"/>
      <c r="O122" s="28"/>
      <c r="P122" s="28"/>
      <c r="Q122" s="28"/>
      <c r="R122" s="28"/>
      <c r="S122" s="28"/>
      <c r="T122" s="28"/>
      <c r="U122" s="28"/>
      <c r="V122" s="28"/>
      <c r="W122" s="28"/>
      <c r="X122" s="28"/>
      <c r="Y122" s="28"/>
      <c r="Z122" s="28"/>
      <c r="AA122" s="375"/>
      <c r="AB122" s="28"/>
      <c r="AC122" s="28"/>
      <c r="AD122" s="28"/>
      <c r="AE122" s="28"/>
      <c r="AF122" s="28"/>
      <c r="AG122" s="28"/>
      <c r="AH122" s="28"/>
      <c r="AI122" s="28"/>
      <c r="AJ122" s="28"/>
      <c r="AK122" s="28"/>
      <c r="AL122" s="28"/>
      <c r="AM122" s="28"/>
      <c r="AN122" s="28"/>
      <c r="AO122" s="28"/>
      <c r="AP122" s="28"/>
      <c r="AQ122" s="28"/>
      <c r="AR122" s="28"/>
      <c r="AS122" s="28"/>
      <c r="AT122" s="28"/>
      <c r="AU122" s="28"/>
      <c r="AV122" s="28"/>
      <c r="AW122" s="28"/>
      <c r="AX122" s="28"/>
      <c r="AY122" s="28"/>
      <c r="AZ122" s="28"/>
      <c r="BA122" s="28"/>
      <c r="BB122" s="28"/>
      <c r="BC122" s="28"/>
      <c r="BD122" s="28"/>
      <c r="BE122" s="28"/>
      <c r="BF122" s="28"/>
      <c r="BG122" s="28"/>
      <c r="BH122" s="28"/>
      <c r="BI122" s="28"/>
      <c r="BJ122" s="28"/>
      <c r="BK122" s="28"/>
      <c r="BL122" s="28"/>
      <c r="BM122" s="28"/>
      <c r="BN122" s="28"/>
      <c r="BO122" s="28"/>
      <c r="BP122" s="28"/>
      <c r="BQ122" s="28"/>
      <c r="BR122" s="28"/>
      <c r="BS122" s="28"/>
      <c r="BT122" s="28"/>
      <c r="BU122" s="28"/>
      <c r="BV122" s="28"/>
      <c r="BW122" s="28"/>
      <c r="BX122" s="28"/>
      <c r="BY122" s="28"/>
      <c r="BZ122" s="28"/>
      <c r="CA122" s="28"/>
      <c r="CB122" s="28"/>
      <c r="CC122" s="28"/>
      <c r="CD122" s="28"/>
      <c r="CE122" s="28"/>
    </row>
    <row r="123" spans="1:83" ht="12.95" customHeight="1" x14ac:dyDescent="0.2">
      <c r="C123" s="26" t="str">
        <f>VLOOKUP(103,Textbausteine_203[],Hilfsgrössen!$D$2,FALSE)</f>
        <v>Emplois dans les communes rurales</v>
      </c>
      <c r="D123" s="1" t="str">
        <f>VLOOKUP(15,Textbausteine_203[],Hilfsgrössen!$D$2,FALSE)</f>
        <v>Unités de personnel</v>
      </c>
      <c r="E123" s="11" t="s">
        <v>114</v>
      </c>
      <c r="F123" s="9" t="s">
        <v>108</v>
      </c>
      <c r="H123" s="9">
        <v>15818.296666666667</v>
      </c>
      <c r="I123" s="9">
        <v>15315.269166666663</v>
      </c>
      <c r="J123" s="9">
        <v>14931.553249999999</v>
      </c>
      <c r="K123" s="9">
        <v>14492.717416666666</v>
      </c>
      <c r="L123" s="9">
        <v>14628.051666666668</v>
      </c>
      <c r="M123" s="9">
        <v>14515.069166666668</v>
      </c>
      <c r="N123" s="9">
        <v>14523</v>
      </c>
      <c r="O123" s="9">
        <v>14338.631416666669</v>
      </c>
      <c r="P123" s="9">
        <v>14203</v>
      </c>
      <c r="Q123" s="9">
        <v>13668.8575833333</v>
      </c>
      <c r="R123" s="9">
        <v>13442</v>
      </c>
      <c r="S123" s="9">
        <v>13135</v>
      </c>
      <c r="T123" s="9">
        <v>12842.4985</v>
      </c>
      <c r="U123" s="9">
        <v>12539</v>
      </c>
      <c r="V123" s="9">
        <v>12094</v>
      </c>
      <c r="W123" s="9">
        <v>11814</v>
      </c>
      <c r="X123" s="9">
        <v>11715.963166666699</v>
      </c>
      <c r="Y123" s="9">
        <v>12675</v>
      </c>
      <c r="Z123" s="9">
        <v>12673</v>
      </c>
      <c r="AA123" s="328"/>
    </row>
    <row r="124" spans="1:83" ht="12.95" customHeight="1" x14ac:dyDescent="0.2">
      <c r="C124" s="26" t="str">
        <f>VLOOKUP(104,Textbausteine_203[],Hilfsgrössen!$D$2,FALSE)</f>
        <v>Part de tous les emplois</v>
      </c>
      <c r="D124" s="1" t="str">
        <f>VLOOKUP(12,Textbausteine_203[],Hilfsgrössen!$D$2,FALSE)</f>
        <v>%</v>
      </c>
      <c r="E124" s="11" t="s">
        <v>114</v>
      </c>
      <c r="F124" s="9" t="s">
        <v>108</v>
      </c>
      <c r="H124" s="9">
        <f>IFERROR(H123/('2'!H$213-'2'!H$214)*100,"—")</f>
        <v>38.463007991700302</v>
      </c>
      <c r="I124" s="9">
        <f>IFERROR(I123/('2'!I$213-'2'!I$214)*100,"—")</f>
        <v>38.552255869371855</v>
      </c>
      <c r="J124" s="9">
        <f>IFERROR(J123/('2'!J$213-'2'!J$214)*100,"—")</f>
        <v>38.484376530322947</v>
      </c>
      <c r="K124" s="9">
        <f>IFERROR(K123/('2'!K$213-'2'!K$214)*100,"—")</f>
        <v>38.205086246287415</v>
      </c>
      <c r="L124" s="9">
        <f>IFERROR(L123/('2'!L$213-'2'!L$214)*100,"—")</f>
        <v>38.594405748157534</v>
      </c>
      <c r="M124" s="9">
        <f>IFERROR(M123/('2'!M$213-'2'!M$214)*100,"—")</f>
        <v>38.382391957761506</v>
      </c>
      <c r="N124" s="9">
        <f>IFERROR(N123/('2'!N$213-'2'!N$214)*100,"—")</f>
        <v>38.345566879653589</v>
      </c>
      <c r="O124" s="9">
        <f>IFERROR(O123/('2'!O$213-'2'!O$214)*100,"—")</f>
        <v>38.030478785949839</v>
      </c>
      <c r="P124" s="9">
        <f>IFERROR(P123/('2'!P$213-'2'!P$214)*100,"—")</f>
        <v>37.392059814658801</v>
      </c>
      <c r="Q124" s="9">
        <f>IFERROR(Q123/('2'!Q$213-'2'!Q$214)*100,"—")</f>
        <v>36.620204638411025</v>
      </c>
      <c r="R124" s="9">
        <f>IFERROR(R123/('2'!R$213-'2'!R$214)*100,"—")</f>
        <v>36.276785232363579</v>
      </c>
      <c r="S124" s="9">
        <f>IFERROR(S123/('2'!S$213-'2'!S$214)*100,"—")</f>
        <v>35.807753121421953</v>
      </c>
      <c r="T124" s="11">
        <f>IFERROR(T123/('2'!T$213-'2'!T$214)*100,"—")</f>
        <v>35.388532653623592</v>
      </c>
      <c r="U124" s="11">
        <f>IFERROR(U123/('2'!U$213-'2'!U$214)*100,"—")</f>
        <v>35.476022068185031</v>
      </c>
      <c r="V124" s="11">
        <v>35.24</v>
      </c>
      <c r="W124" s="11">
        <v>35.43</v>
      </c>
      <c r="X124" s="9">
        <v>35.182016055574003</v>
      </c>
      <c r="Y124" s="9">
        <v>39.1</v>
      </c>
      <c r="Z124" s="9">
        <v>39.700000000000003</v>
      </c>
      <c r="AA124" s="328"/>
    </row>
    <row r="125" spans="1:83" ht="12.95" customHeight="1" x14ac:dyDescent="0.2">
      <c r="E125" s="11"/>
      <c r="AA125" s="328"/>
    </row>
    <row r="126" spans="1:83" ht="12.95" customHeight="1" x14ac:dyDescent="0.2">
      <c r="C126" s="26" t="str">
        <f>VLOOKUP(103,Textbausteine_203[],Hilfsgrössen!$D$2,FALSE)</f>
        <v>Emplois dans les communes rurales</v>
      </c>
      <c r="D126" s="1" t="str">
        <f>VLOOKUP(16,Textbausteine_203[],Hilfsgrössen!$D$2,FALSE)</f>
        <v>Personnes</v>
      </c>
      <c r="E126" s="11" t="s">
        <v>115</v>
      </c>
      <c r="F126" s="9" t="s">
        <v>108</v>
      </c>
      <c r="H126" s="9">
        <v>22395.25</v>
      </c>
      <c r="I126" s="9">
        <v>21916.416666666672</v>
      </c>
      <c r="J126" s="9">
        <v>21420</v>
      </c>
      <c r="K126" s="9">
        <v>21068.583333333332</v>
      </c>
      <c r="L126" s="9">
        <v>21319.083333333332</v>
      </c>
      <c r="M126" s="9">
        <v>20776.166666666668</v>
      </c>
      <c r="N126" s="9">
        <v>20603</v>
      </c>
      <c r="O126" s="9">
        <v>20417.5</v>
      </c>
      <c r="P126" s="9">
        <v>20172</v>
      </c>
      <c r="Q126" s="9">
        <v>19494.166666666668</v>
      </c>
      <c r="R126" s="9">
        <v>19106</v>
      </c>
      <c r="S126" s="9">
        <v>18633</v>
      </c>
      <c r="T126" s="11">
        <v>18175.666666666668</v>
      </c>
      <c r="U126" s="11">
        <v>17640</v>
      </c>
      <c r="V126" s="11">
        <v>16765</v>
      </c>
      <c r="W126" s="11">
        <v>16073</v>
      </c>
      <c r="X126" s="11">
        <v>15655.166666666701</v>
      </c>
      <c r="Y126" s="11">
        <v>16660</v>
      </c>
      <c r="Z126" s="11">
        <v>16224</v>
      </c>
      <c r="AA126" s="328"/>
    </row>
    <row r="127" spans="1:83" ht="12.95" customHeight="1" x14ac:dyDescent="0.2">
      <c r="C127" s="26" t="str">
        <f>VLOOKUP(104,Textbausteine_203[],Hilfsgrössen!$D$2,FALSE)</f>
        <v>Part de tous les emplois</v>
      </c>
      <c r="D127" s="1" t="str">
        <f>VLOOKUP(12,Textbausteine_203[],Hilfsgrössen!$D$2,FALSE)</f>
        <v>%</v>
      </c>
      <c r="E127" s="11" t="s">
        <v>115</v>
      </c>
      <c r="F127" s="9" t="s">
        <v>108</v>
      </c>
      <c r="H127" s="9" t="str">
        <f>IFERROR(H126/('2'!H$217-'2'!H$218)*100,"—")</f>
        <v>—</v>
      </c>
      <c r="I127" s="9" t="str">
        <f>IFERROR(I126/('2'!I$217-'2'!I$218)*100,"—")</f>
        <v>—</v>
      </c>
      <c r="J127" s="9" t="str">
        <f>IFERROR(J126/('2'!J$217-'2'!J$218)*100,"—")</f>
        <v>—</v>
      </c>
      <c r="K127" s="9" t="str">
        <f>IFERROR(K126/('2'!K$217-'2'!K$218)*100,"—")</f>
        <v>—</v>
      </c>
      <c r="L127" s="9" t="str">
        <f>IFERROR(L126/('2'!L$217-'2'!L$218)*100,"—")</f>
        <v>—</v>
      </c>
      <c r="M127" s="9">
        <f>IFERROR(M126/('2'!M$217-'2'!M$218)*100,"—")</f>
        <v>39.017008144127907</v>
      </c>
      <c r="N127" s="9">
        <f>IFERROR(N126/('2'!N$217-'2'!N$218)*100,"—")</f>
        <v>38.389729447715588</v>
      </c>
      <c r="O127" s="9">
        <f>IFERROR(O126/('2'!O$217-'2'!O$218)*100,"—")</f>
        <v>38.847558887324482</v>
      </c>
      <c r="P127" s="9">
        <f>IFERROR(P126/('2'!P$217-'2'!P$218)*100,"—")</f>
        <v>36.704392445139931</v>
      </c>
      <c r="Q127" s="9">
        <f>IFERROR(Q126/('2'!Q$217-'2'!Q$218)*100,"—")</f>
        <v>35.827620640434226</v>
      </c>
      <c r="R127" s="9">
        <f>IFERROR(R126/('2'!R$217-'2'!R$218)*100,"—")</f>
        <v>34.753979081400637</v>
      </c>
      <c r="S127" s="9">
        <f>IFERROR(S126/('2'!S$217-'2'!S$218)*100,"—")</f>
        <v>34.239250275633957</v>
      </c>
      <c r="T127" s="11">
        <f>IFERROR(T126/('2'!T$217-'2'!T$218)*100,"—")</f>
        <v>33.944657141967816</v>
      </c>
      <c r="U127" s="11">
        <f>IFERROR(U126/('2'!U$217-'2'!U$218)*100,"—")</f>
        <v>33.987129590381876</v>
      </c>
      <c r="V127" s="11">
        <v>33.340000000000003</v>
      </c>
      <c r="W127" s="11">
        <v>32.74</v>
      </c>
      <c r="X127" s="11">
        <v>32.629763502214303</v>
      </c>
      <c r="Y127" s="11">
        <v>39.9</v>
      </c>
      <c r="Z127" s="11">
        <v>39.6</v>
      </c>
      <c r="AA127" s="328"/>
    </row>
    <row r="128" spans="1:83" ht="12.95" customHeight="1" x14ac:dyDescent="0.2">
      <c r="AA128" s="328"/>
    </row>
    <row r="129" spans="1:83" s="18" customFormat="1" ht="12.95" customHeight="1" x14ac:dyDescent="0.25">
      <c r="A129" s="172"/>
      <c r="B129" s="19" t="str">
        <f>VLOOKUP(211,Textbausteine_203[],Hilfsgrössen!$D$2,FALSE)</f>
        <v>1) Sans les apprentis</v>
      </c>
      <c r="C129" s="19"/>
      <c r="D129" s="19"/>
      <c r="E129" s="19"/>
      <c r="F129" s="19"/>
      <c r="G129" s="19"/>
      <c r="H129" s="19"/>
      <c r="I129" s="19"/>
      <c r="J129" s="19"/>
      <c r="K129" s="19"/>
      <c r="L129" s="19"/>
      <c r="M129" s="19"/>
      <c r="N129" s="19"/>
      <c r="O129" s="19"/>
      <c r="P129" s="19"/>
      <c r="Q129" s="19"/>
      <c r="R129" s="19"/>
      <c r="S129" s="173"/>
      <c r="T129" s="31"/>
      <c r="U129" s="31"/>
      <c r="V129" s="31"/>
      <c r="W129" s="31"/>
      <c r="X129" s="31"/>
      <c r="Y129" s="31"/>
      <c r="Z129" s="31"/>
      <c r="AA129" s="378"/>
      <c r="AB129" s="173"/>
      <c r="AC129" s="173"/>
      <c r="AD129" s="173"/>
      <c r="AE129" s="173"/>
      <c r="AF129" s="173"/>
      <c r="AG129" s="173"/>
      <c r="AH129" s="173"/>
      <c r="AI129" s="173"/>
      <c r="AJ129" s="173"/>
      <c r="AK129" s="173"/>
      <c r="AL129" s="173"/>
      <c r="AM129" s="173"/>
      <c r="AN129" s="173"/>
      <c r="AO129" s="173"/>
      <c r="AP129" s="173"/>
      <c r="AQ129" s="173"/>
      <c r="AR129" s="173"/>
      <c r="AS129" s="173"/>
      <c r="AT129" s="173"/>
      <c r="AU129" s="173"/>
      <c r="AV129" s="173"/>
      <c r="AW129" s="173"/>
      <c r="AX129" s="173"/>
      <c r="AY129" s="173"/>
      <c r="AZ129" s="173"/>
      <c r="BA129" s="173"/>
      <c r="BB129" s="173"/>
      <c r="BC129" s="173"/>
      <c r="BD129" s="173"/>
      <c r="BE129" s="173"/>
      <c r="BF129" s="173"/>
      <c r="BG129" s="173"/>
      <c r="BH129" s="173"/>
      <c r="BI129" s="173"/>
      <c r="BJ129" s="173"/>
      <c r="BK129" s="173"/>
      <c r="BL129" s="173"/>
      <c r="BM129" s="173"/>
      <c r="BN129" s="173"/>
      <c r="BO129" s="173"/>
      <c r="BP129" s="173"/>
      <c r="BQ129" s="173"/>
      <c r="BR129" s="173"/>
      <c r="BS129" s="173"/>
      <c r="BT129" s="173"/>
      <c r="BU129" s="173"/>
      <c r="BV129" s="173"/>
      <c r="BW129" s="173"/>
      <c r="BX129" s="173"/>
      <c r="BY129" s="173"/>
      <c r="BZ129" s="173"/>
      <c r="CA129" s="173"/>
      <c r="CB129" s="173"/>
      <c r="CC129" s="173"/>
      <c r="CD129" s="173"/>
      <c r="CE129" s="173"/>
    </row>
    <row r="130" spans="1:83" s="18" customFormat="1" ht="12.95" customHeight="1" x14ac:dyDescent="0.25">
      <c r="A130" s="172"/>
      <c r="B130" s="19" t="str">
        <f>VLOOKUP(212,Textbausteine_203[],Hilfsgrössen!$D$2,FALSE)</f>
        <v>2) Une unité de personnel correspond à un poste à plein temps.</v>
      </c>
      <c r="C130" s="19"/>
      <c r="D130" s="19"/>
      <c r="E130" s="19"/>
      <c r="F130" s="19"/>
      <c r="G130" s="19"/>
      <c r="H130" s="19"/>
      <c r="I130" s="19"/>
      <c r="J130" s="19"/>
      <c r="K130" s="19"/>
      <c r="L130" s="19"/>
      <c r="M130" s="19"/>
      <c r="N130" s="19"/>
      <c r="O130" s="19"/>
      <c r="P130" s="19"/>
      <c r="Q130" s="19"/>
      <c r="R130" s="19"/>
      <c r="S130" s="173"/>
      <c r="T130" s="31"/>
      <c r="U130" s="31"/>
      <c r="V130" s="31"/>
      <c r="W130" s="31"/>
      <c r="X130" s="31"/>
      <c r="Y130" s="31"/>
      <c r="Z130" s="31"/>
      <c r="AA130" s="378"/>
      <c r="AB130" s="173"/>
      <c r="AC130" s="173"/>
      <c r="AD130" s="173"/>
      <c r="AE130" s="173"/>
      <c r="AF130" s="173"/>
      <c r="AG130" s="173"/>
      <c r="AH130" s="173"/>
      <c r="AI130" s="173"/>
      <c r="AJ130" s="173"/>
      <c r="AK130" s="173"/>
      <c r="AL130" s="173"/>
      <c r="AM130" s="173"/>
      <c r="AN130" s="173"/>
      <c r="AO130" s="173"/>
      <c r="AP130" s="173"/>
      <c r="AQ130" s="173"/>
      <c r="AR130" s="173"/>
      <c r="AS130" s="173"/>
      <c r="AT130" s="173"/>
      <c r="AU130" s="173"/>
      <c r="AV130" s="173"/>
      <c r="AW130" s="173"/>
      <c r="AX130" s="173"/>
      <c r="AY130" s="173"/>
      <c r="AZ130" s="173"/>
      <c r="BA130" s="173"/>
      <c r="BB130" s="173"/>
      <c r="BC130" s="173"/>
      <c r="BD130" s="173"/>
      <c r="BE130" s="173"/>
      <c r="BF130" s="173"/>
      <c r="BG130" s="173"/>
      <c r="BH130" s="173"/>
      <c r="BI130" s="173"/>
      <c r="BJ130" s="173"/>
      <c r="BK130" s="173"/>
      <c r="BL130" s="173"/>
      <c r="BM130" s="173"/>
      <c r="BN130" s="173"/>
      <c r="BO130" s="173"/>
      <c r="BP130" s="173"/>
      <c r="BQ130" s="173"/>
      <c r="BR130" s="173"/>
      <c r="BS130" s="173"/>
      <c r="BT130" s="173"/>
      <c r="BU130" s="173"/>
      <c r="BV130" s="173"/>
      <c r="BW130" s="173"/>
      <c r="BX130" s="173"/>
      <c r="BY130" s="173"/>
      <c r="BZ130" s="173"/>
      <c r="CA130" s="173"/>
      <c r="CB130" s="173"/>
      <c r="CC130" s="173"/>
      <c r="CD130" s="173"/>
      <c r="CE130" s="173"/>
    </row>
    <row r="131" spans="1:83" s="18" customFormat="1" ht="12.95" customHeight="1" x14ac:dyDescent="0.25">
      <c r="A131" s="172"/>
      <c r="B131" s="19" t="str">
        <f>VLOOKUP(213,Textbausteine_203[],Hilfsgrössen!$D$2,FALSE)</f>
        <v>3) Valeurs annuelles moyennes</v>
      </c>
      <c r="C131" s="19"/>
      <c r="D131" s="19"/>
      <c r="E131" s="19"/>
      <c r="F131" s="19"/>
      <c r="G131" s="19"/>
      <c r="H131" s="19"/>
      <c r="I131" s="19"/>
      <c r="J131" s="19"/>
      <c r="K131" s="19"/>
      <c r="L131" s="19"/>
      <c r="M131" s="19"/>
      <c r="N131" s="19"/>
      <c r="O131" s="19"/>
      <c r="P131" s="19"/>
      <c r="Q131" s="19"/>
      <c r="R131" s="19"/>
      <c r="S131" s="173"/>
      <c r="T131" s="30"/>
      <c r="U131" s="30"/>
      <c r="V131" s="30"/>
      <c r="W131" s="30"/>
      <c r="X131" s="30"/>
      <c r="Y131" s="30"/>
      <c r="Z131" s="30"/>
      <c r="AA131" s="378"/>
      <c r="AB131" s="173"/>
      <c r="AC131" s="173"/>
      <c r="AD131" s="173"/>
      <c r="AE131" s="173"/>
      <c r="AF131" s="173"/>
      <c r="AG131" s="173"/>
      <c r="AH131" s="173"/>
      <c r="AI131" s="173"/>
      <c r="AJ131" s="173"/>
      <c r="AK131" s="173"/>
      <c r="AL131" s="173"/>
      <c r="AM131" s="173"/>
      <c r="AN131" s="173"/>
      <c r="AO131" s="173"/>
      <c r="AP131" s="173"/>
      <c r="AQ131" s="173"/>
      <c r="AR131" s="173"/>
      <c r="AS131" s="173"/>
      <c r="AT131" s="173"/>
      <c r="AU131" s="173"/>
      <c r="AV131" s="173"/>
      <c r="AW131" s="173"/>
      <c r="AX131" s="173"/>
      <c r="AY131" s="173"/>
      <c r="AZ131" s="173"/>
      <c r="BA131" s="173"/>
      <c r="BB131" s="173"/>
      <c r="BC131" s="173"/>
      <c r="BD131" s="173"/>
      <c r="BE131" s="173"/>
      <c r="BF131" s="173"/>
      <c r="BG131" s="173"/>
      <c r="BH131" s="173"/>
      <c r="BI131" s="173"/>
      <c r="BJ131" s="173"/>
      <c r="BK131" s="173"/>
      <c r="BL131" s="173"/>
      <c r="BM131" s="173"/>
      <c r="BN131" s="173"/>
      <c r="BO131" s="173"/>
      <c r="BP131" s="173"/>
      <c r="BQ131" s="173"/>
      <c r="BR131" s="173"/>
      <c r="BS131" s="173"/>
      <c r="BT131" s="173"/>
      <c r="BU131" s="173"/>
      <c r="BV131" s="173"/>
      <c r="BW131" s="173"/>
      <c r="BX131" s="173"/>
      <c r="BY131" s="173"/>
      <c r="BZ131" s="173"/>
      <c r="CA131" s="173"/>
      <c r="CB131" s="173"/>
      <c r="CC131" s="173"/>
      <c r="CD131" s="173"/>
      <c r="CE131" s="173"/>
    </row>
    <row r="132" spans="1:83" s="18" customFormat="1" ht="12.95" customHeight="1" x14ac:dyDescent="0.25">
      <c r="A132" s="172"/>
      <c r="B132" s="19" t="str">
        <f>VLOOKUP(214,Textbausteine_203[],Hilfsgrössen!$D$2,FALSE)</f>
        <v>4) Depuis 2015, le nombre d'employés dans les cantons se fonde sur l'analyse STATENT.</v>
      </c>
      <c r="C132" s="19"/>
      <c r="D132" s="19"/>
      <c r="E132" s="19"/>
      <c r="F132" s="19"/>
      <c r="G132" s="19"/>
      <c r="H132" s="19"/>
      <c r="I132" s="19"/>
      <c r="J132" s="19"/>
      <c r="K132" s="19"/>
      <c r="L132" s="19"/>
      <c r="M132" s="19"/>
      <c r="N132" s="19"/>
      <c r="O132" s="19"/>
      <c r="P132" s="19"/>
      <c r="Q132" s="19"/>
      <c r="R132" s="19"/>
      <c r="S132" s="173"/>
      <c r="T132" s="30"/>
      <c r="U132" s="30"/>
      <c r="V132" s="30"/>
      <c r="W132" s="30"/>
      <c r="X132" s="30"/>
      <c r="Y132" s="30"/>
      <c r="Z132" s="30"/>
      <c r="AA132" s="378"/>
      <c r="AB132" s="173"/>
      <c r="AC132" s="173"/>
      <c r="AD132" s="173"/>
      <c r="AE132" s="173"/>
      <c r="AF132" s="173"/>
      <c r="AG132" s="173"/>
      <c r="AH132" s="173"/>
      <c r="AI132" s="173"/>
      <c r="AJ132" s="173"/>
      <c r="AK132" s="173"/>
      <c r="AL132" s="173"/>
      <c r="AM132" s="173"/>
      <c r="AN132" s="173"/>
      <c r="AO132" s="173"/>
      <c r="AP132" s="173"/>
      <c r="AQ132" s="173"/>
      <c r="AR132" s="173"/>
      <c r="AS132" s="173"/>
      <c r="AT132" s="173"/>
      <c r="AU132" s="173"/>
      <c r="AV132" s="173"/>
      <c r="AW132" s="173"/>
      <c r="AX132" s="173"/>
      <c r="AY132" s="173"/>
      <c r="AZ132" s="173"/>
      <c r="BA132" s="173"/>
      <c r="BB132" s="173"/>
      <c r="BC132" s="173"/>
      <c r="BD132" s="173"/>
      <c r="BE132" s="173"/>
      <c r="BF132" s="173"/>
      <c r="BG132" s="173"/>
      <c r="BH132" s="173"/>
      <c r="BI132" s="173"/>
      <c r="BJ132" s="173"/>
      <c r="BK132" s="173"/>
      <c r="BL132" s="173"/>
      <c r="BM132" s="173"/>
      <c r="BN132" s="173"/>
      <c r="BO132" s="173"/>
      <c r="BP132" s="173"/>
      <c r="BQ132" s="173"/>
      <c r="BR132" s="173"/>
      <c r="BS132" s="173"/>
      <c r="BT132" s="173"/>
      <c r="BU132" s="173"/>
      <c r="BV132" s="173"/>
      <c r="BW132" s="173"/>
      <c r="BX132" s="173"/>
      <c r="BY132" s="173"/>
      <c r="BZ132" s="173"/>
      <c r="CA132" s="173"/>
      <c r="CB132" s="173"/>
      <c r="CC132" s="173"/>
      <c r="CD132" s="173"/>
      <c r="CE132" s="173"/>
    </row>
    <row r="133" spans="1:83" s="18" customFormat="1" ht="12.95" customHeight="1" x14ac:dyDescent="0.25">
      <c r="A133" s="172"/>
      <c r="B133" s="382" t="str">
        <f>VLOOKUP(215,Textbausteine_203[],Hilfsgrössen!$D$2,FALSE)</f>
        <v>5) La définition des communes rurales a été adaptée selon la nouvelle collecte à partir de 2022 et rétroactivement pour 2021 et se fonde sur l’ordonnance sur la politique régionale du SECO. Les valeurs de 2004 à 2020 ne sont pas comparables avec les valeurs de 2021 et 2022.</v>
      </c>
      <c r="C133" s="382"/>
      <c r="D133" s="382"/>
      <c r="E133" s="382"/>
      <c r="F133" s="382"/>
      <c r="G133" s="382"/>
      <c r="H133" s="382"/>
      <c r="I133" s="382"/>
      <c r="J133" s="382"/>
      <c r="K133" s="382"/>
      <c r="L133" s="382"/>
      <c r="M133" s="382"/>
      <c r="N133" s="382"/>
      <c r="O133" s="382"/>
      <c r="P133" s="382"/>
      <c r="Q133" s="382"/>
      <c r="R133" s="382"/>
      <c r="S133" s="173"/>
      <c r="T133" s="383"/>
      <c r="U133" s="383"/>
      <c r="V133" s="383"/>
      <c r="W133" s="383"/>
      <c r="X133" s="383"/>
      <c r="Y133" s="383"/>
      <c r="Z133" s="383"/>
      <c r="AA133" s="378"/>
      <c r="AB133" s="173"/>
      <c r="AC133" s="173"/>
      <c r="AD133" s="173"/>
      <c r="AE133" s="173"/>
      <c r="AF133" s="173"/>
      <c r="AG133" s="173"/>
      <c r="AH133" s="173"/>
      <c r="AI133" s="173"/>
      <c r="AJ133" s="173"/>
      <c r="AK133" s="173"/>
      <c r="AL133" s="173"/>
      <c r="AM133" s="173"/>
      <c r="AN133" s="173"/>
      <c r="AO133" s="173"/>
      <c r="AP133" s="173"/>
      <c r="AQ133" s="173"/>
      <c r="AR133" s="173"/>
      <c r="AS133" s="173"/>
      <c r="AT133" s="173"/>
      <c r="AU133" s="173"/>
      <c r="AV133" s="173"/>
      <c r="AW133" s="173"/>
      <c r="AX133" s="173"/>
      <c r="AY133" s="173"/>
      <c r="AZ133" s="173"/>
      <c r="BA133" s="173"/>
      <c r="BB133" s="173"/>
      <c r="BC133" s="173"/>
      <c r="BD133" s="173"/>
      <c r="BE133" s="173"/>
      <c r="BF133" s="173"/>
      <c r="BG133" s="173"/>
      <c r="BH133" s="173"/>
      <c r="BI133" s="173"/>
      <c r="BJ133" s="173"/>
      <c r="BK133" s="173"/>
      <c r="BL133" s="173"/>
      <c r="BM133" s="173"/>
      <c r="BN133" s="173"/>
      <c r="BO133" s="173"/>
      <c r="BP133" s="173"/>
      <c r="BQ133" s="173"/>
      <c r="BR133" s="173"/>
      <c r="BS133" s="173"/>
      <c r="BT133" s="173"/>
      <c r="BU133" s="173"/>
      <c r="BV133" s="173"/>
      <c r="BW133" s="173"/>
      <c r="BX133" s="173"/>
      <c r="BY133" s="173"/>
      <c r="BZ133" s="173"/>
      <c r="CA133" s="173"/>
      <c r="CB133" s="173"/>
      <c r="CC133" s="173"/>
      <c r="CD133" s="173"/>
      <c r="CE133" s="173"/>
    </row>
    <row r="134" spans="1:83" s="18" customFormat="1" ht="12.95" customHeight="1" x14ac:dyDescent="0.25">
      <c r="A134" s="172"/>
      <c r="B134" s="382" t="str">
        <f>VLOOKUP(216,Textbausteine_203[],Hilfsgrössen!$D$2,FALSE)</f>
        <v>6) Groupe Suisse: données du systèmes du personnel, actuellement sans données sur 1402 unités du personnel ou 5582 personnes des sociétés du groupe B-Sped Logistics (Suisse) SA, Epsilon SA, Direct Mail Company AG, PubliBike SA, Destinas AG, KLARA Business SA, Relatra AG, BPS Speditions-Service AG, Arlesheim, BPS Speditions-Service AG, Pfungen, Walli-Trans AG, ASMIQ AG, notime AG, notime (Suisse) SA, Dialog Verwaltungs-Data AG, SwissSign SA, Tresorit AG, Bring! Labs AG, Livesystems Group SA, Livesystems SA, Livesystems dooh SA, Iemoli Trasporti SA, InTraLog Hermes AG, InTraLog Overseas AG, Otto Schmidt SA, Steriplus AG, Stericenter SA, Mediwar AG, Marcel Blanc et Cie SA, Unblu Inc., Groupe T2i Suisse SA, Hacknowledge SA, Stella Brandenberger Transporte AG, axsana AG, eoscop AG, H. Bucher Internationale Transporte AG, adiacom AG, Kickbag GmbH</v>
      </c>
      <c r="C134" s="382"/>
      <c r="D134" s="382"/>
      <c r="E134" s="382"/>
      <c r="F134" s="382"/>
      <c r="G134" s="382"/>
      <c r="H134" s="382"/>
      <c r="I134" s="382"/>
      <c r="J134" s="382"/>
      <c r="K134" s="382"/>
      <c r="L134" s="382"/>
      <c r="M134" s="382"/>
      <c r="N134" s="382"/>
      <c r="O134" s="382"/>
      <c r="P134" s="382"/>
      <c r="Q134" s="382"/>
      <c r="R134" s="382"/>
      <c r="S134" s="173"/>
      <c r="T134" s="383"/>
      <c r="U134" s="383"/>
      <c r="V134" s="383"/>
      <c r="W134" s="383"/>
      <c r="X134" s="383"/>
      <c r="Y134" s="383"/>
      <c r="Z134" s="383"/>
      <c r="AA134" s="378"/>
      <c r="AB134" s="173"/>
      <c r="AC134" s="173"/>
      <c r="AD134" s="173"/>
      <c r="AE134" s="173"/>
      <c r="AF134" s="173"/>
      <c r="AG134" s="173"/>
      <c r="AH134" s="173"/>
      <c r="AI134" s="173"/>
      <c r="AJ134" s="173"/>
      <c r="AK134" s="173"/>
      <c r="AL134" s="173"/>
      <c r="AM134" s="173"/>
      <c r="AN134" s="173"/>
      <c r="AO134" s="173"/>
      <c r="AP134" s="173"/>
      <c r="AQ134" s="173"/>
      <c r="AR134" s="173"/>
      <c r="AS134" s="173"/>
      <c r="AT134" s="173"/>
      <c r="AU134" s="173"/>
      <c r="AV134" s="173"/>
      <c r="AW134" s="173"/>
      <c r="AX134" s="173"/>
      <c r="AY134" s="173"/>
      <c r="AZ134" s="173"/>
      <c r="BA134" s="173"/>
      <c r="BB134" s="173"/>
      <c r="BC134" s="173"/>
      <c r="BD134" s="173"/>
      <c r="BE134" s="173"/>
      <c r="BF134" s="173"/>
      <c r="BG134" s="173"/>
      <c r="BH134" s="173"/>
      <c r="BI134" s="173"/>
      <c r="BJ134" s="173"/>
      <c r="BK134" s="173"/>
      <c r="BL134" s="173"/>
      <c r="BM134" s="173"/>
      <c r="BN134" s="173"/>
      <c r="BO134" s="173"/>
      <c r="BP134" s="173"/>
      <c r="BQ134" s="173"/>
      <c r="BR134" s="173"/>
      <c r="BS134" s="173"/>
      <c r="BT134" s="173"/>
      <c r="BU134" s="173"/>
      <c r="BV134" s="173"/>
      <c r="BW134" s="173"/>
      <c r="BX134" s="173"/>
      <c r="BY134" s="173"/>
      <c r="BZ134" s="173"/>
      <c r="CA134" s="173"/>
      <c r="CB134" s="173"/>
      <c r="CC134" s="173"/>
      <c r="CD134" s="173"/>
      <c r="CE134" s="173"/>
    </row>
    <row r="135" spans="1:83" s="288" customFormat="1" ht="12.95" customHeight="1" x14ac:dyDescent="0.25">
      <c r="A135" s="284"/>
      <c r="B135" s="19" t="str">
        <f>VLOOKUP(217,Textbausteine_203[],Hilfsgrössen!$D$2,FALSE)</f>
        <v>7) Dans le segment PostMail (désormais rattaché à Services logistiques depuis le 1er janvier 2021), le calcul de l’effectif moyen en équivalents plein temps (hors apprentis) de deux filiales a été remanié, ce qui a entraîné l’ajustement de la valeur de 2018. Dans le segment CarPostal (désormais rattaché à Services logistiques depuis le 1er janvier 2021), la valeur de 2018 a été ajustée suite à la classification du groupe CarPostal France comme groupe sortant détenu en vue de la vente et activité abandonnée.</v>
      </c>
      <c r="C135" s="285"/>
      <c r="D135" s="285"/>
      <c r="E135" s="285"/>
      <c r="F135" s="285"/>
      <c r="G135" s="285"/>
      <c r="H135" s="285"/>
      <c r="I135" s="285"/>
      <c r="J135" s="285"/>
      <c r="K135" s="285"/>
      <c r="L135" s="285"/>
      <c r="M135" s="285"/>
      <c r="N135" s="285"/>
      <c r="O135" s="285"/>
      <c r="P135" s="285"/>
      <c r="Q135" s="285"/>
      <c r="R135" s="285"/>
      <c r="S135" s="286"/>
      <c r="T135" s="287"/>
      <c r="U135" s="287"/>
      <c r="V135" s="287"/>
      <c r="W135" s="287"/>
      <c r="X135" s="287"/>
      <c r="Y135" s="287"/>
      <c r="Z135" s="287"/>
      <c r="AA135" s="379"/>
      <c r="AB135" s="286"/>
      <c r="AC135" s="286"/>
      <c r="AD135" s="286"/>
      <c r="AE135" s="286"/>
      <c r="AF135" s="286"/>
      <c r="AG135" s="286"/>
      <c r="AH135" s="286"/>
      <c r="AI135" s="286"/>
      <c r="AJ135" s="286"/>
      <c r="AK135" s="286"/>
      <c r="AL135" s="286"/>
      <c r="AM135" s="286"/>
      <c r="AN135" s="286"/>
      <c r="AO135" s="286"/>
      <c r="AP135" s="286"/>
      <c r="AQ135" s="286"/>
      <c r="AR135" s="286"/>
      <c r="AS135" s="286"/>
      <c r="AT135" s="286"/>
      <c r="AU135" s="286"/>
      <c r="AV135" s="286"/>
      <c r="AW135" s="286"/>
      <c r="AX135" s="286"/>
      <c r="AY135" s="286"/>
      <c r="AZ135" s="286"/>
      <c r="BA135" s="286"/>
      <c r="BB135" s="286"/>
      <c r="BC135" s="286"/>
      <c r="BD135" s="286"/>
      <c r="BE135" s="286"/>
      <c r="BF135" s="286"/>
      <c r="BG135" s="286"/>
      <c r="BH135" s="286"/>
      <c r="BI135" s="286"/>
      <c r="BJ135" s="286"/>
      <c r="BK135" s="286"/>
      <c r="BL135" s="286"/>
      <c r="BM135" s="286"/>
      <c r="BN135" s="286"/>
      <c r="BO135" s="286"/>
      <c r="BP135" s="286"/>
      <c r="BQ135" s="286"/>
      <c r="BR135" s="286"/>
      <c r="BS135" s="286"/>
      <c r="BT135" s="286"/>
      <c r="BU135" s="286"/>
      <c r="BV135" s="286"/>
      <c r="BW135" s="286"/>
      <c r="BX135" s="286"/>
      <c r="BY135" s="286"/>
      <c r="BZ135" s="286"/>
      <c r="CA135" s="286"/>
      <c r="CB135" s="286"/>
      <c r="CC135" s="286"/>
      <c r="CD135" s="286"/>
      <c r="CE135" s="286"/>
    </row>
    <row r="136" spans="1:83" s="18" customFormat="1" ht="12.95" customHeight="1" x14ac:dyDescent="0.25">
      <c r="A136" s="172"/>
      <c r="B136" s="19" t="str">
        <f>VLOOKUP(218,Textbausteine_203[],Hilfsgrössen!$D$2,FALSE)</f>
        <v>8) Comme les sites de SPS en Allemagne et en Autriche n’ont pas de forme juridique autonome, les collaborateurs des sites d’exploitation sont comptabilisés dans le total des emplois en Suisse. L’adaptation a lieu avec effet rétroactif depuis 2019.</v>
      </c>
      <c r="C136" s="19"/>
      <c r="D136" s="19"/>
      <c r="E136" s="19"/>
      <c r="F136" s="19"/>
      <c r="G136" s="19"/>
      <c r="H136" s="19"/>
      <c r="I136" s="19"/>
      <c r="J136" s="19"/>
      <c r="K136" s="19"/>
      <c r="L136" s="19"/>
      <c r="M136" s="19"/>
      <c r="N136" s="19"/>
      <c r="O136" s="19"/>
      <c r="P136" s="19"/>
      <c r="Q136" s="19"/>
      <c r="R136" s="19"/>
      <c r="S136" s="173"/>
      <c r="T136" s="174"/>
      <c r="U136" s="174"/>
      <c r="V136" s="174"/>
      <c r="W136" s="174"/>
      <c r="X136" s="174"/>
      <c r="Y136" s="174"/>
      <c r="Z136" s="174"/>
      <c r="AA136" s="378"/>
      <c r="AB136" s="173"/>
      <c r="AC136" s="173"/>
      <c r="AD136" s="173"/>
      <c r="AE136" s="173"/>
      <c r="AF136" s="173"/>
      <c r="AG136" s="173"/>
      <c r="AH136" s="173"/>
      <c r="AI136" s="173"/>
      <c r="AJ136" s="173"/>
      <c r="AK136" s="173"/>
      <c r="AL136" s="173"/>
      <c r="AM136" s="173"/>
      <c r="AN136" s="173"/>
      <c r="AO136" s="173"/>
      <c r="AP136" s="173"/>
      <c r="AQ136" s="173"/>
      <c r="AR136" s="173"/>
      <c r="AS136" s="173"/>
      <c r="AT136" s="173"/>
      <c r="AU136" s="173"/>
      <c r="AV136" s="173"/>
      <c r="AW136" s="173"/>
      <c r="AX136" s="173"/>
      <c r="AY136" s="173"/>
      <c r="AZ136" s="173"/>
      <c r="BA136" s="173"/>
      <c r="BB136" s="173"/>
      <c r="BC136" s="173"/>
      <c r="BD136" s="173"/>
      <c r="BE136" s="173"/>
      <c r="BF136" s="173"/>
      <c r="BG136" s="173"/>
      <c r="BH136" s="173"/>
      <c r="BI136" s="173"/>
      <c r="BJ136" s="173"/>
      <c r="BK136" s="173"/>
      <c r="BL136" s="173"/>
      <c r="BM136" s="173"/>
      <c r="BN136" s="173"/>
      <c r="BO136" s="173"/>
      <c r="BP136" s="173"/>
      <c r="BQ136" s="173"/>
      <c r="BR136" s="173"/>
      <c r="BS136" s="173"/>
      <c r="BT136" s="173"/>
      <c r="BU136" s="173"/>
      <c r="BV136" s="173"/>
      <c r="BW136" s="173"/>
      <c r="BX136" s="173"/>
      <c r="BY136" s="173"/>
      <c r="BZ136" s="173"/>
      <c r="CA136" s="173"/>
      <c r="CB136" s="173"/>
      <c r="CC136" s="173"/>
      <c r="CD136" s="173"/>
      <c r="CE136" s="173"/>
    </row>
    <row r="137" spans="1:83" ht="12.95" customHeight="1" x14ac:dyDescent="0.2">
      <c r="T137" s="81"/>
      <c r="U137" s="81"/>
      <c r="V137" s="81"/>
      <c r="W137" s="81"/>
      <c r="X137" s="81"/>
      <c r="Y137" s="81"/>
      <c r="Z137" s="81"/>
      <c r="AA137" s="328"/>
    </row>
    <row r="138" spans="1:83" ht="12.95" customHeight="1" x14ac:dyDescent="0.2">
      <c r="T138" s="81"/>
      <c r="U138" s="81"/>
      <c r="V138" s="81"/>
      <c r="W138" s="81"/>
      <c r="X138" s="81"/>
      <c r="Y138" s="81"/>
      <c r="Z138" s="81"/>
      <c r="AA138" s="328"/>
    </row>
    <row r="139" spans="1:83" s="6" customFormat="1" ht="12.95" customHeight="1" x14ac:dyDescent="0.25">
      <c r="A139" s="39" t="s">
        <v>27</v>
      </c>
      <c r="B139" s="401" t="str">
        <f>$C$10</f>
        <v>Comparaison des prix des services postaux</v>
      </c>
      <c r="C139" s="401"/>
      <c r="D139" s="6" t="str">
        <f>VLOOKUP(32,Textbausteine_Menu[],Hilfsgrössen!$D$2,FALSE)</f>
        <v>Unité</v>
      </c>
      <c r="E139" s="28" t="str">
        <f>VLOOKUP(33,Textbausteine_Menu[],Hilfsgrössen!$D$2,FALSE)</f>
        <v>Notes</v>
      </c>
      <c r="F139" s="28" t="str">
        <f>VLOOKUP(34,Textbausteine_Menu[],Hilfsgrössen!$D$2,FALSE)</f>
        <v>GRI</v>
      </c>
      <c r="G139" s="36"/>
      <c r="H139" s="7">
        <v>2004</v>
      </c>
      <c r="I139" s="7">
        <v>2005</v>
      </c>
      <c r="J139" s="7">
        <v>2006</v>
      </c>
      <c r="K139" s="7">
        <v>2007</v>
      </c>
      <c r="L139" s="7">
        <v>2008</v>
      </c>
      <c r="M139" s="7">
        <v>2009</v>
      </c>
      <c r="N139" s="7">
        <v>2010</v>
      </c>
      <c r="O139" s="7">
        <v>2011</v>
      </c>
      <c r="P139" s="7">
        <v>2012</v>
      </c>
      <c r="Q139" s="7">
        <v>2013</v>
      </c>
      <c r="R139" s="7">
        <v>2014</v>
      </c>
      <c r="S139" s="7">
        <v>2015</v>
      </c>
      <c r="T139" s="7">
        <v>2016</v>
      </c>
      <c r="U139" s="7">
        <v>2017</v>
      </c>
      <c r="V139" s="7">
        <v>2018</v>
      </c>
      <c r="W139" s="7">
        <v>2019</v>
      </c>
      <c r="X139" s="7">
        <v>2020</v>
      </c>
      <c r="Y139" s="7">
        <v>2021</v>
      </c>
      <c r="Z139" s="7">
        <v>2022</v>
      </c>
      <c r="AA139" s="375"/>
      <c r="AB139" s="28"/>
      <c r="AC139" s="28"/>
      <c r="AD139" s="28"/>
      <c r="AE139" s="28"/>
      <c r="AF139" s="28"/>
      <c r="AG139" s="28"/>
      <c r="AH139" s="28"/>
      <c r="AI139" s="28"/>
      <c r="AJ139" s="28"/>
      <c r="AK139" s="28"/>
      <c r="AL139" s="28"/>
      <c r="AM139" s="28"/>
      <c r="AN139" s="28"/>
      <c r="AO139" s="28"/>
      <c r="AP139" s="28"/>
      <c r="AQ139" s="28"/>
      <c r="AR139" s="28"/>
      <c r="AS139" s="28"/>
      <c r="AT139" s="28"/>
      <c r="AU139" s="28"/>
      <c r="AV139" s="28"/>
      <c r="AW139" s="28"/>
      <c r="AX139" s="28"/>
      <c r="AY139" s="28"/>
      <c r="AZ139" s="28"/>
      <c r="BA139" s="28"/>
      <c r="BB139" s="28"/>
      <c r="BC139" s="28"/>
      <c r="BD139" s="28"/>
      <c r="BE139" s="28"/>
      <c r="BF139" s="28"/>
      <c r="BG139" s="28"/>
      <c r="BH139" s="28"/>
      <c r="BI139" s="28"/>
      <c r="BJ139" s="28"/>
      <c r="BK139" s="28"/>
      <c r="BL139" s="28"/>
      <c r="BM139" s="28"/>
      <c r="BN139" s="28"/>
      <c r="BO139" s="28"/>
      <c r="BP139" s="28"/>
      <c r="BQ139" s="28"/>
      <c r="BR139" s="28"/>
      <c r="BS139" s="28"/>
      <c r="BT139" s="28"/>
      <c r="BU139" s="28"/>
      <c r="BV139" s="28"/>
      <c r="BW139" s="28"/>
      <c r="BX139" s="28"/>
      <c r="BY139" s="28"/>
      <c r="BZ139" s="28"/>
      <c r="CA139" s="28"/>
      <c r="CB139" s="28"/>
      <c r="CC139" s="28"/>
      <c r="CD139" s="28"/>
      <c r="CE139" s="28"/>
    </row>
    <row r="140" spans="1:83" s="6" customFormat="1" ht="12.95" customHeight="1" x14ac:dyDescent="0.2">
      <c r="A140" s="38"/>
      <c r="B140" s="401"/>
      <c r="C140" s="401"/>
      <c r="E140" s="9"/>
      <c r="F140" s="9"/>
      <c r="G140" s="34"/>
      <c r="H140" s="7"/>
      <c r="I140" s="7"/>
      <c r="J140" s="7"/>
      <c r="K140" s="7"/>
      <c r="L140" s="68"/>
      <c r="M140" s="68"/>
      <c r="N140" s="9"/>
      <c r="O140" s="9"/>
      <c r="P140" s="9"/>
      <c r="Q140" s="9"/>
      <c r="R140" s="9"/>
      <c r="S140" s="9"/>
      <c r="T140" s="11"/>
      <c r="U140" s="11"/>
      <c r="V140" s="11"/>
      <c r="W140" s="11"/>
      <c r="X140" s="11"/>
      <c r="Y140" s="11"/>
      <c r="Z140" s="11"/>
      <c r="AA140" s="328"/>
      <c r="AB140" s="9"/>
      <c r="AC140" s="9"/>
      <c r="AD140" s="9"/>
      <c r="AE140" s="9"/>
      <c r="AF140" s="9"/>
      <c r="AG140" s="9"/>
      <c r="AH140" s="9"/>
      <c r="AI140" s="9"/>
      <c r="AJ140" s="9"/>
      <c r="AK140" s="9"/>
      <c r="AL140" s="9"/>
      <c r="AM140" s="9"/>
      <c r="AN140" s="9"/>
      <c r="AO140" s="9"/>
      <c r="AP140" s="9"/>
      <c r="AQ140" s="9"/>
      <c r="AR140" s="9"/>
      <c r="AS140" s="9"/>
      <c r="AT140" s="9"/>
      <c r="AU140" s="9"/>
      <c r="AV140" s="9"/>
      <c r="AW140" s="9"/>
      <c r="AX140" s="9"/>
      <c r="AY140" s="9"/>
      <c r="AZ140" s="9"/>
      <c r="BA140" s="9"/>
      <c r="BB140" s="9"/>
      <c r="BC140" s="9"/>
      <c r="BD140" s="9"/>
      <c r="BE140" s="9"/>
      <c r="BF140" s="9"/>
      <c r="BG140" s="9"/>
      <c r="BH140" s="9"/>
      <c r="BI140" s="9"/>
      <c r="BJ140" s="9"/>
      <c r="BK140" s="9"/>
      <c r="BL140" s="9"/>
      <c r="BM140" s="9"/>
      <c r="BN140" s="9"/>
      <c r="BO140" s="9"/>
      <c r="BP140" s="9"/>
      <c r="BQ140" s="9"/>
      <c r="BR140" s="9"/>
      <c r="BS140" s="9"/>
      <c r="BT140" s="9"/>
      <c r="BU140" s="9"/>
      <c r="BV140" s="9"/>
      <c r="BW140" s="9"/>
      <c r="BX140" s="9"/>
      <c r="BY140" s="9"/>
      <c r="BZ140" s="9"/>
      <c r="CA140" s="9"/>
      <c r="CB140" s="9"/>
      <c r="CC140" s="9"/>
      <c r="CD140" s="9"/>
      <c r="CE140" s="9"/>
    </row>
    <row r="141" spans="1:83" ht="12.95" customHeight="1" x14ac:dyDescent="0.2">
      <c r="A141" s="47"/>
      <c r="B141" s="2"/>
      <c r="E141" s="28"/>
      <c r="F141" s="28"/>
      <c r="H141" s="7"/>
      <c r="I141" s="7"/>
      <c r="J141" s="7"/>
      <c r="K141" s="7"/>
      <c r="L141" s="68"/>
      <c r="M141" s="68"/>
      <c r="AA141" s="328"/>
    </row>
    <row r="142" spans="1:83" ht="12.95" customHeight="1" x14ac:dyDescent="0.2">
      <c r="A142" s="47"/>
      <c r="B142" s="2" t="str">
        <f>VLOOKUP(36,Textbausteine_Menu[],Hilfsgrössen!$D$2,FALSE)</f>
        <v>Groupe</v>
      </c>
      <c r="E142" s="28"/>
      <c r="F142" s="28"/>
      <c r="H142" s="7"/>
      <c r="I142" s="7"/>
      <c r="J142" s="7"/>
      <c r="K142" s="7"/>
      <c r="L142" s="68"/>
      <c r="M142" s="68"/>
      <c r="AA142" s="328"/>
    </row>
    <row r="143" spans="1:83" ht="12.95" customHeight="1" x14ac:dyDescent="0.2">
      <c r="C143" s="6" t="str">
        <f>VLOOKUP(111,Textbausteine_203[],Hilfsgrössen!$D$2,FALSE)</f>
        <v>Indice du prix des lettres corrigé du taux de change</v>
      </c>
      <c r="AA143" s="380"/>
    </row>
    <row r="144" spans="1:83" ht="12.95" customHeight="1" x14ac:dyDescent="0.2">
      <c r="C144" s="13" t="str">
        <f>VLOOKUP(124,Textbausteine_203[],Hilfsgrössen!$D$2,FALSE)</f>
        <v>Irlande</v>
      </c>
      <c r="D144" s="1" t="str">
        <f>VLOOKUP(17,Textbausteine_203[],Hilfsgrössen!$D$2,FALSE)</f>
        <v>Indice</v>
      </c>
      <c r="E144" s="9" t="s">
        <v>70</v>
      </c>
      <c r="H144" s="9" t="s">
        <v>29</v>
      </c>
      <c r="I144" s="9" t="s">
        <v>29</v>
      </c>
      <c r="J144" s="9" t="s">
        <v>29</v>
      </c>
      <c r="K144" s="9" t="s">
        <v>29</v>
      </c>
      <c r="L144" s="15">
        <v>96</v>
      </c>
      <c r="M144" s="15">
        <v>88</v>
      </c>
      <c r="N144" s="15">
        <v>86</v>
      </c>
      <c r="O144" s="15">
        <v>76</v>
      </c>
      <c r="P144" s="15">
        <v>77</v>
      </c>
      <c r="Q144" s="15">
        <v>85</v>
      </c>
      <c r="R144" s="15">
        <v>94</v>
      </c>
      <c r="S144" s="15">
        <v>87</v>
      </c>
      <c r="T144" s="12">
        <v>89</v>
      </c>
      <c r="U144" s="12">
        <v>128</v>
      </c>
      <c r="V144" s="12">
        <v>128</v>
      </c>
      <c r="W144" s="12">
        <v>125</v>
      </c>
      <c r="X144" s="12">
        <v>121</v>
      </c>
      <c r="Y144" s="11">
        <v>129.43830859553691</v>
      </c>
      <c r="Z144" s="11">
        <v>620</v>
      </c>
      <c r="AA144" s="328"/>
    </row>
    <row r="145" spans="1:83" ht="12.95" customHeight="1" x14ac:dyDescent="0.2">
      <c r="C145" s="13" t="str">
        <f>VLOOKUP(129,Textbausteine_203[],Hilfsgrössen!$D$2,FALSE)</f>
        <v>Suède</v>
      </c>
      <c r="D145" s="1" t="str">
        <f>VLOOKUP(17,Textbausteine_203[],Hilfsgrössen!$D$2,FALSE)</f>
        <v>Indice</v>
      </c>
      <c r="E145" s="9" t="s">
        <v>70</v>
      </c>
      <c r="H145" s="9" t="s">
        <v>29</v>
      </c>
      <c r="I145" s="9" t="s">
        <v>29</v>
      </c>
      <c r="J145" s="9" t="s">
        <v>29</v>
      </c>
      <c r="K145" s="9" t="s">
        <v>29</v>
      </c>
      <c r="L145" s="15">
        <v>141</v>
      </c>
      <c r="M145" s="15">
        <v>122</v>
      </c>
      <c r="N145" s="15">
        <v>140</v>
      </c>
      <c r="O145" s="15">
        <v>127</v>
      </c>
      <c r="P145" s="15">
        <v>133</v>
      </c>
      <c r="Q145" s="15">
        <v>132</v>
      </c>
      <c r="R145" s="15">
        <v>119</v>
      </c>
      <c r="S145" s="15">
        <v>103</v>
      </c>
      <c r="T145" s="12">
        <v>90</v>
      </c>
      <c r="U145" s="12">
        <v>101</v>
      </c>
      <c r="V145" s="12">
        <v>128</v>
      </c>
      <c r="W145" s="12">
        <v>118</v>
      </c>
      <c r="X145" s="12">
        <v>144</v>
      </c>
      <c r="Y145" s="11">
        <v>431.29658521893964</v>
      </c>
      <c r="Z145" s="11">
        <v>398</v>
      </c>
      <c r="AA145" s="328"/>
    </row>
    <row r="146" spans="1:83" ht="12.95" customHeight="1" x14ac:dyDescent="0.2">
      <c r="C146" s="13" t="str">
        <f>VLOOKUP(119,Textbausteine_203[],Hilfsgrössen!$D$2,FALSE)</f>
        <v>Danemark</v>
      </c>
      <c r="D146" s="1" t="str">
        <f>VLOOKUP(17,Textbausteine_203[],Hilfsgrössen!$D$2,FALSE)</f>
        <v>Indice</v>
      </c>
      <c r="E146" s="9" t="s">
        <v>70</v>
      </c>
      <c r="H146" s="9" t="s">
        <v>29</v>
      </c>
      <c r="I146" s="9" t="s">
        <v>29</v>
      </c>
      <c r="J146" s="9" t="s">
        <v>29</v>
      </c>
      <c r="K146" s="9" t="s">
        <v>29</v>
      </c>
      <c r="L146" s="15">
        <v>137</v>
      </c>
      <c r="M146" s="15">
        <v>127</v>
      </c>
      <c r="N146" s="15">
        <v>129</v>
      </c>
      <c r="O146" s="15">
        <v>147</v>
      </c>
      <c r="P146" s="15">
        <v>146</v>
      </c>
      <c r="Q146" s="15">
        <v>150</v>
      </c>
      <c r="R146" s="15">
        <v>164</v>
      </c>
      <c r="S146" s="15">
        <v>156</v>
      </c>
      <c r="T146" s="12">
        <v>303</v>
      </c>
      <c r="U146" s="12">
        <v>324</v>
      </c>
      <c r="V146" s="12">
        <v>325</v>
      </c>
      <c r="W146" s="12">
        <v>338</v>
      </c>
      <c r="X146" s="12">
        <v>335</v>
      </c>
      <c r="Y146" s="11">
        <v>338.56591548565984</v>
      </c>
      <c r="Z146" s="11">
        <v>291</v>
      </c>
      <c r="AA146" s="328"/>
    </row>
    <row r="147" spans="1:83" ht="12.95" customHeight="1" x14ac:dyDescent="0.2">
      <c r="C147" s="13" t="str">
        <f>VLOOKUP(121,Textbausteine_203[],Hilfsgrössen!$D$2,FALSE)</f>
        <v>Finlande</v>
      </c>
      <c r="D147" s="1" t="str">
        <f>VLOOKUP(17,Textbausteine_203[],Hilfsgrössen!$D$2,FALSE)</f>
        <v>Indice</v>
      </c>
      <c r="E147" s="9" t="s">
        <v>70</v>
      </c>
      <c r="H147" s="9" t="s">
        <v>29</v>
      </c>
      <c r="I147" s="9" t="s">
        <v>29</v>
      </c>
      <c r="J147" s="9" t="s">
        <v>29</v>
      </c>
      <c r="K147" s="9" t="s">
        <v>29</v>
      </c>
      <c r="L147" s="15">
        <v>116</v>
      </c>
      <c r="M147" s="15">
        <v>116</v>
      </c>
      <c r="N147" s="15">
        <v>117</v>
      </c>
      <c r="O147" s="15">
        <v>93</v>
      </c>
      <c r="P147" s="15">
        <v>103</v>
      </c>
      <c r="Q147" s="15">
        <v>112</v>
      </c>
      <c r="R147" s="15">
        <v>131</v>
      </c>
      <c r="S147" s="15">
        <v>130</v>
      </c>
      <c r="T147" s="12">
        <v>142</v>
      </c>
      <c r="U147" s="12">
        <v>182</v>
      </c>
      <c r="V147" s="12">
        <v>192</v>
      </c>
      <c r="W147" s="12">
        <v>201</v>
      </c>
      <c r="X147" s="12">
        <v>214</v>
      </c>
      <c r="Y147" s="11">
        <v>224.06429290967745</v>
      </c>
      <c r="Z147" s="11">
        <v>224</v>
      </c>
      <c r="AA147" s="328"/>
    </row>
    <row r="148" spans="1:83" ht="12.95" customHeight="1" x14ac:dyDescent="0.2">
      <c r="C148" s="13" t="str">
        <f>VLOOKUP(127,Textbausteine_203[],Hilfsgrössen!$D$2,FALSE)</f>
        <v>Norvège</v>
      </c>
      <c r="D148" s="1" t="str">
        <f>VLOOKUP(17,Textbausteine_203[],Hilfsgrössen!$D$2,FALSE)</f>
        <v>Indice</v>
      </c>
      <c r="E148" s="9" t="s">
        <v>70</v>
      </c>
      <c r="H148" s="9" t="s">
        <v>29</v>
      </c>
      <c r="I148" s="9" t="s">
        <v>29</v>
      </c>
      <c r="J148" s="9" t="s">
        <v>29</v>
      </c>
      <c r="K148" s="9" t="s">
        <v>29</v>
      </c>
      <c r="L148" s="15">
        <v>206</v>
      </c>
      <c r="M148" s="15">
        <v>173</v>
      </c>
      <c r="N148" s="15">
        <v>206</v>
      </c>
      <c r="O148" s="15">
        <v>203</v>
      </c>
      <c r="P148" s="15">
        <v>214</v>
      </c>
      <c r="Q148" s="15">
        <v>209</v>
      </c>
      <c r="R148" s="15">
        <v>199</v>
      </c>
      <c r="S148" s="15">
        <v>166</v>
      </c>
      <c r="T148" s="12">
        <v>179</v>
      </c>
      <c r="U148" s="12">
        <v>211</v>
      </c>
      <c r="V148" s="12">
        <v>220</v>
      </c>
      <c r="W148" s="12">
        <v>221</v>
      </c>
      <c r="X148" s="12">
        <v>208</v>
      </c>
      <c r="Y148" s="11">
        <v>238.1900987365579</v>
      </c>
      <c r="Z148" s="11">
        <v>216</v>
      </c>
      <c r="AA148" s="328"/>
    </row>
    <row r="149" spans="1:83" ht="12.95" customHeight="1" x14ac:dyDescent="0.2">
      <c r="C149" s="13" t="str">
        <f>VLOOKUP(122,Textbausteine_203[],Hilfsgrössen!$D$2,FALSE)</f>
        <v>France</v>
      </c>
      <c r="D149" s="1" t="str">
        <f>VLOOKUP(17,Textbausteine_203[],Hilfsgrössen!$D$2,FALSE)</f>
        <v>Indice</v>
      </c>
      <c r="E149" s="9" t="s">
        <v>70</v>
      </c>
      <c r="H149" s="9" t="s">
        <v>29</v>
      </c>
      <c r="I149" s="9" t="s">
        <v>29</v>
      </c>
      <c r="J149" s="9" t="s">
        <v>29</v>
      </c>
      <c r="K149" s="9" t="s">
        <v>29</v>
      </c>
      <c r="L149" s="15">
        <v>117</v>
      </c>
      <c r="M149" s="15">
        <v>110</v>
      </c>
      <c r="N149" s="15">
        <v>114</v>
      </c>
      <c r="O149" s="15">
        <v>111</v>
      </c>
      <c r="P149" s="15">
        <v>111</v>
      </c>
      <c r="Q149" s="15">
        <v>118</v>
      </c>
      <c r="R149" s="15">
        <v>121</v>
      </c>
      <c r="S149" s="15">
        <v>119</v>
      </c>
      <c r="T149" s="12">
        <v>128</v>
      </c>
      <c r="U149" s="12">
        <v>145</v>
      </c>
      <c r="V149" s="12">
        <v>157</v>
      </c>
      <c r="W149" s="12">
        <v>160</v>
      </c>
      <c r="X149" s="12">
        <v>179</v>
      </c>
      <c r="Y149" s="11">
        <v>153.97562432197947</v>
      </c>
      <c r="Z149" s="11">
        <v>193</v>
      </c>
      <c r="AA149" s="328"/>
    </row>
    <row r="150" spans="1:83" ht="12.95" customHeight="1" x14ac:dyDescent="0.2">
      <c r="C150" s="13" t="str">
        <f>VLOOKUP(125,Textbausteine_203[],Hilfsgrössen!$D$2,FALSE)</f>
        <v>Italie</v>
      </c>
      <c r="D150" s="1" t="str">
        <f>VLOOKUP(17,Textbausteine_203[],Hilfsgrössen!$D$2,FALSE)</f>
        <v>Indice</v>
      </c>
      <c r="E150" s="9" t="s">
        <v>70</v>
      </c>
      <c r="H150" s="9" t="s">
        <v>29</v>
      </c>
      <c r="I150" s="9" t="s">
        <v>29</v>
      </c>
      <c r="J150" s="9" t="s">
        <v>29</v>
      </c>
      <c r="K150" s="9" t="s">
        <v>29</v>
      </c>
      <c r="L150" s="15">
        <v>166</v>
      </c>
      <c r="M150" s="15">
        <v>152</v>
      </c>
      <c r="N150" s="15">
        <v>147</v>
      </c>
      <c r="O150" s="15">
        <v>130</v>
      </c>
      <c r="P150" s="15">
        <v>130</v>
      </c>
      <c r="Q150" s="15">
        <v>169</v>
      </c>
      <c r="R150" s="15">
        <v>161</v>
      </c>
      <c r="S150" s="15">
        <v>182</v>
      </c>
      <c r="T150" s="12">
        <v>182</v>
      </c>
      <c r="U150" s="12">
        <v>195</v>
      </c>
      <c r="V150" s="12">
        <v>201</v>
      </c>
      <c r="W150" s="12">
        <v>190</v>
      </c>
      <c r="X150" s="12">
        <v>188</v>
      </c>
      <c r="Y150" s="11">
        <v>187.24164385622234</v>
      </c>
      <c r="Z150" s="11">
        <v>178</v>
      </c>
      <c r="AA150" s="328"/>
    </row>
    <row r="151" spans="1:83" ht="12.95" customHeight="1" x14ac:dyDescent="0.2">
      <c r="C151" s="13" t="str">
        <f>VLOOKUP(118,Textbausteine_203[],Hilfsgrössen!$D$2,FALSE)</f>
        <v>Allemagne</v>
      </c>
      <c r="D151" s="1" t="str">
        <f>VLOOKUP(17,Textbausteine_203[],Hilfsgrössen!$D$2,FALSE)</f>
        <v>Indice</v>
      </c>
      <c r="E151" s="9" t="s">
        <v>70</v>
      </c>
      <c r="H151" s="9" t="s">
        <v>29</v>
      </c>
      <c r="I151" s="9" t="s">
        <v>29</v>
      </c>
      <c r="J151" s="9" t="s">
        <v>29</v>
      </c>
      <c r="K151" s="9" t="s">
        <v>29</v>
      </c>
      <c r="L151" s="15">
        <v>123</v>
      </c>
      <c r="M151" s="15">
        <v>113</v>
      </c>
      <c r="N151" s="15">
        <v>110</v>
      </c>
      <c r="O151" s="15">
        <v>97</v>
      </c>
      <c r="P151" s="15">
        <v>96</v>
      </c>
      <c r="Q151" s="15">
        <v>101</v>
      </c>
      <c r="R151" s="15">
        <v>99</v>
      </c>
      <c r="S151" s="15">
        <v>85</v>
      </c>
      <c r="T151" s="12">
        <v>91</v>
      </c>
      <c r="U151" s="12">
        <v>97</v>
      </c>
      <c r="V151" s="12">
        <v>95</v>
      </c>
      <c r="W151" s="12">
        <v>102</v>
      </c>
      <c r="X151" s="12">
        <v>99</v>
      </c>
      <c r="Y151" s="12">
        <v>98</v>
      </c>
      <c r="Z151" s="12">
        <v>156</v>
      </c>
      <c r="AA151" s="328"/>
    </row>
    <row r="152" spans="1:83" ht="12.95" customHeight="1" x14ac:dyDescent="0.2">
      <c r="C152" s="13" t="str">
        <f>VLOOKUP(126,Textbausteine_203[],Hilfsgrössen!$D$2,FALSE)</f>
        <v>Pays-Bas</v>
      </c>
      <c r="D152" s="1" t="str">
        <f>VLOOKUP(17,Textbausteine_203[],Hilfsgrössen!$D$2,FALSE)</f>
        <v>Indice</v>
      </c>
      <c r="E152" s="9" t="s">
        <v>70</v>
      </c>
      <c r="H152" s="9" t="s">
        <v>29</v>
      </c>
      <c r="I152" s="9" t="s">
        <v>29</v>
      </c>
      <c r="J152" s="9" t="s">
        <v>29</v>
      </c>
      <c r="K152" s="9" t="s">
        <v>29</v>
      </c>
      <c r="L152" s="15">
        <v>116</v>
      </c>
      <c r="M152" s="15">
        <v>106</v>
      </c>
      <c r="N152" s="15">
        <v>103</v>
      </c>
      <c r="O152" s="15">
        <v>95</v>
      </c>
      <c r="P152" s="15">
        <v>103</v>
      </c>
      <c r="Q152" s="15">
        <v>126</v>
      </c>
      <c r="R152" s="15">
        <v>132</v>
      </c>
      <c r="S152" s="15">
        <v>120</v>
      </c>
      <c r="T152" s="12">
        <v>126</v>
      </c>
      <c r="U152" s="12">
        <v>145</v>
      </c>
      <c r="V152" s="12">
        <v>150</v>
      </c>
      <c r="W152" s="12">
        <v>149</v>
      </c>
      <c r="X152" s="12">
        <v>153</v>
      </c>
      <c r="Y152" s="11">
        <v>159.87582951925404</v>
      </c>
      <c r="Z152" s="11">
        <v>144</v>
      </c>
      <c r="AA152" s="328"/>
    </row>
    <row r="153" spans="1:83" ht="12.95" customHeight="1" x14ac:dyDescent="0.2">
      <c r="C153" s="13" t="str">
        <f>VLOOKUP(116,Textbausteine_203[],Hilfsgrössen!$D$2,FALSE)</f>
        <v>Belgique</v>
      </c>
      <c r="D153" s="1" t="str">
        <f>VLOOKUP(17,Textbausteine_203[],Hilfsgrössen!$D$2,FALSE)</f>
        <v>Indice</v>
      </c>
      <c r="E153" s="9" t="s">
        <v>70</v>
      </c>
      <c r="H153" s="9" t="s">
        <v>29</v>
      </c>
      <c r="I153" s="9" t="s">
        <v>29</v>
      </c>
      <c r="J153" s="9" t="s">
        <v>29</v>
      </c>
      <c r="K153" s="9" t="s">
        <v>29</v>
      </c>
      <c r="L153" s="15">
        <v>102</v>
      </c>
      <c r="M153" s="15">
        <v>105</v>
      </c>
      <c r="N153" s="15">
        <v>120</v>
      </c>
      <c r="O153" s="15">
        <v>109</v>
      </c>
      <c r="P153" s="15">
        <v>114</v>
      </c>
      <c r="Q153" s="15">
        <v>120</v>
      </c>
      <c r="R153" s="15">
        <v>118</v>
      </c>
      <c r="S153" s="15">
        <v>103</v>
      </c>
      <c r="T153" s="12">
        <v>105</v>
      </c>
      <c r="U153" s="12">
        <v>112</v>
      </c>
      <c r="V153" s="12">
        <v>121</v>
      </c>
      <c r="W153" s="12">
        <v>131</v>
      </c>
      <c r="X153" s="12">
        <v>147</v>
      </c>
      <c r="Y153" s="11">
        <v>179.20169327995674</v>
      </c>
      <c r="Z153" s="11">
        <v>135</v>
      </c>
      <c r="AA153" s="328"/>
    </row>
    <row r="154" spans="1:83" ht="12.95" customHeight="1" x14ac:dyDescent="0.2">
      <c r="C154" s="13" t="str">
        <f>VLOOKUP(115,Textbausteine_203[],Hilfsgrössen!$D$2,FALSE)</f>
        <v>Autriche</v>
      </c>
      <c r="D154" s="1" t="str">
        <f>VLOOKUP(17,Textbausteine_203[],Hilfsgrössen!$D$2,FALSE)</f>
        <v>Indice</v>
      </c>
      <c r="E154" s="9" t="s">
        <v>70</v>
      </c>
      <c r="H154" s="9" t="s">
        <v>29</v>
      </c>
      <c r="I154" s="9" t="s">
        <v>29</v>
      </c>
      <c r="J154" s="9" t="s">
        <v>29</v>
      </c>
      <c r="K154" s="9" t="s">
        <v>29</v>
      </c>
      <c r="L154" s="15">
        <v>110</v>
      </c>
      <c r="M154" s="15">
        <v>100</v>
      </c>
      <c r="N154" s="15">
        <v>97</v>
      </c>
      <c r="O154" s="15">
        <v>102</v>
      </c>
      <c r="P154" s="15">
        <v>101</v>
      </c>
      <c r="Q154" s="15">
        <v>103</v>
      </c>
      <c r="R154" s="15">
        <v>101</v>
      </c>
      <c r="S154" s="15">
        <v>96</v>
      </c>
      <c r="T154" s="12">
        <v>96</v>
      </c>
      <c r="U154" s="12">
        <v>123</v>
      </c>
      <c r="V154" s="12">
        <v>130</v>
      </c>
      <c r="W154" s="12">
        <v>123</v>
      </c>
      <c r="X154" s="12">
        <v>125</v>
      </c>
      <c r="Y154" s="11">
        <v>124.27822528892334</v>
      </c>
      <c r="Z154" s="11">
        <v>124</v>
      </c>
      <c r="AA154" s="328"/>
    </row>
    <row r="155" spans="1:83" ht="12.95" customHeight="1" x14ac:dyDescent="0.2">
      <c r="C155" s="13" t="str">
        <f t="array" ref="C155">VLOOKUP(123,Textbausteine_203[],Hilfsgrössen!$D$2,FALSE)</f>
        <v>Royaume-Uni</v>
      </c>
      <c r="D155" s="1" t="str">
        <f>VLOOKUP(17,Textbausteine_203[],Hilfsgrössen!$D$2,FALSE)</f>
        <v>Indice</v>
      </c>
      <c r="E155" s="9" t="s">
        <v>70</v>
      </c>
      <c r="H155" s="9" t="s">
        <v>29</v>
      </c>
      <c r="I155" s="9" t="s">
        <v>29</v>
      </c>
      <c r="J155" s="9" t="s">
        <v>29</v>
      </c>
      <c r="K155" s="9" t="s">
        <v>29</v>
      </c>
      <c r="L155" s="15">
        <v>67</v>
      </c>
      <c r="M155" s="15">
        <v>56</v>
      </c>
      <c r="N155" s="15">
        <v>67</v>
      </c>
      <c r="O155" s="15">
        <v>67</v>
      </c>
      <c r="P155" s="15">
        <v>92</v>
      </c>
      <c r="Q155" s="15">
        <v>88</v>
      </c>
      <c r="R155" s="15">
        <v>97</v>
      </c>
      <c r="S155" s="15">
        <v>98</v>
      </c>
      <c r="T155" s="12">
        <v>79</v>
      </c>
      <c r="U155" s="12">
        <v>88</v>
      </c>
      <c r="V155" s="12">
        <v>89</v>
      </c>
      <c r="W155" s="12">
        <v>92</v>
      </c>
      <c r="X155" s="12">
        <v>92</v>
      </c>
      <c r="Y155" s="11">
        <v>104.15148583253008</v>
      </c>
      <c r="Z155" s="11">
        <v>105</v>
      </c>
      <c r="AA155" s="328"/>
    </row>
    <row r="156" spans="1:83" ht="12.95" customHeight="1" x14ac:dyDescent="0.2">
      <c r="C156" s="171" t="str">
        <f>VLOOKUP(117,Textbausteine_203[],Hilfsgrössen!$D$2,FALSE)</f>
        <v>Suisse</v>
      </c>
      <c r="D156" s="6" t="str">
        <f>VLOOKUP(17,Textbausteine_203[],Hilfsgrössen!$D$2,FALSE)</f>
        <v>Indice</v>
      </c>
      <c r="E156" s="28" t="s">
        <v>70</v>
      </c>
      <c r="F156" s="28"/>
      <c r="G156" s="33"/>
      <c r="H156" s="28" t="s">
        <v>29</v>
      </c>
      <c r="I156" s="28" t="s">
        <v>29</v>
      </c>
      <c r="J156" s="28" t="s">
        <v>29</v>
      </c>
      <c r="K156" s="28" t="s">
        <v>29</v>
      </c>
      <c r="L156" s="76">
        <v>100</v>
      </c>
      <c r="M156" s="76">
        <v>100</v>
      </c>
      <c r="N156" s="76">
        <v>100</v>
      </c>
      <c r="O156" s="76">
        <v>100</v>
      </c>
      <c r="P156" s="76">
        <v>100</v>
      </c>
      <c r="Q156" s="76">
        <v>100</v>
      </c>
      <c r="R156" s="76">
        <v>100</v>
      </c>
      <c r="S156" s="76">
        <v>100</v>
      </c>
      <c r="T156" s="77">
        <v>100</v>
      </c>
      <c r="U156" s="77">
        <v>100</v>
      </c>
      <c r="V156" s="77">
        <v>100</v>
      </c>
      <c r="W156" s="77">
        <v>100</v>
      </c>
      <c r="X156" s="77">
        <v>100</v>
      </c>
      <c r="Y156" s="7">
        <v>100</v>
      </c>
      <c r="Z156" s="7">
        <v>100</v>
      </c>
      <c r="AA156" s="328"/>
    </row>
    <row r="157" spans="1:83" ht="12.95" customHeight="1" x14ac:dyDescent="0.2">
      <c r="C157" s="13" t="str">
        <f>VLOOKUP(120,Textbausteine_203[],Hilfsgrössen!$D$2,FALSE)</f>
        <v>Espagne</v>
      </c>
      <c r="D157" s="1" t="str">
        <f>VLOOKUP(17,Textbausteine_203[],Hilfsgrössen!$D$2,FALSE)</f>
        <v>Indice</v>
      </c>
      <c r="E157" s="9" t="s">
        <v>70</v>
      </c>
      <c r="H157" s="9" t="s">
        <v>29</v>
      </c>
      <c r="I157" s="9" t="s">
        <v>29</v>
      </c>
      <c r="J157" s="9" t="s">
        <v>29</v>
      </c>
      <c r="K157" s="9" t="s">
        <v>29</v>
      </c>
      <c r="L157" s="15">
        <v>82</v>
      </c>
      <c r="M157" s="15">
        <v>83</v>
      </c>
      <c r="N157" s="15">
        <v>79</v>
      </c>
      <c r="O157" s="15">
        <v>68</v>
      </c>
      <c r="P157" s="15">
        <v>69</v>
      </c>
      <c r="Q157" s="15">
        <v>72</v>
      </c>
      <c r="R157" s="15">
        <v>72</v>
      </c>
      <c r="S157" s="15">
        <v>66</v>
      </c>
      <c r="T157" s="12">
        <v>68</v>
      </c>
      <c r="U157" s="12">
        <v>78</v>
      </c>
      <c r="V157" s="12">
        <v>82</v>
      </c>
      <c r="W157" s="12">
        <v>84</v>
      </c>
      <c r="X157" s="12">
        <v>87</v>
      </c>
      <c r="Y157" s="12">
        <v>86</v>
      </c>
      <c r="Z157" s="12">
        <v>90</v>
      </c>
      <c r="AA157" s="328"/>
    </row>
    <row r="158" spans="1:83" ht="12.95" customHeight="1" x14ac:dyDescent="0.2">
      <c r="C158" s="13" t="str">
        <f>VLOOKUP(128,Textbausteine_203[],Hilfsgrössen!$D$2,FALSE)</f>
        <v>Portugal</v>
      </c>
      <c r="D158" s="1" t="str">
        <f>VLOOKUP(17,Textbausteine_203[],Hilfsgrössen!$D$2,FALSE)</f>
        <v>Indice</v>
      </c>
      <c r="E158" s="9" t="s">
        <v>70</v>
      </c>
      <c r="H158" s="9" t="s">
        <v>29</v>
      </c>
      <c r="I158" s="9" t="s">
        <v>29</v>
      </c>
      <c r="J158" s="9" t="s">
        <v>29</v>
      </c>
      <c r="K158" s="9" t="s">
        <v>29</v>
      </c>
      <c r="L158" s="15">
        <v>83</v>
      </c>
      <c r="M158" s="15">
        <v>82</v>
      </c>
      <c r="N158" s="15">
        <v>80</v>
      </c>
      <c r="O158" s="15">
        <v>71</v>
      </c>
      <c r="P158" s="15">
        <v>70</v>
      </c>
      <c r="Q158" s="15">
        <v>79</v>
      </c>
      <c r="R158" s="15">
        <v>80</v>
      </c>
      <c r="S158" s="15">
        <v>75</v>
      </c>
      <c r="T158" s="12">
        <v>78</v>
      </c>
      <c r="U158" s="12">
        <v>87</v>
      </c>
      <c r="V158" s="12">
        <v>91</v>
      </c>
      <c r="W158" s="12">
        <v>86</v>
      </c>
      <c r="X158" s="12">
        <v>80</v>
      </c>
      <c r="Y158" s="12">
        <v>79</v>
      </c>
      <c r="Z158" s="12">
        <v>72</v>
      </c>
      <c r="AA158" s="328"/>
    </row>
    <row r="159" spans="1:83" ht="12.95" customHeight="1" x14ac:dyDescent="0.2">
      <c r="AA159" s="328"/>
    </row>
    <row r="160" spans="1:83" s="6" customFormat="1" ht="12.95" customHeight="1" x14ac:dyDescent="0.2">
      <c r="A160" s="65"/>
      <c r="C160" s="6" t="str">
        <f>VLOOKUP(112,Textbausteine_203[],Hilfsgrössen!$D$2,FALSE)</f>
        <v>Indice du prix des lettres en parité de pouvoir d'achat</v>
      </c>
      <c r="E160" s="28"/>
      <c r="F160" s="28"/>
      <c r="G160" s="33"/>
      <c r="H160" s="28"/>
      <c r="I160" s="28"/>
      <c r="J160" s="28"/>
      <c r="K160" s="28"/>
      <c r="L160" s="28"/>
      <c r="M160" s="28"/>
      <c r="N160" s="28"/>
      <c r="O160" s="28"/>
      <c r="P160" s="28"/>
      <c r="Q160" s="28"/>
      <c r="R160" s="28"/>
      <c r="S160" s="28"/>
      <c r="T160" s="7"/>
      <c r="U160" s="7"/>
      <c r="V160" s="7"/>
      <c r="W160" s="7"/>
      <c r="X160" s="7"/>
      <c r="Y160" s="7"/>
      <c r="Z160" s="7"/>
      <c r="AA160" s="380"/>
      <c r="AB160" s="28"/>
      <c r="AC160" s="28"/>
      <c r="AD160" s="28"/>
      <c r="AE160" s="28"/>
      <c r="AF160" s="28"/>
      <c r="AG160" s="28"/>
      <c r="AH160" s="28"/>
      <c r="AI160" s="28"/>
      <c r="AJ160" s="28"/>
      <c r="AK160" s="28"/>
      <c r="AL160" s="28"/>
      <c r="AM160" s="28"/>
      <c r="AN160" s="28"/>
      <c r="AO160" s="28"/>
      <c r="AP160" s="28"/>
      <c r="AQ160" s="28"/>
      <c r="AR160" s="28"/>
      <c r="AS160" s="28"/>
      <c r="AT160" s="28"/>
      <c r="AU160" s="28"/>
      <c r="AV160" s="28"/>
      <c r="AW160" s="28"/>
      <c r="AX160" s="28"/>
      <c r="AY160" s="28"/>
      <c r="AZ160" s="28"/>
      <c r="BA160" s="28"/>
      <c r="BB160" s="28"/>
      <c r="BC160" s="28"/>
      <c r="BD160" s="28"/>
      <c r="BE160" s="28"/>
      <c r="BF160" s="28"/>
      <c r="BG160" s="28"/>
      <c r="BH160" s="28"/>
      <c r="BI160" s="28"/>
      <c r="BJ160" s="28"/>
      <c r="BK160" s="28"/>
      <c r="BL160" s="28"/>
      <c r="BM160" s="28"/>
      <c r="BN160" s="28"/>
      <c r="BO160" s="28"/>
      <c r="BP160" s="28"/>
      <c r="BQ160" s="28"/>
      <c r="BR160" s="28"/>
      <c r="BS160" s="28"/>
      <c r="BT160" s="28"/>
      <c r="BU160" s="28"/>
      <c r="BV160" s="28"/>
      <c r="BW160" s="28"/>
      <c r="BX160" s="28"/>
      <c r="BY160" s="28"/>
      <c r="BZ160" s="28"/>
      <c r="CA160" s="28"/>
      <c r="CB160" s="28"/>
      <c r="CC160" s="28"/>
      <c r="CD160" s="28"/>
      <c r="CE160" s="28"/>
    </row>
    <row r="161" spans="3:27" ht="12.95" customHeight="1" x14ac:dyDescent="0.2">
      <c r="C161" s="13" t="str">
        <f>VLOOKUP(129,Textbausteine_203[],Hilfsgrössen!$D$2,FALSE)</f>
        <v>Suède</v>
      </c>
      <c r="D161" s="1" t="str">
        <f>VLOOKUP(17,Textbausteine_203[],Hilfsgrössen!$D$2,FALSE)</f>
        <v>Indice</v>
      </c>
      <c r="E161" s="9" t="s">
        <v>70</v>
      </c>
      <c r="H161" s="9" t="s">
        <v>29</v>
      </c>
      <c r="I161" s="9" t="s">
        <v>29</v>
      </c>
      <c r="J161" s="9" t="s">
        <v>29</v>
      </c>
      <c r="K161" s="9" t="s">
        <v>29</v>
      </c>
      <c r="L161" s="9" t="s">
        <v>29</v>
      </c>
      <c r="M161" s="9" t="s">
        <v>29</v>
      </c>
      <c r="N161" s="9" t="s">
        <v>29</v>
      </c>
      <c r="O161" s="9">
        <v>159</v>
      </c>
      <c r="P161" s="9">
        <v>154</v>
      </c>
      <c r="Q161" s="9">
        <v>152</v>
      </c>
      <c r="R161" s="9">
        <v>146</v>
      </c>
      <c r="S161" s="9">
        <v>136</v>
      </c>
      <c r="T161" s="11">
        <v>115</v>
      </c>
      <c r="U161" s="11">
        <v>116</v>
      </c>
      <c r="V161" s="11">
        <v>156</v>
      </c>
      <c r="W161" s="11">
        <v>154</v>
      </c>
      <c r="X161" s="11">
        <v>184</v>
      </c>
      <c r="Y161" s="11">
        <v>526.53167242751147</v>
      </c>
      <c r="Z161" s="11">
        <v>526</v>
      </c>
      <c r="AA161" s="328"/>
    </row>
    <row r="162" spans="3:27" ht="12.95" customHeight="1" x14ac:dyDescent="0.2">
      <c r="C162" s="13" t="str">
        <f>VLOOKUP(119,Textbausteine_203[],Hilfsgrössen!$D$2,FALSE)</f>
        <v>Danemark</v>
      </c>
      <c r="D162" s="1" t="str">
        <f>VLOOKUP(17,Textbausteine_203[],Hilfsgrössen!$D$2,FALSE)</f>
        <v>Indice</v>
      </c>
      <c r="E162" s="9">
        <v>1</v>
      </c>
      <c r="H162" s="9" t="s">
        <v>29</v>
      </c>
      <c r="I162" s="9" t="s">
        <v>29</v>
      </c>
      <c r="J162" s="9" t="s">
        <v>29</v>
      </c>
      <c r="K162" s="9" t="s">
        <v>29</v>
      </c>
      <c r="L162" s="9" t="s">
        <v>29</v>
      </c>
      <c r="M162" s="9" t="s">
        <v>29</v>
      </c>
      <c r="N162" s="9" t="s">
        <v>29</v>
      </c>
      <c r="O162" s="9">
        <v>172</v>
      </c>
      <c r="P162" s="9">
        <v>169</v>
      </c>
      <c r="Q162" s="9">
        <v>163</v>
      </c>
      <c r="R162" s="9">
        <v>182</v>
      </c>
      <c r="S162" s="9">
        <v>193</v>
      </c>
      <c r="T162" s="11">
        <v>354</v>
      </c>
      <c r="U162" s="11">
        <v>352</v>
      </c>
      <c r="V162" s="11">
        <v>358</v>
      </c>
      <c r="W162" s="11">
        <v>393</v>
      </c>
      <c r="X162" s="11">
        <v>402</v>
      </c>
      <c r="Y162" s="11">
        <v>406.4128944175992</v>
      </c>
      <c r="Z162" s="11">
        <v>389</v>
      </c>
      <c r="AA162" s="328"/>
    </row>
    <row r="163" spans="3:27" ht="12.95" customHeight="1" x14ac:dyDescent="0.2">
      <c r="C163" s="13" t="str">
        <f>VLOOKUP(121,Textbausteine_203[],Hilfsgrössen!$D$2,FALSE)</f>
        <v>Finlande</v>
      </c>
      <c r="D163" s="1" t="str">
        <f>VLOOKUP(17,Textbausteine_203[],Hilfsgrössen!$D$2,FALSE)</f>
        <v>Indice</v>
      </c>
      <c r="E163" s="9" t="s">
        <v>70</v>
      </c>
      <c r="H163" s="9" t="s">
        <v>29</v>
      </c>
      <c r="I163" s="9" t="s">
        <v>29</v>
      </c>
      <c r="J163" s="9" t="s">
        <v>29</v>
      </c>
      <c r="K163" s="9" t="s">
        <v>29</v>
      </c>
      <c r="L163" s="9" t="s">
        <v>29</v>
      </c>
      <c r="M163" s="9" t="s">
        <v>29</v>
      </c>
      <c r="N163" s="9" t="s">
        <v>29</v>
      </c>
      <c r="O163" s="9">
        <v>121</v>
      </c>
      <c r="P163" s="9">
        <v>133</v>
      </c>
      <c r="Q163" s="9">
        <v>137</v>
      </c>
      <c r="R163" s="9">
        <v>162</v>
      </c>
      <c r="S163" s="9">
        <v>174</v>
      </c>
      <c r="T163" s="11">
        <v>180</v>
      </c>
      <c r="U163" s="11">
        <v>213</v>
      </c>
      <c r="V163" s="11">
        <v>227</v>
      </c>
      <c r="W163" s="11">
        <v>248</v>
      </c>
      <c r="X163" s="11">
        <v>272</v>
      </c>
      <c r="Y163" s="11">
        <v>284.68942925930179</v>
      </c>
      <c r="Z163" s="11">
        <v>282</v>
      </c>
      <c r="AA163" s="328"/>
    </row>
    <row r="164" spans="3:27" ht="12.95" customHeight="1" x14ac:dyDescent="0.2">
      <c r="C164" s="13" t="str">
        <f>VLOOKUP(122,Textbausteine_203[],Hilfsgrössen!$D$2,FALSE)</f>
        <v>France</v>
      </c>
      <c r="D164" s="1" t="str">
        <f>VLOOKUP(17,Textbausteine_203[],Hilfsgrössen!$D$2,FALSE)</f>
        <v>Indice</v>
      </c>
      <c r="E164" s="9">
        <v>1</v>
      </c>
      <c r="H164" s="9" t="s">
        <v>29</v>
      </c>
      <c r="I164" s="9" t="s">
        <v>29</v>
      </c>
      <c r="J164" s="9" t="s">
        <v>29</v>
      </c>
      <c r="K164" s="9" t="s">
        <v>29</v>
      </c>
      <c r="L164" s="9" t="s">
        <v>29</v>
      </c>
      <c r="M164" s="9" t="s">
        <v>29</v>
      </c>
      <c r="N164" s="9" t="s">
        <v>29</v>
      </c>
      <c r="O164" s="9">
        <v>158</v>
      </c>
      <c r="P164" s="9">
        <v>154</v>
      </c>
      <c r="Q164" s="9">
        <v>156</v>
      </c>
      <c r="R164" s="9">
        <v>165</v>
      </c>
      <c r="S164" s="9">
        <v>180</v>
      </c>
      <c r="T164" s="11">
        <v>183</v>
      </c>
      <c r="U164" s="11">
        <v>191</v>
      </c>
      <c r="V164" s="11">
        <v>211</v>
      </c>
      <c r="W164" s="11">
        <v>223</v>
      </c>
      <c r="X164" s="11">
        <v>263</v>
      </c>
      <c r="Y164" s="11">
        <v>226.37214822531467</v>
      </c>
      <c r="Z164" s="11">
        <v>282</v>
      </c>
      <c r="AA164" s="328"/>
    </row>
    <row r="165" spans="3:27" ht="12.95" customHeight="1" x14ac:dyDescent="0.2">
      <c r="C165" s="13" t="str">
        <f>VLOOKUP(125,Textbausteine_203[],Hilfsgrössen!$D$2,FALSE)</f>
        <v>Italie</v>
      </c>
      <c r="D165" s="1" t="str">
        <f>VLOOKUP(17,Textbausteine_203[],Hilfsgrössen!$D$2,FALSE)</f>
        <v>Indice</v>
      </c>
      <c r="E165" s="9">
        <v>1</v>
      </c>
      <c r="H165" s="9" t="s">
        <v>29</v>
      </c>
      <c r="I165" s="9" t="s">
        <v>29</v>
      </c>
      <c r="J165" s="9" t="s">
        <v>29</v>
      </c>
      <c r="K165" s="9" t="s">
        <v>29</v>
      </c>
      <c r="L165" s="9" t="s">
        <v>29</v>
      </c>
      <c r="M165" s="9" t="s">
        <v>29</v>
      </c>
      <c r="N165" s="9" t="s">
        <v>29</v>
      </c>
      <c r="O165" s="9">
        <v>201</v>
      </c>
      <c r="P165" s="9">
        <v>199</v>
      </c>
      <c r="Q165" s="9">
        <v>245</v>
      </c>
      <c r="R165" s="9">
        <v>245</v>
      </c>
      <c r="S165" s="9">
        <v>302</v>
      </c>
      <c r="T165" s="11">
        <v>285</v>
      </c>
      <c r="U165" s="11">
        <v>285</v>
      </c>
      <c r="V165" s="11">
        <v>299</v>
      </c>
      <c r="W165" s="11">
        <v>295</v>
      </c>
      <c r="X165" s="11">
        <v>302</v>
      </c>
      <c r="Y165" s="11">
        <v>300.3046276869577</v>
      </c>
      <c r="Z165" s="11">
        <v>269</v>
      </c>
      <c r="AA165" s="328"/>
    </row>
    <row r="166" spans="3:27" ht="12.95" customHeight="1" x14ac:dyDescent="0.2">
      <c r="C166" s="13" t="str">
        <f>VLOOKUP(124,Textbausteine_203[],Hilfsgrössen!$D$2,FALSE)</f>
        <v>Irlande</v>
      </c>
      <c r="D166" s="1" t="str">
        <f>VLOOKUP(17,Textbausteine_203[],Hilfsgrössen!$D$2,FALSE)</f>
        <v>Indice</v>
      </c>
      <c r="E166" s="9">
        <v>1</v>
      </c>
      <c r="H166" s="9" t="s">
        <v>29</v>
      </c>
      <c r="I166" s="9" t="s">
        <v>29</v>
      </c>
      <c r="J166" s="9" t="s">
        <v>29</v>
      </c>
      <c r="K166" s="9" t="s">
        <v>29</v>
      </c>
      <c r="L166" s="9" t="s">
        <v>29</v>
      </c>
      <c r="M166" s="9" t="s">
        <v>29</v>
      </c>
      <c r="N166" s="9" t="s">
        <v>29</v>
      </c>
      <c r="O166" s="9">
        <v>111</v>
      </c>
      <c r="P166" s="9">
        <v>112</v>
      </c>
      <c r="Q166" s="9">
        <v>118</v>
      </c>
      <c r="R166" s="9">
        <v>131</v>
      </c>
      <c r="S166" s="9">
        <v>130</v>
      </c>
      <c r="T166" s="11">
        <v>124</v>
      </c>
      <c r="U166" s="11">
        <v>168</v>
      </c>
      <c r="V166" s="11">
        <v>169</v>
      </c>
      <c r="W166" s="11">
        <v>169</v>
      </c>
      <c r="X166" s="11">
        <v>164</v>
      </c>
      <c r="Y166" s="11">
        <v>174.99750672607126</v>
      </c>
      <c r="Z166" s="11">
        <v>257</v>
      </c>
      <c r="AA166" s="328"/>
    </row>
    <row r="167" spans="3:27" ht="12.95" customHeight="1" x14ac:dyDescent="0.2">
      <c r="C167" s="13" t="str">
        <f>VLOOKUP(127,Textbausteine_203[],Hilfsgrössen!$D$2,FALSE)</f>
        <v>Norvège</v>
      </c>
      <c r="D167" s="1" t="str">
        <f>VLOOKUP(17,Textbausteine_203[],Hilfsgrössen!$D$2,FALSE)</f>
        <v>Indice</v>
      </c>
      <c r="E167" s="9">
        <v>1</v>
      </c>
      <c r="H167" s="9" t="s">
        <v>29</v>
      </c>
      <c r="I167" s="9" t="s">
        <v>29</v>
      </c>
      <c r="J167" s="9" t="s">
        <v>29</v>
      </c>
      <c r="K167" s="9" t="s">
        <v>29</v>
      </c>
      <c r="L167" s="9" t="s">
        <v>29</v>
      </c>
      <c r="M167" s="9" t="s">
        <v>29</v>
      </c>
      <c r="N167" s="9" t="s">
        <v>29</v>
      </c>
      <c r="O167" s="9">
        <v>202</v>
      </c>
      <c r="P167" s="9">
        <v>215</v>
      </c>
      <c r="Q167" s="9">
        <v>215</v>
      </c>
      <c r="R167" s="9">
        <v>215</v>
      </c>
      <c r="S167" s="9">
        <v>206</v>
      </c>
      <c r="T167" s="11">
        <v>196</v>
      </c>
      <c r="U167" s="11">
        <v>212</v>
      </c>
      <c r="V167" s="11">
        <v>221</v>
      </c>
      <c r="W167" s="11">
        <v>242</v>
      </c>
      <c r="X167" s="11">
        <v>251</v>
      </c>
      <c r="Y167" s="11">
        <v>251.95134496868206</v>
      </c>
      <c r="Z167" s="11">
        <v>249</v>
      </c>
      <c r="AA167" s="328"/>
    </row>
    <row r="168" spans="3:27" ht="12.95" customHeight="1" x14ac:dyDescent="0.2">
      <c r="C168" s="13" t="str">
        <f>VLOOKUP(118,Textbausteine_203[],Hilfsgrössen!$D$2,FALSE)</f>
        <v>Allemagne</v>
      </c>
      <c r="D168" s="1" t="str">
        <f>VLOOKUP(17,Textbausteine_203[],Hilfsgrössen!$D$2,FALSE)</f>
        <v>Indice</v>
      </c>
      <c r="E168" s="9">
        <v>1</v>
      </c>
      <c r="H168" s="9" t="s">
        <v>29</v>
      </c>
      <c r="I168" s="9" t="s">
        <v>29</v>
      </c>
      <c r="J168" s="9" t="s">
        <v>29</v>
      </c>
      <c r="K168" s="9" t="s">
        <v>29</v>
      </c>
      <c r="L168" s="9" t="s">
        <v>29</v>
      </c>
      <c r="M168" s="9" t="s">
        <v>29</v>
      </c>
      <c r="N168" s="9" t="s">
        <v>29</v>
      </c>
      <c r="O168" s="9">
        <v>150</v>
      </c>
      <c r="P168" s="9">
        <v>145</v>
      </c>
      <c r="Q168" s="9">
        <v>144</v>
      </c>
      <c r="R168" s="9">
        <v>146</v>
      </c>
      <c r="S168" s="9">
        <v>137</v>
      </c>
      <c r="T168" s="11">
        <v>136</v>
      </c>
      <c r="U168" s="11">
        <v>132</v>
      </c>
      <c r="V168" s="11">
        <v>130</v>
      </c>
      <c r="W168" s="11">
        <v>145</v>
      </c>
      <c r="X168" s="11">
        <v>145</v>
      </c>
      <c r="Y168" s="11">
        <v>143.72849488656396</v>
      </c>
      <c r="Z168" s="11">
        <v>235</v>
      </c>
      <c r="AA168" s="328"/>
    </row>
    <row r="169" spans="3:27" ht="12.95" customHeight="1" x14ac:dyDescent="0.2">
      <c r="C169" s="13" t="str">
        <f>VLOOKUP(126,Textbausteine_203[],Hilfsgrössen!$D$2,FALSE)</f>
        <v>Pays-Bas</v>
      </c>
      <c r="D169" s="1" t="str">
        <f>VLOOKUP(17,Textbausteine_203[],Hilfsgrössen!$D$2,FALSE)</f>
        <v>Indice</v>
      </c>
      <c r="E169" s="9">
        <v>1</v>
      </c>
      <c r="H169" s="9" t="s">
        <v>29</v>
      </c>
      <c r="I169" s="9" t="s">
        <v>29</v>
      </c>
      <c r="J169" s="9" t="s">
        <v>29</v>
      </c>
      <c r="K169" s="9" t="s">
        <v>29</v>
      </c>
      <c r="L169" s="9" t="s">
        <v>29</v>
      </c>
      <c r="M169" s="9" t="s">
        <v>29</v>
      </c>
      <c r="N169" s="9" t="s">
        <v>29</v>
      </c>
      <c r="O169" s="9">
        <v>141</v>
      </c>
      <c r="P169" s="9">
        <v>148</v>
      </c>
      <c r="Q169" s="9">
        <v>172</v>
      </c>
      <c r="R169" s="9">
        <v>184</v>
      </c>
      <c r="S169" s="9">
        <v>183</v>
      </c>
      <c r="T169" s="11">
        <v>180</v>
      </c>
      <c r="U169" s="11">
        <v>189</v>
      </c>
      <c r="V169" s="11">
        <v>197</v>
      </c>
      <c r="W169" s="11">
        <v>202</v>
      </c>
      <c r="X169" s="11">
        <v>210</v>
      </c>
      <c r="Y169" s="11">
        <v>219.177139033938</v>
      </c>
      <c r="Z169" s="11">
        <v>203</v>
      </c>
      <c r="AA169" s="328"/>
    </row>
    <row r="170" spans="3:27" ht="12.95" customHeight="1" x14ac:dyDescent="0.2">
      <c r="C170" s="13" t="str">
        <f>VLOOKUP(116,Textbausteine_203[],Hilfsgrössen!$D$2,FALSE)</f>
        <v>Belgique</v>
      </c>
      <c r="D170" s="1" t="str">
        <f>VLOOKUP(17,Textbausteine_203[],Hilfsgrössen!$D$2,FALSE)</f>
        <v>Indice</v>
      </c>
      <c r="E170" s="9">
        <v>1</v>
      </c>
      <c r="H170" s="9" t="s">
        <v>29</v>
      </c>
      <c r="I170" s="9" t="s">
        <v>29</v>
      </c>
      <c r="J170" s="9" t="s">
        <v>29</v>
      </c>
      <c r="K170" s="9" t="s">
        <v>29</v>
      </c>
      <c r="L170" s="9" t="s">
        <v>29</v>
      </c>
      <c r="M170" s="9" t="s">
        <v>29</v>
      </c>
      <c r="N170" s="9" t="s">
        <v>29</v>
      </c>
      <c r="O170" s="9">
        <v>155</v>
      </c>
      <c r="P170" s="9">
        <v>159</v>
      </c>
      <c r="Q170" s="9">
        <v>159</v>
      </c>
      <c r="R170" s="9">
        <v>160</v>
      </c>
      <c r="S170" s="9">
        <v>155</v>
      </c>
      <c r="T170" s="11">
        <v>150</v>
      </c>
      <c r="U170" s="11">
        <v>148</v>
      </c>
      <c r="V170" s="11">
        <v>162</v>
      </c>
      <c r="W170" s="11">
        <v>181</v>
      </c>
      <c r="X170" s="11">
        <v>209</v>
      </c>
      <c r="Y170" s="11">
        <v>255.43314873183127</v>
      </c>
      <c r="Z170" s="11">
        <v>198</v>
      </c>
      <c r="AA170" s="328"/>
    </row>
    <row r="171" spans="3:27" ht="12.95" customHeight="1" x14ac:dyDescent="0.2">
      <c r="C171" s="13" t="str">
        <f>VLOOKUP(115,Textbausteine_203[],Hilfsgrössen!$D$2,FALSE)</f>
        <v>Autriche</v>
      </c>
      <c r="D171" s="1" t="str">
        <f>VLOOKUP(17,Textbausteine_203[],Hilfsgrössen!$D$2,FALSE)</f>
        <v>Indice</v>
      </c>
      <c r="E171" s="9">
        <v>1</v>
      </c>
      <c r="H171" s="9" t="s">
        <v>29</v>
      </c>
      <c r="I171" s="9" t="s">
        <v>29</v>
      </c>
      <c r="J171" s="9" t="s">
        <v>29</v>
      </c>
      <c r="K171" s="9" t="s">
        <v>29</v>
      </c>
      <c r="L171" s="9" t="s">
        <v>29</v>
      </c>
      <c r="M171" s="9" t="s">
        <v>29</v>
      </c>
      <c r="N171" s="9" t="s">
        <v>29</v>
      </c>
      <c r="O171" s="9">
        <v>148</v>
      </c>
      <c r="P171" s="9">
        <v>144</v>
      </c>
      <c r="Q171" s="9">
        <v>141</v>
      </c>
      <c r="R171" s="9">
        <v>139</v>
      </c>
      <c r="S171" s="9">
        <v>145</v>
      </c>
      <c r="T171" s="11">
        <v>138</v>
      </c>
      <c r="U171" s="11">
        <v>163</v>
      </c>
      <c r="V171" s="11">
        <v>173</v>
      </c>
      <c r="W171" s="11">
        <v>169</v>
      </c>
      <c r="X171" s="11">
        <v>178</v>
      </c>
      <c r="Y171" s="11">
        <v>175.98009595111554</v>
      </c>
      <c r="Z171" s="11">
        <v>180</v>
      </c>
      <c r="AA171" s="328"/>
    </row>
    <row r="172" spans="3:27" ht="12.95" customHeight="1" x14ac:dyDescent="0.2">
      <c r="C172" s="13" t="str">
        <f>VLOOKUP(120,Textbausteine_203[],Hilfsgrössen!$D$2,FALSE)</f>
        <v>Espagne</v>
      </c>
      <c r="D172" s="1" t="str">
        <f>VLOOKUP(17,Textbausteine_203[],Hilfsgrössen!$D$2,FALSE)</f>
        <v>Indice</v>
      </c>
      <c r="E172" s="9">
        <v>1</v>
      </c>
      <c r="H172" s="9" t="s">
        <v>29</v>
      </c>
      <c r="I172" s="9" t="s">
        <v>29</v>
      </c>
      <c r="J172" s="9" t="s">
        <v>29</v>
      </c>
      <c r="K172" s="9" t="s">
        <v>29</v>
      </c>
      <c r="L172" s="9" t="s">
        <v>29</v>
      </c>
      <c r="M172" s="9" t="s">
        <v>29</v>
      </c>
      <c r="N172" s="9" t="s">
        <v>29</v>
      </c>
      <c r="O172" s="9">
        <v>117</v>
      </c>
      <c r="P172" s="9">
        <v>117</v>
      </c>
      <c r="Q172" s="9">
        <v>117</v>
      </c>
      <c r="R172" s="9">
        <v>122</v>
      </c>
      <c r="S172" s="9">
        <v>122</v>
      </c>
      <c r="T172" s="11">
        <v>119</v>
      </c>
      <c r="U172" s="11">
        <v>125</v>
      </c>
      <c r="V172" s="11">
        <v>134</v>
      </c>
      <c r="W172" s="11">
        <v>141</v>
      </c>
      <c r="X172" s="11">
        <v>150</v>
      </c>
      <c r="Y172" s="11">
        <v>148.37719949303698</v>
      </c>
      <c r="Z172" s="11">
        <v>159</v>
      </c>
      <c r="AA172" s="328"/>
    </row>
    <row r="173" spans="3:27" ht="12.95" customHeight="1" x14ac:dyDescent="0.2">
      <c r="C173" s="13" t="str">
        <f>VLOOKUP(128,Textbausteine_203[],Hilfsgrössen!$D$2,FALSE)</f>
        <v>Portugal</v>
      </c>
      <c r="D173" s="1" t="str">
        <f>VLOOKUP(17,Textbausteine_203[],Hilfsgrössen!$D$2,FALSE)</f>
        <v>Indice</v>
      </c>
      <c r="E173" s="9">
        <v>1</v>
      </c>
      <c r="H173" s="9" t="s">
        <v>29</v>
      </c>
      <c r="I173" s="9" t="s">
        <v>29</v>
      </c>
      <c r="J173" s="9" t="s">
        <v>29</v>
      </c>
      <c r="K173" s="9" t="s">
        <v>29</v>
      </c>
      <c r="L173" s="9" t="s">
        <v>29</v>
      </c>
      <c r="M173" s="9" t="s">
        <v>29</v>
      </c>
      <c r="N173" s="9" t="s">
        <v>29</v>
      </c>
      <c r="O173" s="9">
        <v>138</v>
      </c>
      <c r="P173" s="9">
        <v>134</v>
      </c>
      <c r="Q173" s="9">
        <v>145</v>
      </c>
      <c r="R173" s="9">
        <v>151</v>
      </c>
      <c r="S173" s="9">
        <v>160</v>
      </c>
      <c r="T173" s="11">
        <v>154</v>
      </c>
      <c r="U173" s="11">
        <v>158</v>
      </c>
      <c r="V173" s="11">
        <v>164</v>
      </c>
      <c r="W173" s="11">
        <v>156</v>
      </c>
      <c r="X173" s="11">
        <v>152</v>
      </c>
      <c r="Y173" s="11">
        <v>150.26204068115644</v>
      </c>
      <c r="Z173" s="11">
        <v>141</v>
      </c>
      <c r="AA173" s="328"/>
    </row>
    <row r="174" spans="3:27" ht="12.95" customHeight="1" x14ac:dyDescent="0.2">
      <c r="C174" s="13" t="str">
        <f>VLOOKUP(123,Textbausteine_203[],Hilfsgrössen!$D$2,FALSE)</f>
        <v>Royaume-Uni</v>
      </c>
      <c r="D174" s="1" t="str">
        <f>VLOOKUP(17,Textbausteine_203[],Hilfsgrössen!$D$2,FALSE)</f>
        <v>Indice</v>
      </c>
      <c r="E174" s="9">
        <v>1</v>
      </c>
      <c r="H174" s="9" t="s">
        <v>29</v>
      </c>
      <c r="I174" s="9" t="s">
        <v>29</v>
      </c>
      <c r="J174" s="9" t="s">
        <v>29</v>
      </c>
      <c r="K174" s="9" t="s">
        <v>29</v>
      </c>
      <c r="L174" s="9" t="s">
        <v>29</v>
      </c>
      <c r="M174" s="9" t="s">
        <v>29</v>
      </c>
      <c r="N174" s="9" t="s">
        <v>29</v>
      </c>
      <c r="O174" s="9">
        <v>107</v>
      </c>
      <c r="P174" s="9">
        <v>132</v>
      </c>
      <c r="Q174" s="9">
        <v>127</v>
      </c>
      <c r="R174" s="9">
        <v>126</v>
      </c>
      <c r="S174" s="9">
        <v>124</v>
      </c>
      <c r="T174" s="11">
        <v>121</v>
      </c>
      <c r="U174" s="11">
        <v>118</v>
      </c>
      <c r="V174" s="11">
        <v>118</v>
      </c>
      <c r="W174" s="11">
        <v>123</v>
      </c>
      <c r="X174" s="11">
        <v>131</v>
      </c>
      <c r="Y174" s="11">
        <v>139.19551485636953</v>
      </c>
      <c r="Z174" s="11">
        <v>138</v>
      </c>
      <c r="AA174" s="328"/>
    </row>
    <row r="175" spans="3:27" ht="12.95" customHeight="1" x14ac:dyDescent="0.2">
      <c r="C175" s="171" t="str">
        <f>VLOOKUP(117,Textbausteine_203[],Hilfsgrössen!$D$2,FALSE)</f>
        <v>Suisse</v>
      </c>
      <c r="D175" s="6" t="str">
        <f>VLOOKUP(17,Textbausteine_203[],Hilfsgrössen!$D$2,FALSE)</f>
        <v>Indice</v>
      </c>
      <c r="E175" s="28">
        <v>1</v>
      </c>
      <c r="F175" s="28"/>
      <c r="G175" s="33"/>
      <c r="H175" s="28" t="s">
        <v>29</v>
      </c>
      <c r="I175" s="28" t="s">
        <v>29</v>
      </c>
      <c r="J175" s="28" t="s">
        <v>29</v>
      </c>
      <c r="K175" s="28" t="s">
        <v>29</v>
      </c>
      <c r="L175" s="28" t="s">
        <v>29</v>
      </c>
      <c r="M175" s="28" t="s">
        <v>29</v>
      </c>
      <c r="N175" s="28" t="s">
        <v>29</v>
      </c>
      <c r="O175" s="28">
        <v>100</v>
      </c>
      <c r="P175" s="28">
        <v>100</v>
      </c>
      <c r="Q175" s="28">
        <v>100</v>
      </c>
      <c r="R175" s="28">
        <v>100</v>
      </c>
      <c r="S175" s="28">
        <v>100</v>
      </c>
      <c r="T175" s="7">
        <v>100</v>
      </c>
      <c r="U175" s="7">
        <v>100</v>
      </c>
      <c r="V175" s="7">
        <v>100</v>
      </c>
      <c r="W175" s="7">
        <v>100</v>
      </c>
      <c r="X175" s="7">
        <v>100</v>
      </c>
      <c r="Y175" s="7">
        <v>100</v>
      </c>
      <c r="Z175" s="7">
        <v>100</v>
      </c>
      <c r="AA175" s="328"/>
    </row>
    <row r="176" spans="3:27" ht="12.95" customHeight="1" x14ac:dyDescent="0.2">
      <c r="AA176" s="328"/>
    </row>
    <row r="177" spans="1:83" s="6" customFormat="1" ht="12.95" customHeight="1" x14ac:dyDescent="0.2">
      <c r="A177" s="65"/>
      <c r="C177" s="6" t="str">
        <f>VLOOKUP(113,Textbausteine_203[],Hilfsgrössen!$D$2,FALSE)</f>
        <v>Indice du prix des colis corrigé du taux de change</v>
      </c>
      <c r="E177" s="28"/>
      <c r="F177" s="28"/>
      <c r="G177" s="33"/>
      <c r="H177" s="28"/>
      <c r="I177" s="28"/>
      <c r="J177" s="28"/>
      <c r="K177" s="28"/>
      <c r="L177" s="28"/>
      <c r="M177" s="28"/>
      <c r="N177" s="28"/>
      <c r="O177" s="28"/>
      <c r="P177" s="28"/>
      <c r="Q177" s="28"/>
      <c r="R177" s="28"/>
      <c r="S177" s="28"/>
      <c r="T177" s="7"/>
      <c r="U177" s="7"/>
      <c r="V177" s="7"/>
      <c r="W177" s="7"/>
      <c r="X177" s="7"/>
      <c r="Y177" s="7"/>
      <c r="Z177" s="7"/>
      <c r="AA177" s="380"/>
      <c r="AB177" s="28"/>
      <c r="AC177" s="28"/>
      <c r="AD177" s="28"/>
      <c r="AE177" s="28"/>
      <c r="AF177" s="28"/>
      <c r="AG177" s="28"/>
      <c r="AH177" s="28"/>
      <c r="AI177" s="28"/>
      <c r="AJ177" s="28"/>
      <c r="AK177" s="28"/>
      <c r="AL177" s="28"/>
      <c r="AM177" s="28"/>
      <c r="AN177" s="28"/>
      <c r="AO177" s="28"/>
      <c r="AP177" s="28"/>
      <c r="AQ177" s="28"/>
      <c r="AR177" s="28"/>
      <c r="AS177" s="28"/>
      <c r="AT177" s="28"/>
      <c r="AU177" s="28"/>
      <c r="AV177" s="28"/>
      <c r="AW177" s="28"/>
      <c r="AX177" s="28"/>
      <c r="AY177" s="28"/>
      <c r="AZ177" s="28"/>
      <c r="BA177" s="28"/>
      <c r="BB177" s="28"/>
      <c r="BC177" s="28"/>
      <c r="BD177" s="28"/>
      <c r="BE177" s="28"/>
      <c r="BF177" s="28"/>
      <c r="BG177" s="28"/>
      <c r="BH177" s="28"/>
      <c r="BI177" s="28"/>
      <c r="BJ177" s="28"/>
      <c r="BK177" s="28"/>
      <c r="BL177" s="28"/>
      <c r="BM177" s="28"/>
      <c r="BN177" s="28"/>
      <c r="BO177" s="28"/>
      <c r="BP177" s="28"/>
      <c r="BQ177" s="28"/>
      <c r="BR177" s="28"/>
      <c r="BS177" s="28"/>
      <c r="BT177" s="28"/>
      <c r="BU177" s="28"/>
      <c r="BV177" s="28"/>
      <c r="BW177" s="28"/>
      <c r="BX177" s="28"/>
      <c r="BY177" s="28"/>
      <c r="BZ177" s="28"/>
      <c r="CA177" s="28"/>
      <c r="CB177" s="28"/>
      <c r="CC177" s="28"/>
      <c r="CD177" s="28"/>
      <c r="CE177" s="28"/>
    </row>
    <row r="178" spans="1:83" s="6" customFormat="1" ht="12.95" customHeight="1" x14ac:dyDescent="0.2">
      <c r="A178" s="65"/>
      <c r="C178" s="13" t="str">
        <f>VLOOKUP(124,Textbausteine_203[],Hilfsgrössen!$D$2,FALSE)</f>
        <v>Irlande</v>
      </c>
      <c r="D178" s="1" t="str">
        <f>VLOOKUP(17,Textbausteine_203[],Hilfsgrössen!$D$2,FALSE)</f>
        <v>Indice</v>
      </c>
      <c r="E178" s="9" t="s">
        <v>116</v>
      </c>
      <c r="F178" s="9"/>
      <c r="G178" s="34"/>
      <c r="H178" s="9" t="s">
        <v>29</v>
      </c>
      <c r="I178" s="9" t="s">
        <v>29</v>
      </c>
      <c r="J178" s="9" t="s">
        <v>29</v>
      </c>
      <c r="K178" s="9" t="s">
        <v>29</v>
      </c>
      <c r="L178" s="15">
        <v>211</v>
      </c>
      <c r="M178" s="15">
        <v>195</v>
      </c>
      <c r="N178" s="15">
        <v>154</v>
      </c>
      <c r="O178" s="15">
        <v>137</v>
      </c>
      <c r="P178" s="15">
        <v>140</v>
      </c>
      <c r="Q178" s="15">
        <v>144</v>
      </c>
      <c r="R178" s="15">
        <v>151</v>
      </c>
      <c r="S178" s="15">
        <v>137</v>
      </c>
      <c r="T178" s="12">
        <v>138</v>
      </c>
      <c r="U178" s="12">
        <v>162</v>
      </c>
      <c r="V178" s="12">
        <v>169</v>
      </c>
      <c r="W178" s="12">
        <v>159</v>
      </c>
      <c r="X178" s="12">
        <v>140</v>
      </c>
      <c r="Y178" s="12">
        <v>35</v>
      </c>
      <c r="Z178" s="12">
        <v>167</v>
      </c>
      <c r="AA178" s="328"/>
      <c r="AB178" s="28"/>
      <c r="AC178" s="28"/>
      <c r="AD178" s="28"/>
      <c r="AE178" s="28"/>
      <c r="AF178" s="28"/>
      <c r="AG178" s="28"/>
      <c r="AH178" s="28"/>
      <c r="AI178" s="28"/>
      <c r="AJ178" s="28"/>
      <c r="AK178" s="28"/>
      <c r="AL178" s="28"/>
      <c r="AM178" s="28"/>
      <c r="AN178" s="28"/>
      <c r="AO178" s="28"/>
      <c r="AP178" s="28"/>
      <c r="AQ178" s="28"/>
      <c r="AR178" s="28"/>
      <c r="AS178" s="28"/>
      <c r="AT178" s="28"/>
      <c r="AU178" s="28"/>
      <c r="AV178" s="28"/>
      <c r="AW178" s="28"/>
      <c r="AX178" s="28"/>
      <c r="AY178" s="28"/>
      <c r="AZ178" s="28"/>
      <c r="BA178" s="28"/>
      <c r="BB178" s="28"/>
      <c r="BC178" s="28"/>
      <c r="BD178" s="28"/>
      <c r="BE178" s="28"/>
      <c r="BF178" s="28"/>
      <c r="BG178" s="28"/>
      <c r="BH178" s="28"/>
      <c r="BI178" s="28"/>
      <c r="BJ178" s="28"/>
      <c r="BK178" s="28"/>
      <c r="BL178" s="28"/>
      <c r="BM178" s="28"/>
      <c r="BN178" s="28"/>
      <c r="BO178" s="28"/>
      <c r="BP178" s="28"/>
      <c r="BQ178" s="28"/>
      <c r="BR178" s="28"/>
      <c r="BS178" s="28"/>
      <c r="BT178" s="28"/>
      <c r="BU178" s="28"/>
      <c r="BV178" s="28"/>
      <c r="BW178" s="28"/>
      <c r="BX178" s="28"/>
      <c r="BY178" s="28"/>
      <c r="BZ178" s="28"/>
      <c r="CA178" s="28"/>
      <c r="CB178" s="28"/>
      <c r="CC178" s="28"/>
      <c r="CD178" s="28"/>
      <c r="CE178" s="28"/>
    </row>
    <row r="179" spans="1:83" s="6" customFormat="1" ht="12.95" customHeight="1" x14ac:dyDescent="0.2">
      <c r="A179" s="65"/>
      <c r="C179" s="13" t="str">
        <f>VLOOKUP(120,Textbausteine_203[],Hilfsgrössen!$D$2,FALSE)</f>
        <v>Espagne</v>
      </c>
      <c r="D179" s="1" t="str">
        <f>VLOOKUP(17,Textbausteine_203[],Hilfsgrössen!$D$2,FALSE)</f>
        <v>Indice</v>
      </c>
      <c r="E179" s="9" t="s">
        <v>116</v>
      </c>
      <c r="F179" s="9"/>
      <c r="G179" s="34"/>
      <c r="H179" s="9" t="s">
        <v>29</v>
      </c>
      <c r="I179" s="9" t="s">
        <v>29</v>
      </c>
      <c r="J179" s="9" t="s">
        <v>29</v>
      </c>
      <c r="K179" s="9" t="s">
        <v>29</v>
      </c>
      <c r="L179" s="15">
        <v>170</v>
      </c>
      <c r="M179" s="15">
        <v>163</v>
      </c>
      <c r="N179" s="15">
        <v>141</v>
      </c>
      <c r="O179" s="15">
        <v>125</v>
      </c>
      <c r="P179" s="15">
        <v>132</v>
      </c>
      <c r="Q179" s="15">
        <v>137</v>
      </c>
      <c r="R179" s="15">
        <v>143</v>
      </c>
      <c r="S179" s="15">
        <v>138</v>
      </c>
      <c r="T179" s="12">
        <v>138</v>
      </c>
      <c r="U179" s="12">
        <v>177</v>
      </c>
      <c r="V179" s="12">
        <v>184</v>
      </c>
      <c r="W179" s="12">
        <v>181</v>
      </c>
      <c r="X179" s="12">
        <v>177</v>
      </c>
      <c r="Y179" s="11">
        <v>175.63268287278231</v>
      </c>
      <c r="Z179" s="11">
        <v>156</v>
      </c>
      <c r="AA179" s="328"/>
      <c r="AB179" s="28"/>
      <c r="AC179" s="28"/>
      <c r="AD179" s="28"/>
      <c r="AE179" s="28"/>
      <c r="AF179" s="28"/>
      <c r="AG179" s="28"/>
      <c r="AH179" s="28"/>
      <c r="AI179" s="28"/>
      <c r="AJ179" s="28"/>
      <c r="AK179" s="28"/>
      <c r="AL179" s="28"/>
      <c r="AM179" s="28"/>
      <c r="AN179" s="28"/>
      <c r="AO179" s="28"/>
      <c r="AP179" s="28"/>
      <c r="AQ179" s="28"/>
      <c r="AR179" s="28"/>
      <c r="AS179" s="28"/>
      <c r="AT179" s="28"/>
      <c r="AU179" s="28"/>
      <c r="AV179" s="28"/>
      <c r="AW179" s="28"/>
      <c r="AX179" s="28"/>
      <c r="AY179" s="28"/>
      <c r="AZ179" s="28"/>
      <c r="BA179" s="28"/>
      <c r="BB179" s="28"/>
      <c r="BC179" s="28"/>
      <c r="BD179" s="28"/>
      <c r="BE179" s="28"/>
      <c r="BF179" s="28"/>
      <c r="BG179" s="28"/>
      <c r="BH179" s="28"/>
      <c r="BI179" s="28"/>
      <c r="BJ179" s="28"/>
      <c r="BK179" s="28"/>
      <c r="BL179" s="28"/>
      <c r="BM179" s="28"/>
      <c r="BN179" s="28"/>
      <c r="BO179" s="28"/>
      <c r="BP179" s="28"/>
      <c r="BQ179" s="28"/>
      <c r="BR179" s="28"/>
      <c r="BS179" s="28"/>
      <c r="BT179" s="28"/>
      <c r="BU179" s="28"/>
      <c r="BV179" s="28"/>
      <c r="BW179" s="28"/>
      <c r="BX179" s="28"/>
      <c r="BY179" s="28"/>
      <c r="BZ179" s="28"/>
      <c r="CA179" s="28"/>
      <c r="CB179" s="28"/>
      <c r="CC179" s="28"/>
      <c r="CD179" s="28"/>
      <c r="CE179" s="28"/>
    </row>
    <row r="180" spans="1:83" s="6" customFormat="1" ht="12.95" customHeight="1" x14ac:dyDescent="0.2">
      <c r="A180" s="65"/>
      <c r="C180" s="13" t="str">
        <f>VLOOKUP(129,Textbausteine_203[],Hilfsgrössen!$D$2,FALSE)</f>
        <v>Suède</v>
      </c>
      <c r="D180" s="1" t="str">
        <f>VLOOKUP(17,Textbausteine_203[],Hilfsgrössen!$D$2,FALSE)</f>
        <v>Indice</v>
      </c>
      <c r="E180" s="9" t="s">
        <v>116</v>
      </c>
      <c r="F180" s="9"/>
      <c r="G180" s="34"/>
      <c r="H180" s="9" t="s">
        <v>29</v>
      </c>
      <c r="I180" s="9" t="s">
        <v>29</v>
      </c>
      <c r="J180" s="9" t="s">
        <v>29</v>
      </c>
      <c r="K180" s="9" t="s">
        <v>29</v>
      </c>
      <c r="L180" s="15">
        <v>399</v>
      </c>
      <c r="M180" s="15">
        <v>339</v>
      </c>
      <c r="N180" s="15">
        <v>311</v>
      </c>
      <c r="O180" s="15">
        <v>285</v>
      </c>
      <c r="P180" s="15">
        <v>307</v>
      </c>
      <c r="Q180" s="15">
        <v>308</v>
      </c>
      <c r="R180" s="15">
        <v>288</v>
      </c>
      <c r="S180" s="15">
        <v>256</v>
      </c>
      <c r="T180" s="12">
        <v>226</v>
      </c>
      <c r="U180" s="12">
        <v>246</v>
      </c>
      <c r="V180" s="12">
        <v>197</v>
      </c>
      <c r="W180" s="12">
        <v>183</v>
      </c>
      <c r="X180" s="12">
        <v>185</v>
      </c>
      <c r="Y180" s="11">
        <v>167.60356438682587</v>
      </c>
      <c r="Z180" s="11">
        <v>144</v>
      </c>
      <c r="AA180" s="328"/>
      <c r="AB180" s="28"/>
      <c r="AC180" s="28"/>
      <c r="AD180" s="28"/>
      <c r="AE180" s="28"/>
      <c r="AF180" s="28"/>
      <c r="AG180" s="28"/>
      <c r="AH180" s="28"/>
      <c r="AI180" s="28"/>
      <c r="AJ180" s="28"/>
      <c r="AK180" s="28"/>
      <c r="AL180" s="28"/>
      <c r="AM180" s="28"/>
      <c r="AN180" s="28"/>
      <c r="AO180" s="28"/>
      <c r="AP180" s="28"/>
      <c r="AQ180" s="28"/>
      <c r="AR180" s="28"/>
      <c r="AS180" s="28"/>
      <c r="AT180" s="28"/>
      <c r="AU180" s="28"/>
      <c r="AV180" s="28"/>
      <c r="AW180" s="28"/>
      <c r="AX180" s="28"/>
      <c r="AY180" s="28"/>
      <c r="AZ180" s="28"/>
      <c r="BA180" s="28"/>
      <c r="BB180" s="28"/>
      <c r="BC180" s="28"/>
      <c r="BD180" s="28"/>
      <c r="BE180" s="28"/>
      <c r="BF180" s="28"/>
      <c r="BG180" s="28"/>
      <c r="BH180" s="28"/>
      <c r="BI180" s="28"/>
      <c r="BJ180" s="28"/>
      <c r="BK180" s="28"/>
      <c r="BL180" s="28"/>
      <c r="BM180" s="28"/>
      <c r="BN180" s="28"/>
      <c r="BO180" s="28"/>
      <c r="BP180" s="28"/>
      <c r="BQ180" s="28"/>
      <c r="BR180" s="28"/>
      <c r="BS180" s="28"/>
      <c r="BT180" s="28"/>
      <c r="BU180" s="28"/>
      <c r="BV180" s="28"/>
      <c r="BW180" s="28"/>
      <c r="BX180" s="28"/>
      <c r="BY180" s="28"/>
      <c r="BZ180" s="28"/>
      <c r="CA180" s="28"/>
      <c r="CB180" s="28"/>
      <c r="CC180" s="28"/>
      <c r="CD180" s="28"/>
      <c r="CE180" s="28"/>
    </row>
    <row r="181" spans="1:83" ht="12.95" customHeight="1" x14ac:dyDescent="0.2">
      <c r="C181" s="13" t="str">
        <f>VLOOKUP(121,Textbausteine_203[],Hilfsgrössen!$D$2,FALSE)</f>
        <v>Finlande</v>
      </c>
      <c r="D181" s="1" t="str">
        <f>VLOOKUP(17,Textbausteine_203[],Hilfsgrössen!$D$2,FALSE)</f>
        <v>Indice</v>
      </c>
      <c r="E181" s="9" t="s">
        <v>116</v>
      </c>
      <c r="H181" s="9" t="s">
        <v>29</v>
      </c>
      <c r="I181" s="9" t="s">
        <v>29</v>
      </c>
      <c r="J181" s="9" t="s">
        <v>29</v>
      </c>
      <c r="K181" s="9" t="s">
        <v>29</v>
      </c>
      <c r="L181" s="15">
        <v>308</v>
      </c>
      <c r="M181" s="15">
        <v>284</v>
      </c>
      <c r="N181" s="15">
        <v>245</v>
      </c>
      <c r="O181" s="15">
        <v>219</v>
      </c>
      <c r="P181" s="15">
        <v>217</v>
      </c>
      <c r="Q181" s="15">
        <v>243</v>
      </c>
      <c r="R181" s="15">
        <v>245</v>
      </c>
      <c r="S181" s="15">
        <v>265</v>
      </c>
      <c r="T181" s="12">
        <v>272</v>
      </c>
      <c r="U181" s="12">
        <v>295</v>
      </c>
      <c r="V181" s="12">
        <v>298</v>
      </c>
      <c r="W181" s="12">
        <v>287</v>
      </c>
      <c r="X181" s="12">
        <v>279</v>
      </c>
      <c r="Y181" s="11">
        <v>276.28740313222454</v>
      </c>
      <c r="Z181" s="11">
        <v>132</v>
      </c>
      <c r="AA181" s="328"/>
    </row>
    <row r="182" spans="1:83" ht="12.95" customHeight="1" x14ac:dyDescent="0.2">
      <c r="C182" s="13" t="str">
        <f>VLOOKUP(122,Textbausteine_203[],Hilfsgrössen!$D$2,FALSE)</f>
        <v>France</v>
      </c>
      <c r="D182" s="1" t="str">
        <f>VLOOKUP(17,Textbausteine_203[],Hilfsgrössen!$D$2,FALSE)</f>
        <v>Indice</v>
      </c>
      <c r="E182" s="9" t="s">
        <v>116</v>
      </c>
      <c r="H182" s="9" t="s">
        <v>29</v>
      </c>
      <c r="I182" s="9" t="s">
        <v>29</v>
      </c>
      <c r="J182" s="9" t="s">
        <v>29</v>
      </c>
      <c r="K182" s="9" t="s">
        <v>29</v>
      </c>
      <c r="L182" s="15">
        <v>176</v>
      </c>
      <c r="M182" s="15">
        <v>162</v>
      </c>
      <c r="N182" s="15">
        <v>137</v>
      </c>
      <c r="O182" s="15">
        <v>123</v>
      </c>
      <c r="P182" s="15">
        <v>126</v>
      </c>
      <c r="Q182" s="15">
        <v>134</v>
      </c>
      <c r="R182" s="15">
        <v>136</v>
      </c>
      <c r="S182" s="15">
        <v>126</v>
      </c>
      <c r="T182" s="12">
        <v>124</v>
      </c>
      <c r="U182" s="12">
        <v>135</v>
      </c>
      <c r="V182" s="12">
        <v>133</v>
      </c>
      <c r="W182" s="12">
        <v>130</v>
      </c>
      <c r="X182" s="12">
        <v>129</v>
      </c>
      <c r="Y182" s="11">
        <v>116.78918661559159</v>
      </c>
      <c r="Z182" s="11">
        <v>128</v>
      </c>
      <c r="AA182" s="328"/>
    </row>
    <row r="183" spans="1:83" ht="12.95" customHeight="1" x14ac:dyDescent="0.2">
      <c r="C183" s="13" t="str">
        <f>VLOOKUP(128,Textbausteine_203[],Hilfsgrössen!$D$2,FALSE)</f>
        <v>Portugal</v>
      </c>
      <c r="D183" s="1" t="str">
        <f>VLOOKUP(17,Textbausteine_203[],Hilfsgrössen!$D$2,FALSE)</f>
        <v>Indice</v>
      </c>
      <c r="E183" s="9" t="s">
        <v>116</v>
      </c>
      <c r="H183" s="9" t="s">
        <v>29</v>
      </c>
      <c r="I183" s="9" t="s">
        <v>29</v>
      </c>
      <c r="J183" s="9" t="s">
        <v>29</v>
      </c>
      <c r="K183" s="9" t="s">
        <v>29</v>
      </c>
      <c r="L183" s="15">
        <v>88</v>
      </c>
      <c r="M183" s="15">
        <v>123</v>
      </c>
      <c r="N183" s="15">
        <v>104</v>
      </c>
      <c r="O183" s="15">
        <v>95</v>
      </c>
      <c r="P183" s="15">
        <v>97</v>
      </c>
      <c r="Q183" s="15">
        <v>109</v>
      </c>
      <c r="R183" s="15">
        <v>116</v>
      </c>
      <c r="S183" s="15">
        <v>109</v>
      </c>
      <c r="T183" s="12">
        <v>113</v>
      </c>
      <c r="U183" s="12">
        <v>126</v>
      </c>
      <c r="V183" s="12">
        <v>128</v>
      </c>
      <c r="W183" s="12">
        <v>125</v>
      </c>
      <c r="X183" s="12">
        <v>128</v>
      </c>
      <c r="Y183" s="11">
        <v>126.70237755879647</v>
      </c>
      <c r="Z183" s="11">
        <v>124</v>
      </c>
      <c r="AA183" s="328"/>
    </row>
    <row r="184" spans="1:83" ht="12.95" customHeight="1" x14ac:dyDescent="0.2">
      <c r="C184" s="13" t="str">
        <f>VLOOKUP(125,Textbausteine_203[],Hilfsgrössen!$D$2,FALSE)</f>
        <v>Italie</v>
      </c>
      <c r="D184" s="1" t="str">
        <f>VLOOKUP(17,Textbausteine_203[],Hilfsgrössen!$D$2,FALSE)</f>
        <v>Indice</v>
      </c>
      <c r="E184" s="9" t="s">
        <v>116</v>
      </c>
      <c r="H184" s="9" t="s">
        <v>29</v>
      </c>
      <c r="I184" s="9" t="s">
        <v>29</v>
      </c>
      <c r="J184" s="9" t="s">
        <v>29</v>
      </c>
      <c r="K184" s="9" t="s">
        <v>29</v>
      </c>
      <c r="L184" s="15">
        <v>220</v>
      </c>
      <c r="M184" s="15">
        <v>204</v>
      </c>
      <c r="N184" s="15">
        <v>204</v>
      </c>
      <c r="O184" s="15">
        <v>181</v>
      </c>
      <c r="P184" s="15">
        <v>170</v>
      </c>
      <c r="Q184" s="15">
        <v>167</v>
      </c>
      <c r="R184" s="15">
        <v>164</v>
      </c>
      <c r="S184" s="15">
        <v>147</v>
      </c>
      <c r="T184" s="12">
        <v>151</v>
      </c>
      <c r="U184" s="12">
        <v>161</v>
      </c>
      <c r="V184" s="12">
        <v>156</v>
      </c>
      <c r="W184" s="12">
        <v>138</v>
      </c>
      <c r="X184" s="12">
        <v>135</v>
      </c>
      <c r="Y184" s="11">
        <v>133.94493914979378</v>
      </c>
      <c r="Z184" s="11">
        <v>123</v>
      </c>
      <c r="AA184" s="328"/>
    </row>
    <row r="185" spans="1:83" ht="12.95" customHeight="1" x14ac:dyDescent="0.2">
      <c r="C185" s="13" t="str">
        <f>VLOOKUP(119,Textbausteine_203[],Hilfsgrössen!$D$2,FALSE)</f>
        <v>Danemark</v>
      </c>
      <c r="D185" s="1" t="str">
        <f>VLOOKUP(17,Textbausteine_203[],Hilfsgrössen!$D$2,FALSE)</f>
        <v>Indice</v>
      </c>
      <c r="E185" s="9" t="s">
        <v>116</v>
      </c>
      <c r="H185" s="9" t="s">
        <v>29</v>
      </c>
      <c r="I185" s="9" t="s">
        <v>29</v>
      </c>
      <c r="J185" s="9" t="s">
        <v>29</v>
      </c>
      <c r="K185" s="9" t="s">
        <v>29</v>
      </c>
      <c r="L185" s="15">
        <v>211</v>
      </c>
      <c r="M185" s="15">
        <v>210</v>
      </c>
      <c r="N185" s="15">
        <v>181</v>
      </c>
      <c r="O185" s="15">
        <v>169</v>
      </c>
      <c r="P185" s="15">
        <v>171</v>
      </c>
      <c r="Q185" s="15">
        <v>212</v>
      </c>
      <c r="R185" s="15">
        <v>208</v>
      </c>
      <c r="S185" s="15">
        <v>190</v>
      </c>
      <c r="T185" s="12">
        <v>208</v>
      </c>
      <c r="U185" s="12">
        <v>199</v>
      </c>
      <c r="V185" s="12">
        <v>210</v>
      </c>
      <c r="W185" s="12">
        <v>123</v>
      </c>
      <c r="X185" s="12">
        <v>120</v>
      </c>
      <c r="Y185" s="11">
        <v>115.09279693465346</v>
      </c>
      <c r="Z185" s="11">
        <v>104</v>
      </c>
      <c r="AA185" s="328"/>
    </row>
    <row r="186" spans="1:83" ht="12.95" customHeight="1" x14ac:dyDescent="0.2">
      <c r="C186" s="171" t="str">
        <f>VLOOKUP(117,Textbausteine_203[],Hilfsgrössen!$D$2,FALSE)</f>
        <v>Suisse</v>
      </c>
      <c r="D186" s="6" t="str">
        <f>VLOOKUP(17,Textbausteine_203[],Hilfsgrössen!$D$2,FALSE)</f>
        <v>Indice</v>
      </c>
      <c r="E186" s="28" t="s">
        <v>116</v>
      </c>
      <c r="F186" s="28"/>
      <c r="G186" s="33"/>
      <c r="H186" s="28" t="s">
        <v>29</v>
      </c>
      <c r="I186" s="28" t="s">
        <v>29</v>
      </c>
      <c r="J186" s="28" t="s">
        <v>29</v>
      </c>
      <c r="K186" s="28" t="s">
        <v>29</v>
      </c>
      <c r="L186" s="76">
        <v>100</v>
      </c>
      <c r="M186" s="76">
        <v>100</v>
      </c>
      <c r="N186" s="76">
        <v>100</v>
      </c>
      <c r="O186" s="76">
        <v>100</v>
      </c>
      <c r="P186" s="76">
        <v>100</v>
      </c>
      <c r="Q186" s="76">
        <v>100</v>
      </c>
      <c r="R186" s="76">
        <v>100</v>
      </c>
      <c r="S186" s="76">
        <v>100</v>
      </c>
      <c r="T186" s="77">
        <v>100</v>
      </c>
      <c r="U186" s="77">
        <v>100</v>
      </c>
      <c r="V186" s="77">
        <v>100</v>
      </c>
      <c r="W186" s="77">
        <v>100</v>
      </c>
      <c r="X186" s="77">
        <v>100</v>
      </c>
      <c r="Y186" s="7">
        <v>100</v>
      </c>
      <c r="Z186" s="7">
        <v>100</v>
      </c>
      <c r="AA186" s="328"/>
    </row>
    <row r="187" spans="1:83" ht="12.95" customHeight="1" x14ac:dyDescent="0.2">
      <c r="C187" s="13" t="str">
        <f>VLOOKUP(127,Textbausteine_203[],Hilfsgrössen!$D$2,FALSE)</f>
        <v>Norvège</v>
      </c>
      <c r="D187" s="1" t="str">
        <f>VLOOKUP(17,Textbausteine_203[],Hilfsgrössen!$D$2,FALSE)</f>
        <v>Indice</v>
      </c>
      <c r="E187" s="9" t="s">
        <v>116</v>
      </c>
      <c r="H187" s="9" t="s">
        <v>29</v>
      </c>
      <c r="I187" s="9" t="s">
        <v>29</v>
      </c>
      <c r="J187" s="9" t="s">
        <v>29</v>
      </c>
      <c r="K187" s="9" t="s">
        <v>29</v>
      </c>
      <c r="L187" s="15">
        <v>370</v>
      </c>
      <c r="M187" s="15">
        <v>316</v>
      </c>
      <c r="N187" s="15">
        <v>323</v>
      </c>
      <c r="O187" s="15">
        <v>318</v>
      </c>
      <c r="P187" s="15">
        <v>353</v>
      </c>
      <c r="Q187" s="15">
        <v>271</v>
      </c>
      <c r="R187" s="15">
        <v>270</v>
      </c>
      <c r="S187" s="15">
        <v>227</v>
      </c>
      <c r="T187" s="12">
        <v>241</v>
      </c>
      <c r="U187" s="12">
        <v>260</v>
      </c>
      <c r="V187" s="12">
        <v>257</v>
      </c>
      <c r="W187" s="12">
        <v>238</v>
      </c>
      <c r="X187" s="12">
        <v>219</v>
      </c>
      <c r="Y187" s="11">
        <v>199.43965213703254</v>
      </c>
      <c r="Z187" s="11">
        <v>95</v>
      </c>
      <c r="AA187" s="328"/>
    </row>
    <row r="188" spans="1:83" ht="12.95" customHeight="1" x14ac:dyDescent="0.2">
      <c r="C188" s="13" t="str">
        <f>VLOOKUP(126,Textbausteine_203[],Hilfsgrössen!$D$2,FALSE)</f>
        <v>Pays-Bas</v>
      </c>
      <c r="D188" s="1" t="str">
        <f>VLOOKUP(17,Textbausteine_203[],Hilfsgrössen!$D$2,FALSE)</f>
        <v>Indice</v>
      </c>
      <c r="E188" s="9" t="s">
        <v>116</v>
      </c>
      <c r="H188" s="9" t="s">
        <v>29</v>
      </c>
      <c r="I188" s="9" t="s">
        <v>29</v>
      </c>
      <c r="J188" s="9" t="s">
        <v>29</v>
      </c>
      <c r="K188" s="9" t="s">
        <v>29</v>
      </c>
      <c r="L188" s="15">
        <v>137</v>
      </c>
      <c r="M188" s="15">
        <v>138</v>
      </c>
      <c r="N188" s="15">
        <v>119</v>
      </c>
      <c r="O188" s="15">
        <v>105</v>
      </c>
      <c r="P188" s="15">
        <v>104</v>
      </c>
      <c r="Q188" s="15">
        <v>105</v>
      </c>
      <c r="R188" s="15">
        <v>106</v>
      </c>
      <c r="S188" s="15">
        <v>95</v>
      </c>
      <c r="T188" s="12">
        <v>95</v>
      </c>
      <c r="U188" s="12">
        <v>102</v>
      </c>
      <c r="V188" s="12">
        <v>98</v>
      </c>
      <c r="W188" s="12">
        <v>95</v>
      </c>
      <c r="X188" s="12">
        <v>96</v>
      </c>
      <c r="Y188" s="12">
        <v>88</v>
      </c>
      <c r="Z188" s="12">
        <v>86</v>
      </c>
      <c r="AA188" s="328"/>
    </row>
    <row r="189" spans="1:83" ht="12.95" customHeight="1" x14ac:dyDescent="0.2">
      <c r="C189" s="13" t="str">
        <f>VLOOKUP(118,Textbausteine_203[],Hilfsgrössen!$D$2,FALSE)</f>
        <v>Allemagne</v>
      </c>
      <c r="D189" s="1" t="str">
        <f>VLOOKUP(17,Textbausteine_203[],Hilfsgrössen!$D$2,FALSE)</f>
        <v>Indice</v>
      </c>
      <c r="E189" s="9" t="s">
        <v>116</v>
      </c>
      <c r="H189" s="9" t="s">
        <v>29</v>
      </c>
      <c r="I189" s="9" t="s">
        <v>29</v>
      </c>
      <c r="J189" s="9" t="s">
        <v>29</v>
      </c>
      <c r="K189" s="9" t="s">
        <v>29</v>
      </c>
      <c r="L189" s="15">
        <v>107</v>
      </c>
      <c r="M189" s="15">
        <v>98</v>
      </c>
      <c r="N189" s="15">
        <v>82</v>
      </c>
      <c r="O189" s="15">
        <v>72</v>
      </c>
      <c r="P189" s="15">
        <v>72</v>
      </c>
      <c r="Q189" s="15">
        <v>73</v>
      </c>
      <c r="R189" s="15">
        <v>72</v>
      </c>
      <c r="S189" s="15">
        <v>66</v>
      </c>
      <c r="T189" s="12">
        <v>67</v>
      </c>
      <c r="U189" s="12">
        <v>72</v>
      </c>
      <c r="V189" s="12">
        <v>68</v>
      </c>
      <c r="W189" s="12">
        <v>67</v>
      </c>
      <c r="X189" s="12">
        <v>64</v>
      </c>
      <c r="Y189" s="12">
        <v>58</v>
      </c>
      <c r="Z189" s="12">
        <v>61</v>
      </c>
      <c r="AA189" s="328"/>
    </row>
    <row r="190" spans="1:83" ht="12.95" customHeight="1" x14ac:dyDescent="0.2">
      <c r="C190" s="13" t="str">
        <f>VLOOKUP(123,Textbausteine_203[],Hilfsgrössen!$D$2,FALSE)</f>
        <v>Royaume-Uni</v>
      </c>
      <c r="D190" s="1" t="str">
        <f>VLOOKUP(17,Textbausteine_203[],Hilfsgrössen!$D$2,FALSE)</f>
        <v>Indice</v>
      </c>
      <c r="E190" s="9" t="s">
        <v>116</v>
      </c>
      <c r="H190" s="9" t="s">
        <v>29</v>
      </c>
      <c r="I190" s="9" t="s">
        <v>29</v>
      </c>
      <c r="J190" s="9" t="s">
        <v>29</v>
      </c>
      <c r="K190" s="9" t="s">
        <v>29</v>
      </c>
      <c r="L190" s="15">
        <v>213</v>
      </c>
      <c r="M190" s="15">
        <v>178</v>
      </c>
      <c r="N190" s="15">
        <v>123</v>
      </c>
      <c r="O190" s="15">
        <v>114</v>
      </c>
      <c r="P190" s="15">
        <v>138</v>
      </c>
      <c r="Q190" s="15">
        <v>107</v>
      </c>
      <c r="R190" s="15">
        <v>109</v>
      </c>
      <c r="S190" s="15">
        <v>106</v>
      </c>
      <c r="T190" s="12">
        <v>85</v>
      </c>
      <c r="U190" s="12">
        <v>95</v>
      </c>
      <c r="V190" s="12">
        <v>93</v>
      </c>
      <c r="W190" s="12">
        <v>92</v>
      </c>
      <c r="X190" s="12">
        <v>80</v>
      </c>
      <c r="Y190" s="12">
        <v>75</v>
      </c>
      <c r="Z190" s="12">
        <v>57</v>
      </c>
      <c r="AA190" s="328"/>
    </row>
    <row r="191" spans="1:83" ht="12.95" customHeight="1" x14ac:dyDescent="0.2">
      <c r="C191" s="13" t="str">
        <f>VLOOKUP(116,Textbausteine_203[],Hilfsgrössen!$D$2,FALSE)</f>
        <v>Belgique</v>
      </c>
      <c r="D191" s="1" t="str">
        <f>VLOOKUP(17,Textbausteine_203[],Hilfsgrössen!$D$2,FALSE)</f>
        <v>Indice</v>
      </c>
      <c r="E191" s="9" t="s">
        <v>116</v>
      </c>
      <c r="H191" s="9" t="s">
        <v>29</v>
      </c>
      <c r="I191" s="9" t="s">
        <v>29</v>
      </c>
      <c r="J191" s="9" t="s">
        <v>29</v>
      </c>
      <c r="K191" s="9" t="s">
        <v>29</v>
      </c>
      <c r="L191" s="15">
        <v>118</v>
      </c>
      <c r="M191" s="15">
        <v>124</v>
      </c>
      <c r="N191" s="15">
        <v>104</v>
      </c>
      <c r="O191" s="15">
        <v>94</v>
      </c>
      <c r="P191" s="15">
        <v>99</v>
      </c>
      <c r="Q191" s="15">
        <v>105</v>
      </c>
      <c r="R191" s="15">
        <v>104</v>
      </c>
      <c r="S191" s="15">
        <v>94</v>
      </c>
      <c r="T191" s="12">
        <v>95</v>
      </c>
      <c r="U191" s="12">
        <v>102</v>
      </c>
      <c r="V191" s="12">
        <v>101</v>
      </c>
      <c r="W191" s="12">
        <v>100</v>
      </c>
      <c r="X191" s="12">
        <v>99</v>
      </c>
      <c r="Y191" s="11">
        <v>103.49774916618384</v>
      </c>
      <c r="Z191" s="11">
        <v>56</v>
      </c>
      <c r="AA191" s="328"/>
    </row>
    <row r="192" spans="1:83" ht="12.95" customHeight="1" x14ac:dyDescent="0.2">
      <c r="C192" s="13" t="str">
        <f>VLOOKUP(115,Textbausteine_203[],Hilfsgrössen!$D$2,FALSE)</f>
        <v>Autriche</v>
      </c>
      <c r="D192" s="1" t="str">
        <f>VLOOKUP(17,Textbausteine_203[],Hilfsgrössen!$D$2,FALSE)</f>
        <v>Indice</v>
      </c>
      <c r="E192" s="9" t="s">
        <v>116</v>
      </c>
      <c r="H192" s="9" t="s">
        <v>29</v>
      </c>
      <c r="I192" s="9" t="s">
        <v>29</v>
      </c>
      <c r="J192" s="9" t="s">
        <v>29</v>
      </c>
      <c r="K192" s="9" t="s">
        <v>29</v>
      </c>
      <c r="L192" s="15">
        <v>103</v>
      </c>
      <c r="M192" s="15">
        <v>95</v>
      </c>
      <c r="N192" s="15">
        <v>81</v>
      </c>
      <c r="O192" s="15">
        <v>72</v>
      </c>
      <c r="P192" s="15">
        <v>71</v>
      </c>
      <c r="Q192" s="15">
        <v>76</v>
      </c>
      <c r="R192" s="15">
        <v>75</v>
      </c>
      <c r="S192" s="15">
        <v>69</v>
      </c>
      <c r="T192" s="12">
        <v>69</v>
      </c>
      <c r="U192" s="12">
        <v>67</v>
      </c>
      <c r="V192" s="12">
        <v>75</v>
      </c>
      <c r="W192" s="12">
        <v>72</v>
      </c>
      <c r="X192" s="12">
        <v>70</v>
      </c>
      <c r="Y192" s="12">
        <v>66</v>
      </c>
      <c r="Z192" s="12">
        <v>55</v>
      </c>
      <c r="AA192" s="328"/>
    </row>
    <row r="193" spans="1:83" ht="12.95" customHeight="1" x14ac:dyDescent="0.2">
      <c r="AA193" s="328"/>
    </row>
    <row r="194" spans="1:83" s="6" customFormat="1" ht="12.95" customHeight="1" x14ac:dyDescent="0.2">
      <c r="A194" s="65"/>
      <c r="C194" s="6" t="str">
        <f>VLOOKUP(114,Textbausteine_203[],Hilfsgrössen!$D$2,FALSE)</f>
        <v>Indice du prix des colis en parité de pouvoir d'achat</v>
      </c>
      <c r="E194" s="28"/>
      <c r="F194" s="28"/>
      <c r="G194" s="33"/>
      <c r="H194" s="28"/>
      <c r="I194" s="28"/>
      <c r="J194" s="28"/>
      <c r="K194" s="28"/>
      <c r="L194" s="28"/>
      <c r="M194" s="28"/>
      <c r="N194" s="28"/>
      <c r="O194" s="28"/>
      <c r="P194" s="28"/>
      <c r="Q194" s="28"/>
      <c r="R194" s="28"/>
      <c r="S194" s="28"/>
      <c r="T194" s="7"/>
      <c r="U194" s="7"/>
      <c r="V194" s="7"/>
      <c r="W194" s="7"/>
      <c r="X194" s="7"/>
      <c r="Y194" s="7"/>
      <c r="Z194" s="7"/>
      <c r="AA194" s="380"/>
      <c r="AB194" s="28"/>
      <c r="AC194" s="28"/>
      <c r="AD194" s="28"/>
      <c r="AE194" s="28"/>
      <c r="AF194" s="28"/>
      <c r="AG194" s="28"/>
      <c r="AH194" s="28"/>
      <c r="AI194" s="28"/>
      <c r="AJ194" s="28"/>
      <c r="AK194" s="28"/>
      <c r="AL194" s="28"/>
      <c r="AM194" s="28"/>
      <c r="AN194" s="28"/>
      <c r="AO194" s="28"/>
      <c r="AP194" s="28"/>
      <c r="AQ194" s="28"/>
      <c r="AR194" s="28"/>
      <c r="AS194" s="28"/>
      <c r="AT194" s="28"/>
      <c r="AU194" s="28"/>
      <c r="AV194" s="28"/>
      <c r="AW194" s="28"/>
      <c r="AX194" s="28"/>
      <c r="AY194" s="28"/>
      <c r="AZ194" s="28"/>
      <c r="BA194" s="28"/>
      <c r="BB194" s="28"/>
      <c r="BC194" s="28"/>
      <c r="BD194" s="28"/>
      <c r="BE194" s="28"/>
      <c r="BF194" s="28"/>
      <c r="BG194" s="28"/>
      <c r="BH194" s="28"/>
      <c r="BI194" s="28"/>
      <c r="BJ194" s="28"/>
      <c r="BK194" s="28"/>
      <c r="BL194" s="28"/>
      <c r="BM194" s="28"/>
      <c r="BN194" s="28"/>
      <c r="BO194" s="28"/>
      <c r="BP194" s="28"/>
      <c r="BQ194" s="28"/>
      <c r="BR194" s="28"/>
      <c r="BS194" s="28"/>
      <c r="BT194" s="28"/>
      <c r="BU194" s="28"/>
      <c r="BV194" s="28"/>
      <c r="BW194" s="28"/>
      <c r="BX194" s="28"/>
      <c r="BY194" s="28"/>
      <c r="BZ194" s="28"/>
      <c r="CA194" s="28"/>
      <c r="CB194" s="28"/>
      <c r="CC194" s="28"/>
      <c r="CD194" s="28"/>
      <c r="CE194" s="28"/>
    </row>
    <row r="195" spans="1:83" s="6" customFormat="1" ht="12.95" customHeight="1" x14ac:dyDescent="0.2">
      <c r="A195" s="65"/>
      <c r="C195" s="13" t="str">
        <f>VLOOKUP(124,Textbausteine_203[],Hilfsgrössen!$D$2,FALSE)</f>
        <v>Irlande</v>
      </c>
      <c r="D195" s="1" t="str">
        <f>VLOOKUP(17,Textbausteine_203[],Hilfsgrössen!$D$2,FALSE)</f>
        <v>Indice</v>
      </c>
      <c r="E195" s="9">
        <v>2</v>
      </c>
      <c r="F195" s="9"/>
      <c r="G195" s="34"/>
      <c r="H195" s="9" t="s">
        <v>29</v>
      </c>
      <c r="I195" s="9" t="s">
        <v>29</v>
      </c>
      <c r="J195" s="9" t="s">
        <v>29</v>
      </c>
      <c r="K195" s="9" t="s">
        <v>29</v>
      </c>
      <c r="L195" s="9" t="s">
        <v>29</v>
      </c>
      <c r="M195" s="9" t="s">
        <v>29</v>
      </c>
      <c r="N195" s="9" t="s">
        <v>29</v>
      </c>
      <c r="O195" s="9">
        <v>201</v>
      </c>
      <c r="P195" s="9">
        <v>203</v>
      </c>
      <c r="Q195" s="9">
        <v>199</v>
      </c>
      <c r="R195" s="9">
        <v>212</v>
      </c>
      <c r="S195" s="9">
        <v>206</v>
      </c>
      <c r="T195" s="11">
        <v>193</v>
      </c>
      <c r="U195" s="11">
        <v>212</v>
      </c>
      <c r="V195" s="11">
        <v>222</v>
      </c>
      <c r="W195" s="11">
        <v>215</v>
      </c>
      <c r="X195" s="11">
        <v>190</v>
      </c>
      <c r="Y195" s="12">
        <v>47</v>
      </c>
      <c r="Z195" s="12">
        <v>167</v>
      </c>
      <c r="AA195" s="380"/>
      <c r="AB195" s="28"/>
      <c r="AC195" s="28"/>
      <c r="AD195" s="28"/>
      <c r="AE195" s="28"/>
      <c r="AF195" s="28"/>
      <c r="AG195" s="28"/>
      <c r="AH195" s="28"/>
      <c r="AI195" s="28"/>
      <c r="AJ195" s="28"/>
      <c r="AK195" s="28"/>
      <c r="AL195" s="28"/>
      <c r="AM195" s="28"/>
      <c r="AN195" s="28"/>
      <c r="AO195" s="28"/>
      <c r="AP195" s="28"/>
      <c r="AQ195" s="28"/>
      <c r="AR195" s="28"/>
      <c r="AS195" s="28"/>
      <c r="AT195" s="28"/>
      <c r="AU195" s="28"/>
      <c r="AV195" s="28"/>
      <c r="AW195" s="28"/>
      <c r="AX195" s="28"/>
      <c r="AY195" s="28"/>
      <c r="AZ195" s="28"/>
      <c r="BA195" s="28"/>
      <c r="BB195" s="28"/>
      <c r="BC195" s="28"/>
      <c r="BD195" s="28"/>
      <c r="BE195" s="28"/>
      <c r="BF195" s="28"/>
      <c r="BG195" s="28"/>
      <c r="BH195" s="28"/>
      <c r="BI195" s="28"/>
      <c r="BJ195" s="28"/>
      <c r="BK195" s="28"/>
      <c r="BL195" s="28"/>
      <c r="BM195" s="28"/>
      <c r="BN195" s="28"/>
      <c r="BO195" s="28"/>
      <c r="BP195" s="28"/>
      <c r="BQ195" s="28"/>
      <c r="BR195" s="28"/>
      <c r="BS195" s="28"/>
      <c r="BT195" s="28"/>
      <c r="BU195" s="28"/>
      <c r="BV195" s="28"/>
      <c r="BW195" s="28"/>
      <c r="BX195" s="28"/>
      <c r="BY195" s="28"/>
      <c r="BZ195" s="28"/>
      <c r="CA195" s="28"/>
      <c r="CB195" s="28"/>
      <c r="CC195" s="28"/>
      <c r="CD195" s="28"/>
      <c r="CE195" s="28"/>
    </row>
    <row r="196" spans="1:83" s="6" customFormat="1" ht="12.95" customHeight="1" x14ac:dyDescent="0.2">
      <c r="A196" s="65"/>
      <c r="C196" s="13" t="str">
        <f>VLOOKUP(120,Textbausteine_203[],Hilfsgrössen!$D$2,FALSE)</f>
        <v>Espagne</v>
      </c>
      <c r="D196" s="1" t="str">
        <f>VLOOKUP(17,Textbausteine_203[],Hilfsgrössen!$D$2,FALSE)</f>
        <v>Indice</v>
      </c>
      <c r="E196" s="9">
        <v>2</v>
      </c>
      <c r="F196" s="9"/>
      <c r="G196" s="34"/>
      <c r="H196" s="9" t="s">
        <v>29</v>
      </c>
      <c r="I196" s="9" t="s">
        <v>29</v>
      </c>
      <c r="J196" s="9" t="s">
        <v>29</v>
      </c>
      <c r="K196" s="9" t="s">
        <v>29</v>
      </c>
      <c r="L196" s="9" t="s">
        <v>29</v>
      </c>
      <c r="M196" s="9" t="s">
        <v>29</v>
      </c>
      <c r="N196" s="9" t="s">
        <v>29</v>
      </c>
      <c r="O196" s="9">
        <v>217</v>
      </c>
      <c r="P196" s="9">
        <v>224</v>
      </c>
      <c r="Q196" s="9">
        <v>223</v>
      </c>
      <c r="R196" s="9">
        <v>242</v>
      </c>
      <c r="S196" s="9">
        <v>257</v>
      </c>
      <c r="T196" s="11">
        <v>240</v>
      </c>
      <c r="U196" s="11">
        <v>283</v>
      </c>
      <c r="V196" s="11">
        <v>299</v>
      </c>
      <c r="W196" s="11">
        <v>303</v>
      </c>
      <c r="X196" s="11">
        <v>304</v>
      </c>
      <c r="Y196" s="11">
        <v>301.45319710892016</v>
      </c>
      <c r="Z196" s="11">
        <v>156</v>
      </c>
      <c r="AA196" s="328"/>
      <c r="AB196" s="28"/>
      <c r="AC196" s="28"/>
      <c r="AD196" s="28"/>
      <c r="AE196" s="28"/>
      <c r="AF196" s="28"/>
      <c r="AG196" s="28"/>
      <c r="AH196" s="28"/>
      <c r="AI196" s="28"/>
      <c r="AJ196" s="28"/>
      <c r="AK196" s="28"/>
      <c r="AL196" s="28"/>
      <c r="AM196" s="28"/>
      <c r="AN196" s="28"/>
      <c r="AO196" s="28"/>
      <c r="AP196" s="28"/>
      <c r="AQ196" s="28"/>
      <c r="AR196" s="28"/>
      <c r="AS196" s="28"/>
      <c r="AT196" s="28"/>
      <c r="AU196" s="28"/>
      <c r="AV196" s="28"/>
      <c r="AW196" s="28"/>
      <c r="AX196" s="28"/>
      <c r="AY196" s="28"/>
      <c r="AZ196" s="28"/>
      <c r="BA196" s="28"/>
      <c r="BB196" s="28"/>
      <c r="BC196" s="28"/>
      <c r="BD196" s="28"/>
      <c r="BE196" s="28"/>
      <c r="BF196" s="28"/>
      <c r="BG196" s="28"/>
      <c r="BH196" s="28"/>
      <c r="BI196" s="28"/>
      <c r="BJ196" s="28"/>
      <c r="BK196" s="28"/>
      <c r="BL196" s="28"/>
      <c r="BM196" s="28"/>
      <c r="BN196" s="28"/>
      <c r="BO196" s="28"/>
      <c r="BP196" s="28"/>
      <c r="BQ196" s="28"/>
      <c r="BR196" s="28"/>
      <c r="BS196" s="28"/>
      <c r="BT196" s="28"/>
      <c r="BU196" s="28"/>
      <c r="BV196" s="28"/>
      <c r="BW196" s="28"/>
      <c r="BX196" s="28"/>
      <c r="BY196" s="28"/>
      <c r="BZ196" s="28"/>
      <c r="CA196" s="28"/>
      <c r="CB196" s="28"/>
      <c r="CC196" s="28"/>
      <c r="CD196" s="28"/>
      <c r="CE196" s="28"/>
    </row>
    <row r="197" spans="1:83" s="6" customFormat="1" ht="12.95" customHeight="1" x14ac:dyDescent="0.2">
      <c r="A197" s="65"/>
      <c r="C197" s="13" t="str">
        <f>VLOOKUP(129,Textbausteine_203[],Hilfsgrössen!$D$2,FALSE)</f>
        <v>Suède</v>
      </c>
      <c r="D197" s="1" t="str">
        <f>VLOOKUP(17,Textbausteine_203[],Hilfsgrössen!$D$2,FALSE)</f>
        <v>Indice</v>
      </c>
      <c r="E197" s="9">
        <v>2</v>
      </c>
      <c r="F197" s="9"/>
      <c r="G197" s="34"/>
      <c r="H197" s="9" t="s">
        <v>29</v>
      </c>
      <c r="I197" s="9" t="s">
        <v>29</v>
      </c>
      <c r="J197" s="9" t="s">
        <v>29</v>
      </c>
      <c r="K197" s="9" t="s">
        <v>29</v>
      </c>
      <c r="L197" s="9" t="s">
        <v>29</v>
      </c>
      <c r="M197" s="9" t="s">
        <v>29</v>
      </c>
      <c r="N197" s="9" t="s">
        <v>29</v>
      </c>
      <c r="O197" s="9">
        <v>357</v>
      </c>
      <c r="P197" s="9">
        <v>357</v>
      </c>
      <c r="Q197" s="9">
        <v>354</v>
      </c>
      <c r="R197" s="9">
        <v>352</v>
      </c>
      <c r="S197" s="9">
        <v>338</v>
      </c>
      <c r="T197" s="11">
        <v>289</v>
      </c>
      <c r="U197" s="11">
        <v>283</v>
      </c>
      <c r="V197" s="11">
        <v>240</v>
      </c>
      <c r="W197" s="11">
        <v>239</v>
      </c>
      <c r="X197" s="11">
        <v>235</v>
      </c>
      <c r="Y197" s="11">
        <v>204.61229716578848</v>
      </c>
      <c r="Z197" s="11">
        <v>144</v>
      </c>
      <c r="AA197" s="328"/>
      <c r="AB197" s="28"/>
      <c r="AC197" s="28"/>
      <c r="AD197" s="28"/>
      <c r="AE197" s="28"/>
      <c r="AF197" s="28"/>
      <c r="AG197" s="28"/>
      <c r="AH197" s="28"/>
      <c r="AI197" s="28"/>
      <c r="AJ197" s="28"/>
      <c r="AK197" s="28"/>
      <c r="AL197" s="28"/>
      <c r="AM197" s="28"/>
      <c r="AN197" s="28"/>
      <c r="AO197" s="28"/>
      <c r="AP197" s="28"/>
      <c r="AQ197" s="28"/>
      <c r="AR197" s="28"/>
      <c r="AS197" s="28"/>
      <c r="AT197" s="28"/>
      <c r="AU197" s="28"/>
      <c r="AV197" s="28"/>
      <c r="AW197" s="28"/>
      <c r="AX197" s="28"/>
      <c r="AY197" s="28"/>
      <c r="AZ197" s="28"/>
      <c r="BA197" s="28"/>
      <c r="BB197" s="28"/>
      <c r="BC197" s="28"/>
      <c r="BD197" s="28"/>
      <c r="BE197" s="28"/>
      <c r="BF197" s="28"/>
      <c r="BG197" s="28"/>
      <c r="BH197" s="28"/>
      <c r="BI197" s="28"/>
      <c r="BJ197" s="28"/>
      <c r="BK197" s="28"/>
      <c r="BL197" s="28"/>
      <c r="BM197" s="28"/>
      <c r="BN197" s="28"/>
      <c r="BO197" s="28"/>
      <c r="BP197" s="28"/>
      <c r="BQ197" s="28"/>
      <c r="BR197" s="28"/>
      <c r="BS197" s="28"/>
      <c r="BT197" s="28"/>
      <c r="BU197" s="28"/>
      <c r="BV197" s="28"/>
      <c r="BW197" s="28"/>
      <c r="BX197" s="28"/>
      <c r="BY197" s="28"/>
      <c r="BZ197" s="28"/>
      <c r="CA197" s="28"/>
      <c r="CB197" s="28"/>
      <c r="CC197" s="28"/>
      <c r="CD197" s="28"/>
      <c r="CE197" s="28"/>
    </row>
    <row r="198" spans="1:83" ht="12.75" customHeight="1" x14ac:dyDescent="0.2">
      <c r="C198" s="13" t="str">
        <f>VLOOKUP(121,Textbausteine_203[],Hilfsgrössen!$D$2,FALSE)</f>
        <v>Finlande</v>
      </c>
      <c r="D198" s="1" t="str">
        <f>VLOOKUP(17,Textbausteine_203[],Hilfsgrössen!$D$2,FALSE)</f>
        <v>Indice</v>
      </c>
      <c r="E198" s="9">
        <v>2</v>
      </c>
      <c r="H198" s="9" t="s">
        <v>29</v>
      </c>
      <c r="I198" s="9" t="s">
        <v>29</v>
      </c>
      <c r="J198" s="9" t="s">
        <v>29</v>
      </c>
      <c r="K198" s="9" t="s">
        <v>29</v>
      </c>
      <c r="L198" s="9" t="s">
        <v>29</v>
      </c>
      <c r="M198" s="9" t="s">
        <v>29</v>
      </c>
      <c r="N198" s="9" t="s">
        <v>29</v>
      </c>
      <c r="O198" s="9">
        <v>285</v>
      </c>
      <c r="P198" s="9">
        <v>281</v>
      </c>
      <c r="Q198" s="9">
        <v>296</v>
      </c>
      <c r="R198" s="9">
        <v>304</v>
      </c>
      <c r="S198" s="9">
        <v>356</v>
      </c>
      <c r="T198" s="11">
        <v>344</v>
      </c>
      <c r="U198" s="11">
        <v>345</v>
      </c>
      <c r="V198" s="11">
        <v>353</v>
      </c>
      <c r="W198" s="11">
        <v>354</v>
      </c>
      <c r="X198" s="11">
        <v>354</v>
      </c>
      <c r="Y198" s="11">
        <v>351.04256054290067</v>
      </c>
      <c r="Z198" s="11">
        <v>132</v>
      </c>
      <c r="AA198" s="328"/>
    </row>
    <row r="199" spans="1:83" ht="12.75" customHeight="1" x14ac:dyDescent="0.2">
      <c r="C199" s="13" t="str">
        <f>VLOOKUP(122,Textbausteine_203[],Hilfsgrössen!$D$2,FALSE)</f>
        <v>France</v>
      </c>
      <c r="D199" s="1" t="str">
        <f>VLOOKUP(17,Textbausteine_203[],Hilfsgrössen!$D$2,FALSE)</f>
        <v>Indice</v>
      </c>
      <c r="E199" s="9">
        <v>2</v>
      </c>
      <c r="H199" s="9" t="s">
        <v>29</v>
      </c>
      <c r="I199" s="9" t="s">
        <v>29</v>
      </c>
      <c r="J199" s="9" t="s">
        <v>29</v>
      </c>
      <c r="K199" s="9" t="s">
        <v>29</v>
      </c>
      <c r="L199" s="9" t="s">
        <v>29</v>
      </c>
      <c r="M199" s="9" t="s">
        <v>29</v>
      </c>
      <c r="N199" s="9" t="s">
        <v>29</v>
      </c>
      <c r="O199" s="9">
        <v>175</v>
      </c>
      <c r="P199" s="9">
        <v>174</v>
      </c>
      <c r="Q199" s="9">
        <v>177</v>
      </c>
      <c r="R199" s="9">
        <v>186</v>
      </c>
      <c r="S199" s="9">
        <v>191</v>
      </c>
      <c r="T199" s="11">
        <v>179</v>
      </c>
      <c r="U199" s="11">
        <v>177</v>
      </c>
      <c r="V199" s="11">
        <v>178</v>
      </c>
      <c r="W199" s="11">
        <v>182</v>
      </c>
      <c r="X199" s="11">
        <v>189</v>
      </c>
      <c r="Y199" s="11">
        <v>171.70132727225914</v>
      </c>
      <c r="Z199" s="11">
        <v>128</v>
      </c>
      <c r="AA199" s="328"/>
    </row>
    <row r="200" spans="1:83" ht="12.95" customHeight="1" x14ac:dyDescent="0.2">
      <c r="C200" s="13" t="str">
        <f>VLOOKUP(128,Textbausteine_203[],Hilfsgrössen!$D$2,FALSE)</f>
        <v>Portugal</v>
      </c>
      <c r="D200" s="1" t="str">
        <f>VLOOKUP(17,Textbausteine_203[],Hilfsgrössen!$D$2,FALSE)</f>
        <v>Indice</v>
      </c>
      <c r="E200" s="9">
        <v>2</v>
      </c>
      <c r="H200" s="9" t="s">
        <v>29</v>
      </c>
      <c r="I200" s="9" t="s">
        <v>29</v>
      </c>
      <c r="J200" s="9" t="s">
        <v>29</v>
      </c>
      <c r="K200" s="9" t="s">
        <v>29</v>
      </c>
      <c r="L200" s="9" t="s">
        <v>29</v>
      </c>
      <c r="M200" s="9" t="s">
        <v>29</v>
      </c>
      <c r="N200" s="9" t="s">
        <v>29</v>
      </c>
      <c r="O200" s="9">
        <v>186</v>
      </c>
      <c r="P200" s="9">
        <v>185</v>
      </c>
      <c r="Q200" s="9">
        <v>199</v>
      </c>
      <c r="R200" s="9">
        <v>219</v>
      </c>
      <c r="S200" s="9">
        <v>234</v>
      </c>
      <c r="T200" s="11">
        <v>224</v>
      </c>
      <c r="U200" s="11">
        <v>229</v>
      </c>
      <c r="V200" s="11">
        <v>232</v>
      </c>
      <c r="W200" s="11">
        <v>227</v>
      </c>
      <c r="X200" s="11">
        <v>243</v>
      </c>
      <c r="Y200" s="11">
        <v>240.48268111107268</v>
      </c>
      <c r="Z200" s="11">
        <v>124</v>
      </c>
      <c r="AA200" s="328"/>
    </row>
    <row r="201" spans="1:83" ht="12.95" customHeight="1" x14ac:dyDescent="0.2">
      <c r="C201" s="13" t="str">
        <f>VLOOKUP(125,Textbausteine_203[],Hilfsgrössen!$D$2,FALSE)</f>
        <v>Italie</v>
      </c>
      <c r="D201" s="1" t="str">
        <f>VLOOKUP(17,Textbausteine_203[],Hilfsgrössen!$D$2,FALSE)</f>
        <v>Indice</v>
      </c>
      <c r="E201" s="9">
        <v>2</v>
      </c>
      <c r="H201" s="9" t="s">
        <v>29</v>
      </c>
      <c r="I201" s="9" t="s">
        <v>29</v>
      </c>
      <c r="J201" s="9" t="s">
        <v>29</v>
      </c>
      <c r="K201" s="9" t="s">
        <v>29</v>
      </c>
      <c r="L201" s="9" t="s">
        <v>29</v>
      </c>
      <c r="M201" s="9" t="s">
        <v>29</v>
      </c>
      <c r="N201" s="9" t="s">
        <v>29</v>
      </c>
      <c r="O201" s="9">
        <v>280</v>
      </c>
      <c r="P201" s="9">
        <v>261</v>
      </c>
      <c r="Q201" s="9">
        <v>243</v>
      </c>
      <c r="R201" s="9">
        <v>248</v>
      </c>
      <c r="S201" s="9">
        <v>245</v>
      </c>
      <c r="T201" s="11">
        <v>237</v>
      </c>
      <c r="U201" s="11">
        <v>236</v>
      </c>
      <c r="V201" s="11">
        <v>232</v>
      </c>
      <c r="W201" s="11">
        <v>214</v>
      </c>
      <c r="X201" s="11">
        <v>216</v>
      </c>
      <c r="Y201" s="11">
        <v>214.8255284108599</v>
      </c>
      <c r="Z201" s="11">
        <v>123</v>
      </c>
      <c r="AA201" s="328"/>
    </row>
    <row r="202" spans="1:83" ht="12.95" customHeight="1" x14ac:dyDescent="0.2">
      <c r="C202" s="13" t="str">
        <f>VLOOKUP(119,Textbausteine_203[],Hilfsgrössen!$D$2,FALSE)</f>
        <v>Danemark</v>
      </c>
      <c r="D202" s="1" t="str">
        <f>VLOOKUP(17,Textbausteine_203[],Hilfsgrössen!$D$2,FALSE)</f>
        <v>Indice</v>
      </c>
      <c r="E202" s="9">
        <v>2</v>
      </c>
      <c r="H202" s="9" t="s">
        <v>29</v>
      </c>
      <c r="I202" s="9" t="s">
        <v>29</v>
      </c>
      <c r="J202" s="9" t="s">
        <v>29</v>
      </c>
      <c r="K202" s="9" t="s">
        <v>29</v>
      </c>
      <c r="L202" s="9" t="s">
        <v>29</v>
      </c>
      <c r="M202" s="9" t="s">
        <v>29</v>
      </c>
      <c r="N202" s="9" t="s">
        <v>29</v>
      </c>
      <c r="O202" s="9">
        <v>198</v>
      </c>
      <c r="P202" s="9">
        <v>197</v>
      </c>
      <c r="Q202" s="9">
        <v>231</v>
      </c>
      <c r="R202" s="9">
        <v>231</v>
      </c>
      <c r="S202" s="9">
        <v>235</v>
      </c>
      <c r="T202" s="11">
        <v>243</v>
      </c>
      <c r="U202" s="11">
        <v>216</v>
      </c>
      <c r="V202" s="11">
        <v>231</v>
      </c>
      <c r="W202" s="11">
        <v>143</v>
      </c>
      <c r="X202" s="11">
        <v>144</v>
      </c>
      <c r="Y202" s="11">
        <v>138.15683915414894</v>
      </c>
      <c r="Z202" s="11">
        <v>104</v>
      </c>
      <c r="AA202" s="328"/>
    </row>
    <row r="203" spans="1:83" ht="12.95" customHeight="1" x14ac:dyDescent="0.2">
      <c r="C203" s="171" t="str">
        <f>VLOOKUP(117,Textbausteine_203[],Hilfsgrössen!$D$2,FALSE)</f>
        <v>Suisse</v>
      </c>
      <c r="D203" s="6" t="str">
        <f>VLOOKUP(17,Textbausteine_203[],Hilfsgrössen!$D$2,FALSE)</f>
        <v>Indice</v>
      </c>
      <c r="E203" s="28">
        <v>2</v>
      </c>
      <c r="F203" s="28"/>
      <c r="G203" s="33"/>
      <c r="H203" s="28" t="s">
        <v>29</v>
      </c>
      <c r="I203" s="28" t="s">
        <v>29</v>
      </c>
      <c r="J203" s="28" t="s">
        <v>29</v>
      </c>
      <c r="K203" s="28" t="s">
        <v>29</v>
      </c>
      <c r="L203" s="28" t="s">
        <v>29</v>
      </c>
      <c r="M203" s="28" t="s">
        <v>29</v>
      </c>
      <c r="N203" s="28" t="s">
        <v>29</v>
      </c>
      <c r="O203" s="28">
        <v>100</v>
      </c>
      <c r="P203" s="28">
        <v>100</v>
      </c>
      <c r="Q203" s="28">
        <v>100</v>
      </c>
      <c r="R203" s="28">
        <v>100</v>
      </c>
      <c r="S203" s="28">
        <v>100</v>
      </c>
      <c r="T203" s="7">
        <v>100</v>
      </c>
      <c r="U203" s="7">
        <v>100</v>
      </c>
      <c r="V203" s="7">
        <v>100</v>
      </c>
      <c r="W203" s="7">
        <v>100</v>
      </c>
      <c r="X203" s="7">
        <v>100</v>
      </c>
      <c r="Y203" s="7">
        <v>100</v>
      </c>
      <c r="Z203" s="7">
        <v>100</v>
      </c>
      <c r="AA203" s="328"/>
    </row>
    <row r="204" spans="1:83" ht="12.95" customHeight="1" x14ac:dyDescent="0.2">
      <c r="C204" s="13" t="str">
        <f>VLOOKUP(127,Textbausteine_203[],Hilfsgrössen!$D$2,FALSE)</f>
        <v>Norvège</v>
      </c>
      <c r="D204" s="1" t="str">
        <f>VLOOKUP(17,Textbausteine_203[],Hilfsgrössen!$D$2,FALSE)</f>
        <v>Indice</v>
      </c>
      <c r="E204" s="9">
        <v>2</v>
      </c>
      <c r="H204" s="9" t="s">
        <v>29</v>
      </c>
      <c r="I204" s="9" t="s">
        <v>29</v>
      </c>
      <c r="J204" s="9" t="s">
        <v>29</v>
      </c>
      <c r="K204" s="9" t="s">
        <v>29</v>
      </c>
      <c r="L204" s="9" t="s">
        <v>29</v>
      </c>
      <c r="M204" s="9" t="s">
        <v>29</v>
      </c>
      <c r="N204" s="9" t="s">
        <v>29</v>
      </c>
      <c r="O204" s="9">
        <v>316</v>
      </c>
      <c r="P204" s="9">
        <v>354</v>
      </c>
      <c r="Q204" s="9">
        <v>280</v>
      </c>
      <c r="R204" s="9">
        <v>291</v>
      </c>
      <c r="S204" s="9">
        <v>283</v>
      </c>
      <c r="T204" s="11">
        <v>263</v>
      </c>
      <c r="U204" s="11">
        <v>261</v>
      </c>
      <c r="V204" s="11">
        <v>258</v>
      </c>
      <c r="W204" s="11">
        <v>260</v>
      </c>
      <c r="X204" s="11">
        <v>264</v>
      </c>
      <c r="Y204" s="11">
        <v>210.96212169418399</v>
      </c>
      <c r="Z204" s="11">
        <v>95</v>
      </c>
      <c r="AA204" s="328"/>
    </row>
    <row r="205" spans="1:83" ht="12.95" customHeight="1" x14ac:dyDescent="0.2">
      <c r="C205" s="13" t="str">
        <f>VLOOKUP(126,Textbausteine_203[],Hilfsgrössen!$D$2,FALSE)</f>
        <v>Pays-Bas</v>
      </c>
      <c r="D205" s="1" t="str">
        <f>VLOOKUP(17,Textbausteine_203[],Hilfsgrössen!$D$2,FALSE)</f>
        <v>Indice</v>
      </c>
      <c r="E205" s="9">
        <v>2</v>
      </c>
      <c r="H205" s="9" t="s">
        <v>29</v>
      </c>
      <c r="I205" s="9" t="s">
        <v>29</v>
      </c>
      <c r="J205" s="9" t="s">
        <v>29</v>
      </c>
      <c r="K205" s="9" t="s">
        <v>29</v>
      </c>
      <c r="L205" s="9" t="s">
        <v>29</v>
      </c>
      <c r="M205" s="9" t="s">
        <v>29</v>
      </c>
      <c r="N205" s="9" t="s">
        <v>29</v>
      </c>
      <c r="O205" s="9">
        <v>155</v>
      </c>
      <c r="P205" s="9">
        <v>149</v>
      </c>
      <c r="Q205" s="9">
        <v>143</v>
      </c>
      <c r="R205" s="9">
        <v>148</v>
      </c>
      <c r="S205" s="9">
        <v>146</v>
      </c>
      <c r="T205" s="11">
        <v>136</v>
      </c>
      <c r="U205" s="11">
        <v>134</v>
      </c>
      <c r="V205" s="11">
        <v>128</v>
      </c>
      <c r="W205" s="11">
        <v>128</v>
      </c>
      <c r="X205" s="11">
        <v>131</v>
      </c>
      <c r="Y205" s="11">
        <v>121.0912580357419</v>
      </c>
      <c r="Z205" s="11">
        <v>86</v>
      </c>
      <c r="AA205" s="328"/>
    </row>
    <row r="206" spans="1:83" ht="12.95" customHeight="1" x14ac:dyDescent="0.2">
      <c r="C206" s="13" t="str">
        <f>VLOOKUP(118,Textbausteine_203[],Hilfsgrössen!$D$2,FALSE)</f>
        <v>Allemagne</v>
      </c>
      <c r="D206" s="1" t="str">
        <f>VLOOKUP(17,Textbausteine_203[],Hilfsgrössen!$D$2,FALSE)</f>
        <v>Indice</v>
      </c>
      <c r="E206" s="9">
        <v>2</v>
      </c>
      <c r="H206" s="9" t="s">
        <v>29</v>
      </c>
      <c r="I206" s="9" t="s">
        <v>29</v>
      </c>
      <c r="J206" s="9" t="s">
        <v>29</v>
      </c>
      <c r="K206" s="9" t="s">
        <v>29</v>
      </c>
      <c r="L206" s="9" t="s">
        <v>29</v>
      </c>
      <c r="M206" s="9" t="s">
        <v>29</v>
      </c>
      <c r="N206" s="9" t="s">
        <v>29</v>
      </c>
      <c r="O206" s="15">
        <v>112</v>
      </c>
      <c r="P206" s="15">
        <v>108</v>
      </c>
      <c r="Q206" s="15">
        <v>104</v>
      </c>
      <c r="R206" s="15">
        <v>105</v>
      </c>
      <c r="S206" s="15">
        <v>105</v>
      </c>
      <c r="T206" s="12">
        <v>100</v>
      </c>
      <c r="U206" s="12">
        <v>98</v>
      </c>
      <c r="V206" s="12">
        <v>94</v>
      </c>
      <c r="W206" s="12">
        <v>95</v>
      </c>
      <c r="X206" s="12">
        <v>94</v>
      </c>
      <c r="Y206" s="12">
        <v>84</v>
      </c>
      <c r="Z206" s="12">
        <v>61</v>
      </c>
      <c r="AA206" s="328"/>
    </row>
    <row r="207" spans="1:83" ht="12.95" customHeight="1" x14ac:dyDescent="0.2">
      <c r="C207" s="13" t="str">
        <f>VLOOKUP(123,Textbausteine_203[],Hilfsgrössen!$D$2,FALSE)</f>
        <v>Royaume-Uni</v>
      </c>
      <c r="D207" s="1" t="str">
        <f>VLOOKUP(17,Textbausteine_203[],Hilfsgrössen!$D$2,FALSE)</f>
        <v>Indice</v>
      </c>
      <c r="E207" s="9" t="s">
        <v>116</v>
      </c>
      <c r="H207" s="9" t="s">
        <v>29</v>
      </c>
      <c r="I207" s="9" t="s">
        <v>29</v>
      </c>
      <c r="J207" s="9" t="s">
        <v>29</v>
      </c>
      <c r="K207" s="9" t="s">
        <v>29</v>
      </c>
      <c r="L207" s="9" t="s">
        <v>29</v>
      </c>
      <c r="M207" s="9" t="s">
        <v>29</v>
      </c>
      <c r="N207" s="9" t="s">
        <v>29</v>
      </c>
      <c r="O207" s="9">
        <v>183</v>
      </c>
      <c r="P207" s="9">
        <v>198</v>
      </c>
      <c r="Q207" s="9">
        <v>154</v>
      </c>
      <c r="R207" s="9">
        <v>142</v>
      </c>
      <c r="S207" s="9">
        <v>134</v>
      </c>
      <c r="T207" s="11">
        <v>129</v>
      </c>
      <c r="U207" s="11">
        <v>127</v>
      </c>
      <c r="V207" s="11">
        <v>123</v>
      </c>
      <c r="W207" s="11">
        <v>123</v>
      </c>
      <c r="X207" s="11">
        <v>114</v>
      </c>
      <c r="Y207" s="11">
        <v>100</v>
      </c>
      <c r="Z207" s="11">
        <v>57</v>
      </c>
      <c r="AA207" s="328"/>
    </row>
    <row r="208" spans="1:83" ht="12.95" customHeight="1" x14ac:dyDescent="0.2">
      <c r="C208" s="13" t="str">
        <f>VLOOKUP(116,Textbausteine_203[],Hilfsgrössen!$D$2,FALSE)</f>
        <v>Belgique</v>
      </c>
      <c r="D208" s="1" t="str">
        <f>VLOOKUP(17,Textbausteine_203[],Hilfsgrössen!$D$2,FALSE)</f>
        <v>Indice</v>
      </c>
      <c r="E208" s="9">
        <v>2</v>
      </c>
      <c r="H208" s="9" t="s">
        <v>29</v>
      </c>
      <c r="I208" s="9" t="s">
        <v>29</v>
      </c>
      <c r="J208" s="9" t="s">
        <v>29</v>
      </c>
      <c r="K208" s="9" t="s">
        <v>29</v>
      </c>
      <c r="L208" s="9" t="s">
        <v>29</v>
      </c>
      <c r="M208" s="9" t="s">
        <v>29</v>
      </c>
      <c r="N208" s="9" t="s">
        <v>29</v>
      </c>
      <c r="O208" s="9">
        <v>134</v>
      </c>
      <c r="P208" s="9">
        <v>133</v>
      </c>
      <c r="Q208" s="9">
        <v>133</v>
      </c>
      <c r="R208" s="9">
        <v>135</v>
      </c>
      <c r="S208" s="9">
        <v>134</v>
      </c>
      <c r="T208" s="11">
        <v>136</v>
      </c>
      <c r="U208" s="11">
        <v>135</v>
      </c>
      <c r="V208" s="11">
        <v>135</v>
      </c>
      <c r="W208" s="11">
        <v>139</v>
      </c>
      <c r="X208" s="11">
        <v>142</v>
      </c>
      <c r="Y208" s="11">
        <v>147.52514595314096</v>
      </c>
      <c r="Z208" s="11">
        <v>56</v>
      </c>
      <c r="AA208" s="328"/>
    </row>
    <row r="209" spans="1:83" ht="12.95" customHeight="1" x14ac:dyDescent="0.2">
      <c r="C209" s="13" t="str">
        <f>VLOOKUP(115,Textbausteine_203[],Hilfsgrössen!$D$2,FALSE)</f>
        <v>Autriche</v>
      </c>
      <c r="D209" s="1" t="str">
        <f>VLOOKUP(17,Textbausteine_203[],Hilfsgrössen!$D$2,FALSE)</f>
        <v>Indice</v>
      </c>
      <c r="E209" s="9">
        <v>2</v>
      </c>
      <c r="H209" s="9" t="s">
        <v>29</v>
      </c>
      <c r="I209" s="9" t="s">
        <v>29</v>
      </c>
      <c r="J209" s="9" t="s">
        <v>29</v>
      </c>
      <c r="K209" s="9" t="s">
        <v>29</v>
      </c>
      <c r="L209" s="9" t="s">
        <v>29</v>
      </c>
      <c r="M209" s="9" t="s">
        <v>29</v>
      </c>
      <c r="N209" s="9" t="s">
        <v>29</v>
      </c>
      <c r="O209" s="15">
        <v>104</v>
      </c>
      <c r="P209" s="15">
        <v>102</v>
      </c>
      <c r="Q209" s="15">
        <v>104</v>
      </c>
      <c r="R209" s="15">
        <v>103</v>
      </c>
      <c r="S209" s="15">
        <v>105</v>
      </c>
      <c r="T209" s="12">
        <v>100</v>
      </c>
      <c r="U209" s="12">
        <v>89</v>
      </c>
      <c r="V209" s="12">
        <v>100</v>
      </c>
      <c r="W209" s="12">
        <v>99</v>
      </c>
      <c r="X209" s="12">
        <v>99</v>
      </c>
      <c r="Y209" s="12">
        <v>93</v>
      </c>
      <c r="Z209" s="12">
        <v>55</v>
      </c>
      <c r="AA209" s="328"/>
    </row>
    <row r="210" spans="1:83" ht="12.95" customHeight="1" x14ac:dyDescent="0.2">
      <c r="AA210" s="328"/>
    </row>
    <row r="211" spans="1:83" s="176" customFormat="1" ht="12.95" customHeight="1" x14ac:dyDescent="0.25">
      <c r="A211" s="175"/>
      <c r="B211" s="176" t="str">
        <f>VLOOKUP(221,Textbausteine_203[],Hilfsgrössen!$D$2,FALSE)</f>
        <v>1) L'indice du prix des lettres repose sur un panier de prestations incluant les envois du courrier A et du courrier B jusqu'à 1 kg (sans les envois de grande valeur ni les prestations complémentaires). Les lettres sont pondérées selon la fréquence avec laquelle les consommateurs suisses les expédient. Pour la comparaison, on se fonde dans chaque pays sur les prix de l'actuel (ou ancien) opérateur national (jour de référence: 1er novembre 2018). Suisse = 100 (par définition).</v>
      </c>
      <c r="E211" s="175"/>
      <c r="F211" s="175"/>
      <c r="G211" s="177"/>
      <c r="H211" s="175"/>
      <c r="I211" s="175"/>
      <c r="J211" s="175"/>
      <c r="K211" s="175"/>
      <c r="L211" s="175"/>
      <c r="M211" s="175"/>
      <c r="N211" s="175"/>
      <c r="O211" s="175"/>
      <c r="P211" s="175"/>
      <c r="Q211" s="175"/>
      <c r="R211" s="175"/>
      <c r="S211" s="175"/>
      <c r="T211" s="178"/>
      <c r="U211" s="178"/>
      <c r="V211" s="178"/>
      <c r="W211" s="178"/>
      <c r="X211" s="178"/>
      <c r="Y211" s="178"/>
      <c r="Z211" s="178"/>
      <c r="AA211" s="381"/>
      <c r="AB211" s="175"/>
      <c r="AC211" s="175"/>
      <c r="AD211" s="175"/>
      <c r="AE211" s="175"/>
      <c r="AF211" s="175"/>
      <c r="AG211" s="175"/>
      <c r="AH211" s="175"/>
      <c r="AI211" s="175"/>
      <c r="AJ211" s="175"/>
      <c r="AK211" s="175"/>
      <c r="AL211" s="175"/>
      <c r="AM211" s="175"/>
      <c r="AN211" s="175"/>
      <c r="AO211" s="175"/>
      <c r="AP211" s="175"/>
      <c r="AQ211" s="175"/>
      <c r="AR211" s="175"/>
      <c r="AS211" s="175"/>
      <c r="AT211" s="175"/>
      <c r="AU211" s="175"/>
      <c r="AV211" s="175"/>
      <c r="AW211" s="175"/>
      <c r="AX211" s="175"/>
      <c r="AY211" s="175"/>
      <c r="AZ211" s="175"/>
      <c r="BA211" s="175"/>
      <c r="BB211" s="175"/>
      <c r="BC211" s="175"/>
      <c r="BD211" s="175"/>
      <c r="BE211" s="175"/>
      <c r="BF211" s="175"/>
      <c r="BG211" s="175"/>
      <c r="BH211" s="175"/>
      <c r="BI211" s="175"/>
      <c r="BJ211" s="175"/>
      <c r="BK211" s="175"/>
      <c r="BL211" s="175"/>
      <c r="BM211" s="175"/>
      <c r="BN211" s="175"/>
      <c r="BO211" s="175"/>
      <c r="BP211" s="175"/>
      <c r="BQ211" s="175"/>
      <c r="BR211" s="175"/>
      <c r="BS211" s="175"/>
      <c r="BT211" s="175"/>
      <c r="BU211" s="175"/>
      <c r="BV211" s="175"/>
      <c r="BW211" s="175"/>
      <c r="BX211" s="175"/>
      <c r="BY211" s="175"/>
      <c r="BZ211" s="175"/>
      <c r="CA211" s="175"/>
      <c r="CB211" s="175"/>
      <c r="CC211" s="175"/>
      <c r="CD211" s="175"/>
      <c r="CE211" s="175"/>
    </row>
    <row r="212" spans="1:83" s="176" customFormat="1" ht="12.95" customHeight="1" x14ac:dyDescent="0.25">
      <c r="A212" s="175"/>
      <c r="B212" s="176" t="str">
        <f>VLOOKUP(222,Textbausteine_203[],Hilfsgrössen!$D$2,FALSE)</f>
        <v>2) L'indice du prix des colis repose sur les catégories «PostPac Priority» et «PostPac Economy» de 1 à 20 kg (sans les prestations complémentaires). Les colis de chaque catégorie sont pondérés selon la fréquence avec laquelle les consommateurs suisses les expédient. Pour la comparaison, on se fonde dans chaque pays sur les prix de l'actuel (ou ancien) opérateur national (jour de référence: 1er novembre 2018). Suisse = 100 (par définition).</v>
      </c>
      <c r="E212" s="175"/>
      <c r="F212" s="175"/>
      <c r="G212" s="177"/>
      <c r="H212" s="175"/>
      <c r="I212" s="175"/>
      <c r="J212" s="175"/>
      <c r="K212" s="175"/>
      <c r="L212" s="175"/>
      <c r="M212" s="175"/>
      <c r="N212" s="175"/>
      <c r="O212" s="175"/>
      <c r="P212" s="175"/>
      <c r="Q212" s="175"/>
      <c r="R212" s="175"/>
      <c r="S212" s="175"/>
      <c r="T212" s="178"/>
      <c r="U212" s="178"/>
      <c r="V212" s="178"/>
      <c r="W212" s="178"/>
      <c r="X212" s="178"/>
      <c r="Y212" s="178"/>
      <c r="Z212" s="178"/>
      <c r="AA212" s="381"/>
      <c r="AB212" s="175"/>
      <c r="AC212" s="175"/>
      <c r="AD212" s="175"/>
      <c r="AE212" s="175"/>
      <c r="AF212" s="175"/>
      <c r="AG212" s="175"/>
      <c r="AH212" s="175"/>
      <c r="AI212" s="175"/>
      <c r="AJ212" s="175"/>
      <c r="AK212" s="175"/>
      <c r="AL212" s="175"/>
      <c r="AM212" s="175"/>
      <c r="AN212" s="175"/>
      <c r="AO212" s="175"/>
      <c r="AP212" s="175"/>
      <c r="AQ212" s="175"/>
      <c r="AR212" s="175"/>
      <c r="AS212" s="175"/>
      <c r="AT212" s="175"/>
      <c r="AU212" s="175"/>
      <c r="AV212" s="175"/>
      <c r="AW212" s="175"/>
      <c r="AX212" s="175"/>
      <c r="AY212" s="175"/>
      <c r="AZ212" s="175"/>
      <c r="BA212" s="175"/>
      <c r="BB212" s="175"/>
      <c r="BC212" s="175"/>
      <c r="BD212" s="175"/>
      <c r="BE212" s="175"/>
      <c r="BF212" s="175"/>
      <c r="BG212" s="175"/>
      <c r="BH212" s="175"/>
      <c r="BI212" s="175"/>
      <c r="BJ212" s="175"/>
      <c r="BK212" s="175"/>
      <c r="BL212" s="175"/>
      <c r="BM212" s="175"/>
      <c r="BN212" s="175"/>
      <c r="BO212" s="175"/>
      <c r="BP212" s="175"/>
      <c r="BQ212" s="175"/>
      <c r="BR212" s="175"/>
      <c r="BS212" s="175"/>
      <c r="BT212" s="175"/>
      <c r="BU212" s="175"/>
      <c r="BV212" s="175"/>
      <c r="BW212" s="175"/>
      <c r="BX212" s="175"/>
      <c r="BY212" s="175"/>
      <c r="BZ212" s="175"/>
      <c r="CA212" s="175"/>
      <c r="CB212" s="175"/>
      <c r="CC212" s="175"/>
      <c r="CD212" s="175"/>
      <c r="CE212" s="175"/>
    </row>
    <row r="213" spans="1:83" s="176" customFormat="1" ht="12.95" customHeight="1" x14ac:dyDescent="0.25">
      <c r="A213" s="175"/>
      <c r="B213" s="176" t="str">
        <f>VLOOKUP(223,Textbausteine_203[],Hilfsgrössen!$D$2,FALSE)</f>
        <v>3) Valeurs de l'exercice précédent partiellement adaptées.</v>
      </c>
      <c r="E213" s="175"/>
      <c r="F213" s="175"/>
      <c r="G213" s="177"/>
      <c r="H213" s="175"/>
      <c r="I213" s="175"/>
      <c r="J213" s="175"/>
      <c r="K213" s="175"/>
      <c r="L213" s="175"/>
      <c r="M213" s="175"/>
      <c r="N213" s="175"/>
      <c r="O213" s="175"/>
      <c r="P213" s="175"/>
      <c r="Q213" s="175"/>
      <c r="R213" s="175"/>
      <c r="S213" s="175"/>
      <c r="T213" s="178"/>
      <c r="U213" s="178"/>
      <c r="V213" s="178"/>
      <c r="W213" s="178"/>
      <c r="X213" s="178"/>
      <c r="Y213" s="178"/>
      <c r="Z213" s="178"/>
      <c r="AA213" s="381"/>
      <c r="AB213" s="175"/>
      <c r="AC213" s="175"/>
      <c r="AD213" s="175"/>
      <c r="AE213" s="175"/>
      <c r="AF213" s="175"/>
      <c r="AG213" s="175"/>
      <c r="AH213" s="175"/>
      <c r="AI213" s="175"/>
      <c r="AJ213" s="175"/>
      <c r="AK213" s="175"/>
      <c r="AL213" s="175"/>
      <c r="AM213" s="175"/>
      <c r="AN213" s="175"/>
      <c r="AO213" s="175"/>
      <c r="AP213" s="175"/>
      <c r="AQ213" s="175"/>
      <c r="AR213" s="175"/>
      <c r="AS213" s="175"/>
      <c r="AT213" s="175"/>
      <c r="AU213" s="175"/>
      <c r="AV213" s="175"/>
      <c r="AW213" s="175"/>
      <c r="AX213" s="175"/>
      <c r="AY213" s="175"/>
      <c r="AZ213" s="175"/>
      <c r="BA213" s="175"/>
      <c r="BB213" s="175"/>
      <c r="BC213" s="175"/>
      <c r="BD213" s="175"/>
      <c r="BE213" s="175"/>
      <c r="BF213" s="175"/>
      <c r="BG213" s="175"/>
      <c r="BH213" s="175"/>
      <c r="BI213" s="175"/>
      <c r="BJ213" s="175"/>
      <c r="BK213" s="175"/>
      <c r="BL213" s="175"/>
      <c r="BM213" s="175"/>
      <c r="BN213" s="175"/>
      <c r="BO213" s="175"/>
      <c r="BP213" s="175"/>
      <c r="BQ213" s="175"/>
      <c r="BR213" s="175"/>
      <c r="BS213" s="175"/>
      <c r="BT213" s="175"/>
      <c r="BU213" s="175"/>
      <c r="BV213" s="175"/>
      <c r="BW213" s="175"/>
      <c r="BX213" s="175"/>
      <c r="BY213" s="175"/>
      <c r="BZ213" s="175"/>
      <c r="CA213" s="175"/>
      <c r="CB213" s="175"/>
      <c r="CC213" s="175"/>
      <c r="CD213" s="175"/>
      <c r="CE213" s="175"/>
    </row>
    <row r="214" spans="1:83" ht="12.95" customHeight="1" x14ac:dyDescent="0.2">
      <c r="AA214" s="328"/>
    </row>
    <row r="215" spans="1:83" ht="12.95" customHeight="1" x14ac:dyDescent="0.2">
      <c r="AA215" s="328"/>
    </row>
    <row r="216" spans="1:83" s="6" customFormat="1" ht="12.95" customHeight="1" x14ac:dyDescent="0.25">
      <c r="A216" s="39" t="s">
        <v>27</v>
      </c>
      <c r="B216" s="401" t="str">
        <f>$C$11</f>
        <v>Délais d'acheminement des services postaux</v>
      </c>
      <c r="C216" s="401"/>
      <c r="D216" s="6" t="str">
        <f>VLOOKUP(32,Textbausteine_Menu[],Hilfsgrössen!$D$2,FALSE)</f>
        <v>Unité</v>
      </c>
      <c r="E216" s="28" t="str">
        <f>VLOOKUP(33,Textbausteine_Menu[],Hilfsgrössen!$D$2,FALSE)</f>
        <v>Notes</v>
      </c>
      <c r="F216" s="28" t="str">
        <f>VLOOKUP(34,Textbausteine_Menu[],Hilfsgrössen!$D$2,FALSE)</f>
        <v>GRI</v>
      </c>
      <c r="G216" s="36"/>
      <c r="H216" s="7">
        <v>2004</v>
      </c>
      <c r="I216" s="7">
        <v>2005</v>
      </c>
      <c r="J216" s="7">
        <v>2006</v>
      </c>
      <c r="K216" s="7">
        <v>2007</v>
      </c>
      <c r="L216" s="7">
        <v>2008</v>
      </c>
      <c r="M216" s="7">
        <v>2009</v>
      </c>
      <c r="N216" s="7">
        <v>2010</v>
      </c>
      <c r="O216" s="7">
        <v>2011</v>
      </c>
      <c r="P216" s="7">
        <v>2012</v>
      </c>
      <c r="Q216" s="7">
        <v>2013</v>
      </c>
      <c r="R216" s="7">
        <v>2014</v>
      </c>
      <c r="S216" s="7">
        <v>2015</v>
      </c>
      <c r="T216" s="7">
        <v>2016</v>
      </c>
      <c r="U216" s="7">
        <v>2017</v>
      </c>
      <c r="V216" s="7">
        <v>2018</v>
      </c>
      <c r="W216" s="7">
        <v>2019</v>
      </c>
      <c r="X216" s="7">
        <v>2020</v>
      </c>
      <c r="Y216" s="7">
        <v>2021</v>
      </c>
      <c r="Z216" s="7">
        <v>2022</v>
      </c>
      <c r="AA216" s="375"/>
      <c r="AB216" s="28"/>
      <c r="AC216" s="28"/>
      <c r="AD216" s="28"/>
      <c r="AE216" s="28"/>
      <c r="AF216" s="28"/>
      <c r="AG216" s="28"/>
      <c r="AH216" s="28"/>
      <c r="AI216" s="28"/>
      <c r="AJ216" s="28"/>
      <c r="AK216" s="28"/>
      <c r="AL216" s="28"/>
      <c r="AM216" s="28"/>
      <c r="AN216" s="28"/>
      <c r="AO216" s="28"/>
      <c r="AP216" s="28"/>
      <c r="AQ216" s="28"/>
      <c r="AR216" s="28"/>
      <c r="AS216" s="28"/>
      <c r="AT216" s="28"/>
      <c r="AU216" s="28"/>
      <c r="AV216" s="28"/>
      <c r="AW216" s="28"/>
      <c r="AX216" s="28"/>
      <c r="AY216" s="28"/>
      <c r="AZ216" s="28"/>
      <c r="BA216" s="28"/>
      <c r="BB216" s="28"/>
      <c r="BC216" s="28"/>
      <c r="BD216" s="28"/>
      <c r="BE216" s="28"/>
      <c r="BF216" s="28"/>
      <c r="BG216" s="28"/>
      <c r="BH216" s="28"/>
      <c r="BI216" s="28"/>
      <c r="BJ216" s="28"/>
      <c r="BK216" s="28"/>
      <c r="BL216" s="28"/>
      <c r="BM216" s="28"/>
      <c r="BN216" s="28"/>
      <c r="BO216" s="28"/>
      <c r="BP216" s="28"/>
      <c r="BQ216" s="28"/>
      <c r="BR216" s="28"/>
      <c r="BS216" s="28"/>
      <c r="BT216" s="28"/>
      <c r="BU216" s="28"/>
      <c r="BV216" s="28"/>
      <c r="BW216" s="28"/>
      <c r="BX216" s="28"/>
      <c r="BY216" s="28"/>
      <c r="BZ216" s="28"/>
      <c r="CA216" s="28"/>
      <c r="CB216" s="28"/>
      <c r="CC216" s="28"/>
      <c r="CD216" s="28"/>
      <c r="CE216" s="28"/>
    </row>
    <row r="217" spans="1:83" s="6" customFormat="1" ht="12.95" customHeight="1" x14ac:dyDescent="0.2">
      <c r="A217" s="38"/>
      <c r="B217" s="401"/>
      <c r="C217" s="401"/>
      <c r="E217" s="9"/>
      <c r="F217" s="9"/>
      <c r="G217" s="34"/>
      <c r="H217" s="7"/>
      <c r="I217" s="7"/>
      <c r="J217" s="7"/>
      <c r="K217" s="7"/>
      <c r="L217" s="68"/>
      <c r="M217" s="68"/>
      <c r="N217" s="9"/>
      <c r="O217" s="9"/>
      <c r="P217" s="9"/>
      <c r="Q217" s="9"/>
      <c r="R217" s="9"/>
      <c r="S217" s="9"/>
      <c r="T217" s="11"/>
      <c r="U217" s="11"/>
      <c r="V217" s="11"/>
      <c r="W217" s="11"/>
      <c r="X217" s="11"/>
      <c r="Y217" s="11"/>
      <c r="Z217" s="11"/>
      <c r="AA217" s="328"/>
      <c r="AB217" s="9"/>
      <c r="AC217" s="9"/>
      <c r="AD217" s="9"/>
      <c r="AE217" s="9"/>
      <c r="AF217" s="9"/>
      <c r="AG217" s="9"/>
      <c r="AH217" s="9"/>
      <c r="AI217" s="9"/>
      <c r="AJ217" s="9"/>
      <c r="AK217" s="9"/>
      <c r="AL217" s="9"/>
      <c r="AM217" s="9"/>
      <c r="AN217" s="9"/>
      <c r="AO217" s="9"/>
      <c r="AP217" s="9"/>
      <c r="AQ217" s="9"/>
      <c r="AR217" s="9"/>
      <c r="AS217" s="9"/>
      <c r="AT217" s="9"/>
      <c r="AU217" s="9"/>
      <c r="AV217" s="9"/>
      <c r="AW217" s="9"/>
      <c r="AX217" s="9"/>
      <c r="AY217" s="9"/>
      <c r="AZ217" s="9"/>
      <c r="BA217" s="9"/>
      <c r="BB217" s="9"/>
      <c r="BC217" s="9"/>
      <c r="BD217" s="9"/>
      <c r="BE217" s="9"/>
      <c r="BF217" s="9"/>
      <c r="BG217" s="9"/>
      <c r="BH217" s="9"/>
      <c r="BI217" s="9"/>
      <c r="BJ217" s="9"/>
      <c r="BK217" s="9"/>
      <c r="BL217" s="9"/>
      <c r="BM217" s="9"/>
      <c r="BN217" s="9"/>
      <c r="BO217" s="9"/>
      <c r="BP217" s="9"/>
      <c r="BQ217" s="9"/>
      <c r="BR217" s="9"/>
      <c r="BS217" s="9"/>
      <c r="BT217" s="9"/>
      <c r="BU217" s="9"/>
      <c r="BV217" s="9"/>
      <c r="BW217" s="9"/>
      <c r="BX217" s="9"/>
      <c r="BY217" s="9"/>
      <c r="BZ217" s="9"/>
      <c r="CA217" s="9"/>
      <c r="CB217" s="9"/>
      <c r="CC217" s="9"/>
      <c r="CD217" s="9"/>
      <c r="CE217" s="9"/>
    </row>
    <row r="218" spans="1:83" ht="12.95" customHeight="1" x14ac:dyDescent="0.2">
      <c r="A218" s="47"/>
      <c r="B218" s="2"/>
      <c r="E218" s="28"/>
      <c r="F218" s="28"/>
      <c r="H218" s="7"/>
      <c r="I218" s="7"/>
      <c r="J218" s="7"/>
      <c r="K218" s="7"/>
      <c r="L218" s="68"/>
      <c r="M218" s="68"/>
      <c r="AA218" s="328"/>
    </row>
    <row r="219" spans="1:83" ht="12.95" customHeight="1" x14ac:dyDescent="0.2">
      <c r="A219" s="47"/>
      <c r="B219" s="2" t="str">
        <f>VLOOKUP(37,Textbausteine_Menu[],Hilfsgrössen!$D$2,FALSE)</f>
        <v>Groupe Suisse</v>
      </c>
      <c r="E219" s="28"/>
      <c r="F219" s="28"/>
      <c r="H219" s="7"/>
      <c r="I219" s="7"/>
      <c r="J219" s="7"/>
      <c r="K219" s="7"/>
      <c r="L219" s="68"/>
      <c r="M219" s="68"/>
      <c r="AA219" s="328"/>
    </row>
    <row r="220" spans="1:83" s="6" customFormat="1" ht="12.95" customHeight="1" x14ac:dyDescent="0.2">
      <c r="A220" s="65"/>
      <c r="C220" s="6" t="str">
        <f>VLOOKUP(141,Textbausteine_203[],Hilfsgrössen!$D$2,FALSE)</f>
        <v>Lettres domestiques distribués dans les délais au destinataire</v>
      </c>
      <c r="E220" s="28"/>
      <c r="F220" s="28"/>
      <c r="G220" s="33"/>
      <c r="H220" s="28"/>
      <c r="I220" s="28"/>
      <c r="J220" s="28"/>
      <c r="K220" s="28"/>
      <c r="L220" s="28"/>
      <c r="M220" s="28"/>
      <c r="N220" s="28"/>
      <c r="O220" s="28"/>
      <c r="P220" s="28"/>
      <c r="Q220" s="28"/>
      <c r="R220" s="28"/>
      <c r="S220" s="28"/>
      <c r="T220" s="7"/>
      <c r="U220" s="7"/>
      <c r="V220" s="7"/>
      <c r="W220" s="7"/>
      <c r="X220" s="7"/>
      <c r="Y220" s="7"/>
      <c r="Z220" s="7"/>
      <c r="AA220" s="375"/>
      <c r="AB220" s="28"/>
      <c r="AC220" s="28"/>
      <c r="AD220" s="28"/>
      <c r="AE220" s="28"/>
      <c r="AF220" s="28"/>
      <c r="AG220" s="28"/>
      <c r="AH220" s="28"/>
      <c r="AI220" s="28"/>
      <c r="AJ220" s="28"/>
      <c r="AK220" s="28"/>
      <c r="AL220" s="28"/>
      <c r="AM220" s="28"/>
      <c r="AN220" s="28"/>
      <c r="AO220" s="28"/>
      <c r="AP220" s="28"/>
      <c r="AQ220" s="28"/>
      <c r="AR220" s="28"/>
      <c r="AS220" s="28"/>
      <c r="AT220" s="28"/>
      <c r="AU220" s="28"/>
      <c r="AV220" s="28"/>
      <c r="AW220" s="28"/>
      <c r="AX220" s="28"/>
      <c r="AY220" s="28"/>
      <c r="AZ220" s="28"/>
      <c r="BA220" s="28"/>
      <c r="BB220" s="28"/>
      <c r="BC220" s="28"/>
      <c r="BD220" s="28"/>
      <c r="BE220" s="28"/>
      <c r="BF220" s="28"/>
      <c r="BG220" s="28"/>
      <c r="BH220" s="28"/>
      <c r="BI220" s="28"/>
      <c r="BJ220" s="28"/>
      <c r="BK220" s="28"/>
      <c r="BL220" s="28"/>
      <c r="BM220" s="28"/>
      <c r="BN220" s="28"/>
      <c r="BO220" s="28"/>
      <c r="BP220" s="28"/>
      <c r="BQ220" s="28"/>
      <c r="BR220" s="28"/>
      <c r="BS220" s="28"/>
      <c r="BT220" s="28"/>
      <c r="BU220" s="28"/>
      <c r="BV220" s="28"/>
      <c r="BW220" s="28"/>
      <c r="BX220" s="28"/>
      <c r="BY220" s="28"/>
      <c r="BZ220" s="28"/>
      <c r="CA220" s="28"/>
      <c r="CB220" s="28"/>
      <c r="CC220" s="28"/>
      <c r="CD220" s="28"/>
      <c r="CE220" s="28"/>
    </row>
    <row r="221" spans="1:83" ht="12.95" customHeight="1" x14ac:dyDescent="0.2">
      <c r="C221" s="13" t="str">
        <f>VLOOKUP(142,Textbausteine_203[],Hilfsgrössen!$D$2,FALSE)</f>
        <v>Courrier A</v>
      </c>
      <c r="D221" s="1" t="str">
        <f>VLOOKUP(12,Textbausteine_203[],Hilfsgrössen!$D$2,FALSE)</f>
        <v>%</v>
      </c>
      <c r="E221" s="9">
        <v>1</v>
      </c>
      <c r="H221" s="9">
        <v>97.4</v>
      </c>
      <c r="I221" s="9">
        <v>97.7</v>
      </c>
      <c r="J221" s="9">
        <v>98</v>
      </c>
      <c r="K221" s="9">
        <v>97.1</v>
      </c>
      <c r="L221" s="9">
        <v>95.9</v>
      </c>
      <c r="M221" s="9">
        <v>97.7</v>
      </c>
      <c r="N221" s="9">
        <v>97.2</v>
      </c>
      <c r="O221" s="9">
        <v>97.5</v>
      </c>
      <c r="P221" s="9">
        <v>97.9</v>
      </c>
      <c r="Q221" s="9">
        <v>97.6</v>
      </c>
      <c r="R221" s="9">
        <v>97.7</v>
      </c>
      <c r="S221" s="9">
        <v>97.8</v>
      </c>
      <c r="T221" s="11">
        <v>98</v>
      </c>
      <c r="U221" s="11">
        <v>97.6</v>
      </c>
      <c r="V221" s="11">
        <v>97.4</v>
      </c>
      <c r="W221" s="11">
        <v>98</v>
      </c>
      <c r="X221" s="11">
        <v>98</v>
      </c>
      <c r="Y221" s="11">
        <v>97</v>
      </c>
      <c r="Z221" s="11">
        <v>97.2</v>
      </c>
      <c r="AA221" s="328"/>
    </row>
    <row r="222" spans="1:83" ht="12.95" customHeight="1" x14ac:dyDescent="0.2">
      <c r="C222" s="13" t="str">
        <f>VLOOKUP(143,Textbausteine_203[],Hilfsgrössen!$D$2,FALSE)</f>
        <v>Courrier B</v>
      </c>
      <c r="D222" s="1" t="str">
        <f>VLOOKUP(12,Textbausteine_203[],Hilfsgrössen!$D$2,FALSE)</f>
        <v>%</v>
      </c>
      <c r="E222" s="9">
        <v>1</v>
      </c>
      <c r="H222" s="9">
        <v>97.4</v>
      </c>
      <c r="I222" s="9">
        <v>98.2</v>
      </c>
      <c r="J222" s="9">
        <v>98.3</v>
      </c>
      <c r="K222" s="9">
        <v>96.7</v>
      </c>
      <c r="L222" s="9">
        <v>95.9</v>
      </c>
      <c r="M222" s="9">
        <v>98.4</v>
      </c>
      <c r="N222" s="9">
        <v>98.5</v>
      </c>
      <c r="O222" s="9">
        <v>99.3</v>
      </c>
      <c r="P222" s="9">
        <v>98.8</v>
      </c>
      <c r="Q222" s="9">
        <v>98.8</v>
      </c>
      <c r="R222" s="9">
        <v>99</v>
      </c>
      <c r="S222" s="9">
        <v>98.9</v>
      </c>
      <c r="T222" s="11">
        <v>98.9</v>
      </c>
      <c r="U222" s="11">
        <v>99</v>
      </c>
      <c r="V222" s="11">
        <v>98.9</v>
      </c>
      <c r="W222" s="11">
        <v>99.3</v>
      </c>
      <c r="X222" s="11">
        <v>99.2</v>
      </c>
      <c r="Y222" s="11">
        <v>99.3</v>
      </c>
      <c r="Z222" s="11">
        <v>99.3</v>
      </c>
      <c r="AA222" s="328"/>
    </row>
    <row r="223" spans="1:83" ht="12.95" customHeight="1" x14ac:dyDescent="0.2">
      <c r="AA223" s="328"/>
    </row>
    <row r="224" spans="1:83" s="6" customFormat="1" ht="12.95" customHeight="1" x14ac:dyDescent="0.2">
      <c r="A224" s="65"/>
      <c r="C224" s="6" t="str">
        <f>VLOOKUP(144,Textbausteine_203[],Hilfsgrössen!$D$2,FALSE)</f>
        <v>Colis domestiques distribués dans les délais au destinataire</v>
      </c>
      <c r="E224" s="28"/>
      <c r="F224" s="28"/>
      <c r="G224" s="33"/>
      <c r="H224" s="28"/>
      <c r="I224" s="28"/>
      <c r="J224" s="28"/>
      <c r="K224" s="28"/>
      <c r="L224" s="28"/>
      <c r="M224" s="28"/>
      <c r="N224" s="28"/>
      <c r="O224" s="28"/>
      <c r="P224" s="28"/>
      <c r="Q224" s="28"/>
      <c r="R224" s="28"/>
      <c r="S224" s="28"/>
      <c r="T224" s="7"/>
      <c r="U224" s="7"/>
      <c r="V224" s="7"/>
      <c r="W224" s="7"/>
      <c r="X224" s="7"/>
      <c r="Y224" s="11"/>
      <c r="Z224" s="11"/>
      <c r="AA224" s="375"/>
      <c r="AB224" s="28"/>
      <c r="AC224" s="28"/>
      <c r="AD224" s="28"/>
      <c r="AE224" s="28"/>
      <c r="AF224" s="28"/>
      <c r="AG224" s="28"/>
      <c r="AH224" s="28"/>
      <c r="AI224" s="28"/>
      <c r="AJ224" s="28"/>
      <c r="AK224" s="28"/>
      <c r="AL224" s="28"/>
      <c r="AM224" s="28"/>
      <c r="AN224" s="28"/>
      <c r="AO224" s="28"/>
      <c r="AP224" s="28"/>
      <c r="AQ224" s="28"/>
      <c r="AR224" s="28"/>
      <c r="AS224" s="28"/>
      <c r="AT224" s="28"/>
      <c r="AU224" s="28"/>
      <c r="AV224" s="28"/>
      <c r="AW224" s="28"/>
      <c r="AX224" s="28"/>
      <c r="AY224" s="28"/>
      <c r="AZ224" s="28"/>
      <c r="BA224" s="28"/>
      <c r="BB224" s="28"/>
      <c r="BC224" s="28"/>
      <c r="BD224" s="28"/>
      <c r="BE224" s="28"/>
      <c r="BF224" s="28"/>
      <c r="BG224" s="28"/>
      <c r="BH224" s="28"/>
      <c r="BI224" s="28"/>
      <c r="BJ224" s="28"/>
      <c r="BK224" s="28"/>
      <c r="BL224" s="28"/>
      <c r="BM224" s="28"/>
      <c r="BN224" s="28"/>
      <c r="BO224" s="28"/>
      <c r="BP224" s="28"/>
      <c r="BQ224" s="28"/>
      <c r="BR224" s="28"/>
      <c r="BS224" s="28"/>
      <c r="BT224" s="28"/>
      <c r="BU224" s="28"/>
      <c r="BV224" s="28"/>
      <c r="BW224" s="28"/>
      <c r="BX224" s="28"/>
      <c r="BY224" s="28"/>
      <c r="BZ224" s="28"/>
      <c r="CA224" s="28"/>
      <c r="CB224" s="28"/>
      <c r="CC224" s="28"/>
      <c r="CD224" s="28"/>
      <c r="CE224" s="28"/>
    </row>
    <row r="225" spans="1:83" ht="12.95" customHeight="1" x14ac:dyDescent="0.2">
      <c r="C225" s="13" t="str">
        <f>VLOOKUP(145,Textbausteine_203[],Hilfsgrössen!$D$2,FALSE)</f>
        <v>PostPac Priority</v>
      </c>
      <c r="D225" s="1" t="str">
        <f>VLOOKUP(12,Textbausteine_203[],Hilfsgrössen!$D$2,FALSE)</f>
        <v>%</v>
      </c>
      <c r="E225" s="9">
        <v>1</v>
      </c>
      <c r="H225" s="9">
        <v>95.8</v>
      </c>
      <c r="I225" s="9">
        <v>97.4</v>
      </c>
      <c r="J225" s="9">
        <v>97.3</v>
      </c>
      <c r="K225" s="9">
        <v>97.6</v>
      </c>
      <c r="L225" s="9">
        <v>98</v>
      </c>
      <c r="M225" s="9">
        <v>97.8</v>
      </c>
      <c r="N225" s="9">
        <v>97.7</v>
      </c>
      <c r="O225" s="9">
        <v>97.4</v>
      </c>
      <c r="P225" s="9">
        <v>97.7</v>
      </c>
      <c r="Q225" s="9">
        <v>97.3</v>
      </c>
      <c r="R225" s="9">
        <v>97.4</v>
      </c>
      <c r="S225" s="9">
        <v>97.5</v>
      </c>
      <c r="T225" s="11">
        <v>98.1</v>
      </c>
      <c r="U225" s="11">
        <v>96</v>
      </c>
      <c r="V225" s="11">
        <v>97.2</v>
      </c>
      <c r="W225" s="11">
        <v>95.3</v>
      </c>
      <c r="X225" s="11">
        <v>95.4</v>
      </c>
      <c r="Y225" s="11">
        <v>95</v>
      </c>
      <c r="Z225" s="11">
        <v>95.7</v>
      </c>
      <c r="AA225" s="328"/>
    </row>
    <row r="226" spans="1:83" ht="12.95" customHeight="1" x14ac:dyDescent="0.2">
      <c r="C226" s="13" t="str">
        <f>VLOOKUP(146,Textbausteine_203[],Hilfsgrössen!$D$2,FALSE)</f>
        <v>PostPac Economy</v>
      </c>
      <c r="D226" s="1" t="str">
        <f>VLOOKUP(12,Textbausteine_203[],Hilfsgrössen!$D$2,FALSE)</f>
        <v>%</v>
      </c>
      <c r="E226" s="9">
        <v>1</v>
      </c>
      <c r="H226" s="9">
        <v>97.7</v>
      </c>
      <c r="I226" s="9">
        <v>97.7</v>
      </c>
      <c r="J226" s="9">
        <v>97.6</v>
      </c>
      <c r="K226" s="9">
        <v>97.5</v>
      </c>
      <c r="L226" s="9">
        <v>98.7</v>
      </c>
      <c r="M226" s="9">
        <v>98.1</v>
      </c>
      <c r="N226" s="9">
        <v>97.5</v>
      </c>
      <c r="O226" s="9">
        <v>97.7</v>
      </c>
      <c r="P226" s="9">
        <v>97.9</v>
      </c>
      <c r="Q226" s="9">
        <v>97.7</v>
      </c>
      <c r="R226" s="9">
        <v>97.5</v>
      </c>
      <c r="S226" s="9">
        <v>97.5</v>
      </c>
      <c r="T226" s="11">
        <v>97.2</v>
      </c>
      <c r="U226" s="11">
        <v>97.5</v>
      </c>
      <c r="V226" s="11">
        <v>97.7</v>
      </c>
      <c r="W226" s="11">
        <v>95.9</v>
      </c>
      <c r="X226" s="11">
        <v>95.5</v>
      </c>
      <c r="Y226" s="11">
        <v>95.9</v>
      </c>
      <c r="Z226" s="11">
        <v>96.9</v>
      </c>
      <c r="AA226" s="328"/>
    </row>
    <row r="227" spans="1:83" ht="12.95" customHeight="1" x14ac:dyDescent="0.2">
      <c r="AA227" s="328"/>
    </row>
    <row r="228" spans="1:83" s="176" customFormat="1" ht="12.95" customHeight="1" x14ac:dyDescent="0.25">
      <c r="A228" s="175"/>
      <c r="B228" s="176" t="str">
        <f>VLOOKUP(231,Textbausteine_203[],Hilfsgrössen!$D$2,FALSE)</f>
        <v>1) Distribué dans les délais au destinataire signifie, pour le courrier A (Priority), le jour ouvrable suivant le dépôt et, pour le courrier B (Economy), au plus tard trois jours ouvrables après le dépôt.</v>
      </c>
      <c r="E228" s="175"/>
      <c r="F228" s="175"/>
      <c r="G228" s="177"/>
      <c r="H228" s="175"/>
      <c r="I228" s="175"/>
      <c r="J228" s="175"/>
      <c r="K228" s="175"/>
      <c r="L228" s="175"/>
      <c r="M228" s="175"/>
      <c r="N228" s="175"/>
      <c r="O228" s="175"/>
      <c r="P228" s="175"/>
      <c r="Q228" s="175"/>
      <c r="R228" s="175"/>
      <c r="S228" s="175"/>
      <c r="T228" s="178"/>
      <c r="U228" s="178"/>
      <c r="V228" s="178"/>
      <c r="W228" s="178"/>
      <c r="X228" s="178"/>
      <c r="Y228" s="178"/>
      <c r="Z228" s="178"/>
      <c r="AA228" s="381"/>
      <c r="AB228" s="175"/>
      <c r="AC228" s="175"/>
      <c r="AD228" s="175"/>
      <c r="AE228" s="175"/>
      <c r="AF228" s="175"/>
      <c r="AG228" s="175"/>
      <c r="AH228" s="175"/>
      <c r="AI228" s="175"/>
      <c r="AJ228" s="175"/>
      <c r="AK228" s="175"/>
      <c r="AL228" s="175"/>
      <c r="AM228" s="175"/>
      <c r="AN228" s="175"/>
      <c r="AO228" s="175"/>
      <c r="AP228" s="175"/>
      <c r="AQ228" s="175"/>
      <c r="AR228" s="175"/>
      <c r="AS228" s="175"/>
      <c r="AT228" s="175"/>
      <c r="AU228" s="175"/>
      <c r="AV228" s="175"/>
      <c r="AW228" s="175"/>
      <c r="AX228" s="175"/>
      <c r="AY228" s="175"/>
      <c r="AZ228" s="175"/>
      <c r="BA228" s="175"/>
      <c r="BB228" s="175"/>
      <c r="BC228" s="175"/>
      <c r="BD228" s="175"/>
      <c r="BE228" s="175"/>
      <c r="BF228" s="175"/>
      <c r="BG228" s="175"/>
      <c r="BH228" s="175"/>
      <c r="BI228" s="175"/>
      <c r="BJ228" s="175"/>
      <c r="BK228" s="175"/>
      <c r="BL228" s="175"/>
      <c r="BM228" s="175"/>
      <c r="BN228" s="175"/>
      <c r="BO228" s="175"/>
      <c r="BP228" s="175"/>
      <c r="BQ228" s="175"/>
      <c r="BR228" s="175"/>
      <c r="BS228" s="175"/>
      <c r="BT228" s="175"/>
      <c r="BU228" s="175"/>
      <c r="BV228" s="175"/>
      <c r="BW228" s="175"/>
      <c r="BX228" s="175"/>
      <c r="BY228" s="175"/>
      <c r="BZ228" s="175"/>
      <c r="CA228" s="175"/>
      <c r="CB228" s="175"/>
      <c r="CC228" s="175"/>
      <c r="CD228" s="175"/>
      <c r="CE228" s="175"/>
    </row>
    <row r="229" spans="1:83" ht="12.95" customHeight="1" x14ac:dyDescent="0.2">
      <c r="AA229" s="328"/>
    </row>
    <row r="230" spans="1:83" ht="12.95" customHeight="1" x14ac:dyDescent="0.2">
      <c r="AA230" s="328"/>
    </row>
    <row r="231" spans="1:83" s="6" customFormat="1" ht="12.95" customHeight="1" x14ac:dyDescent="0.25">
      <c r="A231" s="39" t="s">
        <v>27</v>
      </c>
      <c r="B231" s="401" t="str">
        <f>$C$12</f>
        <v>Temps d'attente dans les filiales</v>
      </c>
      <c r="C231" s="401"/>
      <c r="D231" s="6" t="str">
        <f>VLOOKUP(32,Textbausteine_Menu[],Hilfsgrössen!$D$2,FALSE)</f>
        <v>Unité</v>
      </c>
      <c r="E231" s="28" t="str">
        <f>VLOOKUP(33,Textbausteine_Menu[],Hilfsgrössen!$D$2,FALSE)</f>
        <v>Notes</v>
      </c>
      <c r="F231" s="28" t="str">
        <f>VLOOKUP(34,Textbausteine_Menu[],Hilfsgrössen!$D$2,FALSE)</f>
        <v>GRI</v>
      </c>
      <c r="G231" s="36"/>
      <c r="H231" s="7">
        <v>2004</v>
      </c>
      <c r="I231" s="7">
        <v>2005</v>
      </c>
      <c r="J231" s="7">
        <v>2006</v>
      </c>
      <c r="K231" s="7">
        <v>2007</v>
      </c>
      <c r="L231" s="7">
        <v>2008</v>
      </c>
      <c r="M231" s="7">
        <v>2009</v>
      </c>
      <c r="N231" s="7">
        <v>2010</v>
      </c>
      <c r="O231" s="7">
        <v>2011</v>
      </c>
      <c r="P231" s="7">
        <v>2012</v>
      </c>
      <c r="Q231" s="7">
        <v>2013</v>
      </c>
      <c r="R231" s="7">
        <v>2014</v>
      </c>
      <c r="S231" s="7">
        <v>2015</v>
      </c>
      <c r="T231" s="7">
        <v>2016</v>
      </c>
      <c r="U231" s="7">
        <v>2017</v>
      </c>
      <c r="V231" s="7">
        <v>2018</v>
      </c>
      <c r="W231" s="7">
        <v>2019</v>
      </c>
      <c r="X231" s="7">
        <v>2020</v>
      </c>
      <c r="Y231" s="7">
        <v>2021</v>
      </c>
      <c r="Z231" s="7">
        <v>2022</v>
      </c>
      <c r="AA231" s="375"/>
      <c r="AB231" s="28"/>
      <c r="AC231" s="28"/>
      <c r="AD231" s="28"/>
      <c r="AE231" s="28"/>
      <c r="AF231" s="28"/>
      <c r="AG231" s="28"/>
      <c r="AH231" s="28"/>
      <c r="AI231" s="28"/>
      <c r="AJ231" s="28"/>
      <c r="AK231" s="28"/>
      <c r="AL231" s="28"/>
      <c r="AM231" s="28"/>
      <c r="AN231" s="28"/>
      <c r="AO231" s="28"/>
      <c r="AP231" s="28"/>
      <c r="AQ231" s="28"/>
      <c r="AR231" s="28"/>
      <c r="AS231" s="28"/>
      <c r="AT231" s="28"/>
      <c r="AU231" s="28"/>
      <c r="AV231" s="28"/>
      <c r="AW231" s="28"/>
      <c r="AX231" s="28"/>
      <c r="AY231" s="28"/>
      <c r="AZ231" s="28"/>
      <c r="BA231" s="28"/>
      <c r="BB231" s="28"/>
      <c r="BC231" s="28"/>
      <c r="BD231" s="28"/>
      <c r="BE231" s="28"/>
      <c r="BF231" s="28"/>
      <c r="BG231" s="28"/>
      <c r="BH231" s="28"/>
      <c r="BI231" s="28"/>
      <c r="BJ231" s="28"/>
      <c r="BK231" s="28"/>
      <c r="BL231" s="28"/>
      <c r="BM231" s="28"/>
      <c r="BN231" s="28"/>
      <c r="BO231" s="28"/>
      <c r="BP231" s="28"/>
      <c r="BQ231" s="28"/>
      <c r="BR231" s="28"/>
      <c r="BS231" s="28"/>
      <c r="BT231" s="28"/>
      <c r="BU231" s="28"/>
      <c r="BV231" s="28"/>
      <c r="BW231" s="28"/>
      <c r="BX231" s="28"/>
      <c r="BY231" s="28"/>
      <c r="BZ231" s="28"/>
      <c r="CA231" s="28"/>
      <c r="CB231" s="28"/>
      <c r="CC231" s="28"/>
      <c r="CD231" s="28"/>
      <c r="CE231" s="28"/>
    </row>
    <row r="232" spans="1:83" s="6" customFormat="1" ht="12.95" customHeight="1" x14ac:dyDescent="0.2">
      <c r="A232" s="38"/>
      <c r="B232" s="401"/>
      <c r="C232" s="401"/>
      <c r="E232" s="9"/>
      <c r="F232" s="9"/>
      <c r="G232" s="34"/>
      <c r="H232" s="7"/>
      <c r="I232" s="7"/>
      <c r="J232" s="7"/>
      <c r="K232" s="7"/>
      <c r="L232" s="68"/>
      <c r="M232" s="68"/>
      <c r="N232" s="9"/>
      <c r="O232" s="9"/>
      <c r="P232" s="9"/>
      <c r="Q232" s="9"/>
      <c r="R232" s="9"/>
      <c r="S232" s="9"/>
      <c r="T232" s="11"/>
      <c r="U232" s="11"/>
      <c r="V232" s="11"/>
      <c r="W232" s="11"/>
      <c r="X232" s="11"/>
      <c r="Y232" s="11"/>
      <c r="Z232" s="11"/>
      <c r="AA232" s="328"/>
      <c r="AB232" s="9"/>
      <c r="AC232" s="9"/>
      <c r="AD232" s="9"/>
      <c r="AE232" s="9"/>
      <c r="AF232" s="9"/>
      <c r="AG232" s="9"/>
      <c r="AH232" s="9"/>
      <c r="AI232" s="9"/>
      <c r="AJ232" s="9"/>
      <c r="AK232" s="9"/>
      <c r="AL232" s="9"/>
      <c r="AM232" s="9"/>
      <c r="AN232" s="9"/>
      <c r="AO232" s="9"/>
      <c r="AP232" s="9"/>
      <c r="AQ232" s="9"/>
      <c r="AR232" s="9"/>
      <c r="AS232" s="9"/>
      <c r="AT232" s="9"/>
      <c r="AU232" s="9"/>
      <c r="AV232" s="9"/>
      <c r="AW232" s="9"/>
      <c r="AX232" s="9"/>
      <c r="AY232" s="9"/>
      <c r="AZ232" s="9"/>
      <c r="BA232" s="9"/>
      <c r="BB232" s="9"/>
      <c r="BC232" s="9"/>
      <c r="BD232" s="9"/>
      <c r="BE232" s="9"/>
      <c r="BF232" s="9"/>
      <c r="BG232" s="9"/>
      <c r="BH232" s="9"/>
      <c r="BI232" s="9"/>
      <c r="BJ232" s="9"/>
      <c r="BK232" s="9"/>
      <c r="BL232" s="9"/>
      <c r="BM232" s="9"/>
      <c r="BN232" s="9"/>
      <c r="BO232" s="9"/>
      <c r="BP232" s="9"/>
      <c r="BQ232" s="9"/>
      <c r="BR232" s="9"/>
      <c r="BS232" s="9"/>
      <c r="BT232" s="9"/>
      <c r="BU232" s="9"/>
      <c r="BV232" s="9"/>
      <c r="BW232" s="9"/>
      <c r="BX232" s="9"/>
      <c r="BY232" s="9"/>
      <c r="BZ232" s="9"/>
      <c r="CA232" s="9"/>
      <c r="CB232" s="9"/>
      <c r="CC232" s="9"/>
      <c r="CD232" s="9"/>
      <c r="CE232" s="9"/>
    </row>
    <row r="233" spans="1:83" ht="12.95" customHeight="1" x14ac:dyDescent="0.2">
      <c r="A233" s="47"/>
      <c r="B233" s="2"/>
      <c r="E233" s="28"/>
      <c r="F233" s="28"/>
      <c r="H233" s="7"/>
      <c r="I233" s="7"/>
      <c r="J233" s="7"/>
      <c r="K233" s="7"/>
      <c r="L233" s="68"/>
      <c r="M233" s="68"/>
      <c r="AA233" s="328"/>
    </row>
    <row r="234" spans="1:83" ht="12.95" customHeight="1" x14ac:dyDescent="0.2">
      <c r="A234" s="47"/>
      <c r="B234" s="2" t="str">
        <f>VLOOKUP(37,Textbausteine_Menu[],Hilfsgrössen!$D$2,FALSE)</f>
        <v>Groupe Suisse</v>
      </c>
      <c r="E234" s="28"/>
      <c r="F234" s="28"/>
      <c r="H234" s="7"/>
      <c r="I234" s="7"/>
      <c r="J234" s="7"/>
      <c r="K234" s="7"/>
      <c r="L234" s="68"/>
      <c r="M234" s="68"/>
      <c r="AA234" s="328"/>
    </row>
    <row r="235" spans="1:83" s="6" customFormat="1" ht="12.95" customHeight="1" x14ac:dyDescent="0.2">
      <c r="A235" s="65"/>
      <c r="C235" s="6" t="str">
        <f>VLOOKUP(151,Textbausteine_203[],Hilfsgrössen!$D$2,FALSE)</f>
        <v>Temps d'attente au guichet</v>
      </c>
      <c r="E235" s="28"/>
      <c r="F235" s="28"/>
      <c r="G235" s="33"/>
      <c r="H235" s="28"/>
      <c r="I235" s="28"/>
      <c r="J235" s="28"/>
      <c r="K235" s="28"/>
      <c r="L235" s="28"/>
      <c r="M235" s="28"/>
      <c r="N235" s="28"/>
      <c r="O235" s="28"/>
      <c r="P235" s="28"/>
      <c r="Q235" s="28"/>
      <c r="R235" s="28"/>
      <c r="S235" s="28"/>
      <c r="T235" s="7"/>
      <c r="U235" s="7"/>
      <c r="V235" s="7"/>
      <c r="W235" s="7"/>
      <c r="X235" s="7"/>
      <c r="Y235" s="7"/>
      <c r="Z235" s="7"/>
      <c r="AA235" s="375"/>
      <c r="AB235" s="28"/>
      <c r="AC235" s="28"/>
      <c r="AD235" s="28"/>
      <c r="AE235" s="28"/>
      <c r="AF235" s="28"/>
      <c r="AG235" s="28"/>
      <c r="AH235" s="28"/>
      <c r="AI235" s="28"/>
      <c r="AJ235" s="28"/>
      <c r="AK235" s="28"/>
      <c r="AL235" s="28"/>
      <c r="AM235" s="28"/>
      <c r="AN235" s="28"/>
      <c r="AO235" s="28"/>
      <c r="AP235" s="28"/>
      <c r="AQ235" s="28"/>
      <c r="AR235" s="28"/>
      <c r="AS235" s="28"/>
      <c r="AT235" s="28"/>
      <c r="AU235" s="28"/>
      <c r="AV235" s="28"/>
      <c r="AW235" s="28"/>
      <c r="AX235" s="28"/>
      <c r="AY235" s="28"/>
      <c r="AZ235" s="28"/>
      <c r="BA235" s="28"/>
      <c r="BB235" s="28"/>
      <c r="BC235" s="28"/>
      <c r="BD235" s="28"/>
      <c r="BE235" s="28"/>
      <c r="BF235" s="28"/>
      <c r="BG235" s="28"/>
      <c r="BH235" s="28"/>
      <c r="BI235" s="28"/>
      <c r="BJ235" s="28"/>
      <c r="BK235" s="28"/>
      <c r="BL235" s="28"/>
      <c r="BM235" s="28"/>
      <c r="BN235" s="28"/>
      <c r="BO235" s="28"/>
      <c r="BP235" s="28"/>
      <c r="BQ235" s="28"/>
      <c r="BR235" s="28"/>
      <c r="BS235" s="28"/>
      <c r="BT235" s="28"/>
      <c r="BU235" s="28"/>
      <c r="BV235" s="28"/>
      <c r="BW235" s="28"/>
      <c r="BX235" s="28"/>
      <c r="BY235" s="28"/>
      <c r="BZ235" s="28"/>
      <c r="CA235" s="28"/>
      <c r="CB235" s="28"/>
      <c r="CC235" s="28"/>
      <c r="CD235" s="28"/>
      <c r="CE235" s="28"/>
    </row>
    <row r="236" spans="1:83" ht="12.95" customHeight="1" x14ac:dyDescent="0.2">
      <c r="C236" s="13" t="str">
        <f>VLOOKUP(152,Textbausteine_203[],Hilfsgrössen!$D$2,FALSE)</f>
        <v>Part de clients qui attendent moins de 7 minutes</v>
      </c>
      <c r="D236" s="1" t="str">
        <f>VLOOKUP(12,Textbausteine_203[],Hilfsgrössen!$D$2,FALSE)</f>
        <v>%</v>
      </c>
      <c r="E236" s="9" t="s">
        <v>72</v>
      </c>
      <c r="H236" s="9" t="s">
        <v>29</v>
      </c>
      <c r="I236" s="9">
        <v>95.7</v>
      </c>
      <c r="J236" s="9">
        <v>95.7</v>
      </c>
      <c r="K236" s="9">
        <v>95</v>
      </c>
      <c r="L236" s="9">
        <v>94.3</v>
      </c>
      <c r="M236" s="9">
        <v>95.399999999999991</v>
      </c>
      <c r="N236" s="9">
        <v>95.8</v>
      </c>
      <c r="O236" s="9">
        <v>95.7</v>
      </c>
      <c r="P236" s="9">
        <v>95</v>
      </c>
      <c r="Q236" s="9">
        <v>94.6</v>
      </c>
      <c r="R236" s="9">
        <v>94.899999999999991</v>
      </c>
      <c r="S236" s="9">
        <v>94.899999999999991</v>
      </c>
      <c r="T236" s="11">
        <v>95.807900000000004</v>
      </c>
      <c r="U236" s="11">
        <v>94.94</v>
      </c>
      <c r="V236" s="11">
        <v>94.74</v>
      </c>
      <c r="W236" s="11">
        <v>94.3</v>
      </c>
      <c r="X236" s="11">
        <v>92.6</v>
      </c>
      <c r="Y236" s="11" t="s">
        <v>107</v>
      </c>
      <c r="Z236" s="11">
        <v>90.9</v>
      </c>
      <c r="AA236" s="328"/>
    </row>
    <row r="237" spans="1:83" ht="12.95" customHeight="1" x14ac:dyDescent="0.2">
      <c r="C237" s="13" t="str">
        <f>VLOOKUP(153,Textbausteine_203[],Hilfsgrössen!$D$2,FALSE)</f>
        <v>Part de clients qui attendent moins de 10 minutes</v>
      </c>
      <c r="D237" s="1" t="str">
        <f>VLOOKUP(12,Textbausteine_203[],Hilfsgrössen!$D$2,FALSE)</f>
        <v>%</v>
      </c>
      <c r="E237" s="9" t="s">
        <v>72</v>
      </c>
      <c r="H237" s="9" t="s">
        <v>29</v>
      </c>
      <c r="I237" s="9">
        <v>98.6</v>
      </c>
      <c r="J237" s="9">
        <v>98.8</v>
      </c>
      <c r="K237" s="9">
        <v>98.5</v>
      </c>
      <c r="L237" s="9">
        <v>98.2</v>
      </c>
      <c r="M237" s="9">
        <v>98.6</v>
      </c>
      <c r="N237" s="9">
        <v>98.7</v>
      </c>
      <c r="O237" s="9">
        <v>98.6</v>
      </c>
      <c r="P237" s="9">
        <v>98.3</v>
      </c>
      <c r="Q237" s="9">
        <v>98</v>
      </c>
      <c r="R237" s="9">
        <v>98.2</v>
      </c>
      <c r="S237" s="9">
        <v>98.2</v>
      </c>
      <c r="T237" s="11">
        <v>98.550000000000011</v>
      </c>
      <c r="U237" s="11">
        <v>98.13</v>
      </c>
      <c r="V237" s="11">
        <v>98.11</v>
      </c>
      <c r="W237" s="11">
        <v>98</v>
      </c>
      <c r="X237" s="11">
        <v>97</v>
      </c>
      <c r="Y237" s="11" t="s">
        <v>107</v>
      </c>
      <c r="Z237" s="11">
        <v>96.6</v>
      </c>
      <c r="AA237" s="328"/>
    </row>
    <row r="238" spans="1:83" ht="12.95" customHeight="1" x14ac:dyDescent="0.2">
      <c r="AA238" s="328"/>
    </row>
    <row r="239" spans="1:83" s="176" customFormat="1" ht="12.95" customHeight="1" x14ac:dyDescent="0.25">
      <c r="A239" s="175"/>
      <c r="B239" s="176" t="str">
        <f>VLOOKUP(241,Textbausteine_203[],Hilfsgrössen!$D$2,FALSE)</f>
        <v>1) Les temps d'attente sont relevés par l'unité RéseauPostal au moyen du système de tickets dans 290 filiales.</v>
      </c>
      <c r="E239" s="175"/>
      <c r="F239" s="175"/>
      <c r="G239" s="177"/>
      <c r="H239" s="175"/>
      <c r="I239" s="175"/>
      <c r="J239" s="175"/>
      <c r="K239" s="175"/>
      <c r="L239" s="175"/>
      <c r="M239" s="175"/>
      <c r="N239" s="175"/>
      <c r="O239" s="175"/>
      <c r="P239" s="175"/>
      <c r="Q239" s="175"/>
      <c r="R239" s="175"/>
      <c r="S239" s="175"/>
      <c r="T239" s="178"/>
      <c r="U239" s="178"/>
      <c r="V239" s="178"/>
      <c r="W239" s="178"/>
      <c r="X239" s="178"/>
      <c r="Y239" s="178"/>
      <c r="Z239" s="178"/>
      <c r="AA239" s="381"/>
      <c r="AB239" s="175"/>
      <c r="AC239" s="175"/>
      <c r="AD239" s="175"/>
      <c r="AE239" s="175"/>
      <c r="AF239" s="175"/>
      <c r="AG239" s="175"/>
      <c r="AH239" s="175"/>
      <c r="AI239" s="175"/>
      <c r="AJ239" s="175"/>
      <c r="AK239" s="175"/>
      <c r="AL239" s="175"/>
      <c r="AM239" s="175"/>
      <c r="AN239" s="175"/>
      <c r="AO239" s="175"/>
      <c r="AP239" s="175"/>
      <c r="AQ239" s="175"/>
      <c r="AR239" s="175"/>
      <c r="AS239" s="175"/>
      <c r="AT239" s="175"/>
      <c r="AU239" s="175"/>
      <c r="AV239" s="175"/>
      <c r="AW239" s="175"/>
      <c r="AX239" s="175"/>
      <c r="AY239" s="175"/>
      <c r="AZ239" s="175"/>
      <c r="BA239" s="175"/>
      <c r="BB239" s="175"/>
      <c r="BC239" s="175"/>
      <c r="BD239" s="175"/>
      <c r="BE239" s="175"/>
      <c r="BF239" s="175"/>
      <c r="BG239" s="175"/>
      <c r="BH239" s="175"/>
      <c r="BI239" s="175"/>
      <c r="BJ239" s="175"/>
      <c r="BK239" s="175"/>
      <c r="BL239" s="175"/>
      <c r="BM239" s="175"/>
      <c r="BN239" s="175"/>
      <c r="BO239" s="175"/>
      <c r="BP239" s="175"/>
      <c r="BQ239" s="175"/>
      <c r="BR239" s="175"/>
      <c r="BS239" s="175"/>
      <c r="BT239" s="175"/>
      <c r="BU239" s="175"/>
      <c r="BV239" s="175"/>
      <c r="BW239" s="175"/>
      <c r="BX239" s="175"/>
      <c r="BY239" s="175"/>
      <c r="BZ239" s="175"/>
      <c r="CA239" s="175"/>
      <c r="CB239" s="175"/>
      <c r="CC239" s="175"/>
      <c r="CD239" s="175"/>
      <c r="CE239" s="175"/>
    </row>
    <row r="240" spans="1:83" s="176" customFormat="1" ht="12.95" customHeight="1" x14ac:dyDescent="0.25">
      <c r="A240" s="175"/>
      <c r="B240" s="18" t="str">
        <f>VLOOKUP(242,Textbausteine_203[],Hilfsgrössen!$D$2,FALSE)</f>
        <v xml:space="preserve">2) En raison de la pandémie de COVID-19, les systèmes à tickets ont été désactivés pendant plusieurs mois en 2021 dans la majorité des filiales. Il n’est donc pas possible d’effectuer une analyse représentative. </v>
      </c>
      <c r="E240" s="175"/>
      <c r="F240" s="175"/>
      <c r="G240" s="177"/>
      <c r="H240" s="175"/>
      <c r="I240" s="175"/>
      <c r="J240" s="175"/>
      <c r="K240" s="175"/>
      <c r="L240" s="175"/>
      <c r="M240" s="175"/>
      <c r="N240" s="175"/>
      <c r="O240" s="175"/>
      <c r="P240" s="175"/>
      <c r="Q240" s="175"/>
      <c r="R240" s="175"/>
      <c r="S240" s="175"/>
      <c r="T240" s="178"/>
      <c r="U240" s="178"/>
      <c r="V240" s="178"/>
      <c r="W240" s="178"/>
      <c r="X240" s="178"/>
      <c r="Y240" s="178"/>
      <c r="Z240" s="178"/>
      <c r="AA240" s="381"/>
      <c r="AB240" s="175"/>
      <c r="AC240" s="175"/>
      <c r="AD240" s="175"/>
      <c r="AE240" s="175"/>
      <c r="AF240" s="175"/>
      <c r="AG240" s="175"/>
      <c r="AH240" s="175"/>
      <c r="AI240" s="175"/>
      <c r="AJ240" s="175"/>
      <c r="AK240" s="175"/>
      <c r="AL240" s="175"/>
      <c r="AM240" s="175"/>
      <c r="AN240" s="175"/>
      <c r="AO240" s="175"/>
      <c r="AP240" s="175"/>
      <c r="AQ240" s="175"/>
      <c r="AR240" s="175"/>
      <c r="AS240" s="175"/>
      <c r="AT240" s="175"/>
      <c r="AU240" s="175"/>
      <c r="AV240" s="175"/>
      <c r="AW240" s="175"/>
      <c r="AX240" s="175"/>
      <c r="AY240" s="175"/>
      <c r="AZ240" s="175"/>
      <c r="BA240" s="175"/>
      <c r="BB240" s="175"/>
      <c r="BC240" s="175"/>
      <c r="BD240" s="175"/>
      <c r="BE240" s="175"/>
      <c r="BF240" s="175"/>
      <c r="BG240" s="175"/>
      <c r="BH240" s="175"/>
      <c r="BI240" s="175"/>
      <c r="BJ240" s="175"/>
      <c r="BK240" s="175"/>
      <c r="BL240" s="175"/>
      <c r="BM240" s="175"/>
      <c r="BN240" s="175"/>
      <c r="BO240" s="175"/>
      <c r="BP240" s="175"/>
      <c r="BQ240" s="175"/>
      <c r="BR240" s="175"/>
      <c r="BS240" s="175"/>
      <c r="BT240" s="175"/>
      <c r="BU240" s="175"/>
      <c r="BV240" s="175"/>
      <c r="BW240" s="175"/>
      <c r="BX240" s="175"/>
      <c r="BY240" s="175"/>
      <c r="BZ240" s="175"/>
      <c r="CA240" s="175"/>
      <c r="CB240" s="175"/>
      <c r="CC240" s="175"/>
      <c r="CD240" s="175"/>
      <c r="CE240" s="175"/>
    </row>
    <row r="241" spans="1:83" ht="12.95" customHeight="1" x14ac:dyDescent="0.2">
      <c r="AA241" s="328"/>
    </row>
    <row r="242" spans="1:83" ht="12.95" customHeight="1" x14ac:dyDescent="0.2">
      <c r="AA242" s="328"/>
    </row>
    <row r="243" spans="1:83" s="6" customFormat="1" ht="14.25" x14ac:dyDescent="0.25">
      <c r="A243" s="39" t="s">
        <v>27</v>
      </c>
      <c r="B243" s="401" t="str">
        <f>$C$13</f>
        <v>Délais de traitement des services financiers</v>
      </c>
      <c r="C243" s="401"/>
      <c r="D243" s="6" t="str">
        <f>VLOOKUP(32,Textbausteine_Menu[],Hilfsgrössen!$D$2,FALSE)</f>
        <v>Unité</v>
      </c>
      <c r="E243" s="28" t="str">
        <f>VLOOKUP(33,Textbausteine_Menu[],Hilfsgrössen!$D$2,FALSE)</f>
        <v>Notes</v>
      </c>
      <c r="F243" s="28" t="str">
        <f>VLOOKUP(34,Textbausteine_Menu[],Hilfsgrössen!$D$2,FALSE)</f>
        <v>GRI</v>
      </c>
      <c r="G243" s="36"/>
      <c r="H243" s="7">
        <v>2004</v>
      </c>
      <c r="I243" s="7">
        <v>2005</v>
      </c>
      <c r="J243" s="7">
        <v>2006</v>
      </c>
      <c r="K243" s="7">
        <v>2007</v>
      </c>
      <c r="L243" s="7">
        <v>2008</v>
      </c>
      <c r="M243" s="7">
        <v>2009</v>
      </c>
      <c r="N243" s="7">
        <v>2010</v>
      </c>
      <c r="O243" s="7">
        <v>2011</v>
      </c>
      <c r="P243" s="7">
        <v>2012</v>
      </c>
      <c r="Q243" s="7">
        <v>2013</v>
      </c>
      <c r="R243" s="7">
        <v>2014</v>
      </c>
      <c r="S243" s="7">
        <v>2015</v>
      </c>
      <c r="T243" s="7">
        <v>2016</v>
      </c>
      <c r="U243" s="7">
        <v>2017</v>
      </c>
      <c r="V243" s="7" t="s">
        <v>117</v>
      </c>
      <c r="W243" s="7">
        <v>2019</v>
      </c>
      <c r="X243" s="7">
        <v>2020</v>
      </c>
      <c r="Y243" s="7">
        <v>2021</v>
      </c>
      <c r="Z243" s="7">
        <v>2022</v>
      </c>
      <c r="AA243" s="28"/>
      <c r="AB243" s="28"/>
      <c r="AC243" s="28"/>
      <c r="AD243" s="28"/>
      <c r="AE243" s="28"/>
      <c r="AF243" s="28"/>
      <c r="AG243" s="28"/>
      <c r="AH243" s="28"/>
      <c r="AI243" s="28"/>
      <c r="AJ243" s="28"/>
      <c r="AK243" s="28"/>
      <c r="AL243" s="28"/>
      <c r="AM243" s="28"/>
      <c r="AN243" s="28"/>
      <c r="AO243" s="28"/>
      <c r="AP243" s="28"/>
      <c r="AQ243" s="28"/>
      <c r="AR243" s="28"/>
      <c r="AS243" s="28"/>
      <c r="AT243" s="28"/>
      <c r="AU243" s="28"/>
      <c r="AV243" s="28"/>
      <c r="AW243" s="28"/>
      <c r="AX243" s="28"/>
      <c r="AY243" s="28"/>
      <c r="AZ243" s="28"/>
      <c r="BA243" s="28"/>
      <c r="BB243" s="28"/>
      <c r="BC243" s="28"/>
      <c r="BD243" s="28"/>
      <c r="BE243" s="28"/>
      <c r="BF243" s="28"/>
      <c r="BG243" s="28"/>
      <c r="BH243" s="28"/>
      <c r="BI243" s="28"/>
      <c r="BJ243" s="28"/>
      <c r="BK243" s="28"/>
      <c r="BL243" s="28"/>
      <c r="BM243" s="28"/>
      <c r="BN243" s="28"/>
      <c r="BO243" s="28"/>
      <c r="BP243" s="28"/>
      <c r="BQ243" s="28"/>
      <c r="BR243" s="28"/>
      <c r="BS243" s="28"/>
      <c r="BT243" s="28"/>
      <c r="BU243" s="28"/>
      <c r="BV243" s="28"/>
      <c r="BW243" s="28"/>
      <c r="BX243" s="28"/>
      <c r="BY243" s="28"/>
      <c r="BZ243" s="28"/>
      <c r="CA243" s="28"/>
      <c r="CB243" s="28"/>
      <c r="CC243" s="28"/>
      <c r="CD243" s="28"/>
      <c r="CE243" s="28"/>
    </row>
    <row r="244" spans="1:83" s="6" customFormat="1" ht="12.95" customHeight="1" x14ac:dyDescent="0.2">
      <c r="A244" s="38"/>
      <c r="B244" s="401"/>
      <c r="C244" s="401"/>
      <c r="E244" s="9"/>
      <c r="F244" s="9"/>
      <c r="G244" s="34"/>
      <c r="H244" s="7"/>
      <c r="I244" s="7"/>
      <c r="J244" s="7"/>
      <c r="K244" s="7"/>
      <c r="L244" s="68"/>
      <c r="M244" s="68"/>
      <c r="N244" s="9"/>
      <c r="O244" s="9"/>
      <c r="P244" s="9"/>
      <c r="Q244" s="9"/>
      <c r="R244" s="9"/>
      <c r="S244" s="9"/>
      <c r="T244" s="11"/>
      <c r="U244" s="11"/>
      <c r="V244" s="11"/>
      <c r="W244" s="11"/>
      <c r="X244" s="11"/>
      <c r="Y244" s="11"/>
      <c r="Z244" s="11"/>
      <c r="AA244" s="9"/>
      <c r="AB244" s="9"/>
      <c r="AC244" s="9"/>
      <c r="AD244" s="9"/>
      <c r="AE244" s="9"/>
      <c r="AF244" s="9"/>
      <c r="AG244" s="9"/>
      <c r="AH244" s="9"/>
      <c r="AI244" s="9"/>
      <c r="AJ244" s="9"/>
      <c r="AK244" s="9"/>
      <c r="AL244" s="9"/>
      <c r="AM244" s="9"/>
      <c r="AN244" s="9"/>
      <c r="AO244" s="9"/>
      <c r="AP244" s="9"/>
      <c r="AQ244" s="9"/>
      <c r="AR244" s="9"/>
      <c r="AS244" s="9"/>
      <c r="AT244" s="9"/>
      <c r="AU244" s="9"/>
      <c r="AV244" s="9"/>
      <c r="AW244" s="9"/>
      <c r="AX244" s="9"/>
      <c r="AY244" s="9"/>
      <c r="AZ244" s="9"/>
      <c r="BA244" s="9"/>
      <c r="BB244" s="9"/>
      <c r="BC244" s="9"/>
      <c r="BD244" s="9"/>
      <c r="BE244" s="9"/>
      <c r="BF244" s="9"/>
      <c r="BG244" s="9"/>
      <c r="BH244" s="9"/>
      <c r="BI244" s="9"/>
      <c r="BJ244" s="9"/>
      <c r="BK244" s="9"/>
      <c r="BL244" s="9"/>
      <c r="BM244" s="9"/>
      <c r="BN244" s="9"/>
      <c r="BO244" s="9"/>
      <c r="BP244" s="9"/>
      <c r="BQ244" s="9"/>
      <c r="BR244" s="9"/>
      <c r="BS244" s="9"/>
      <c r="BT244" s="9"/>
      <c r="BU244" s="9"/>
      <c r="BV244" s="9"/>
      <c r="BW244" s="9"/>
      <c r="BX244" s="9"/>
      <c r="BY244" s="9"/>
      <c r="BZ244" s="9"/>
      <c r="CA244" s="9"/>
      <c r="CB244" s="9"/>
      <c r="CC244" s="9"/>
      <c r="CD244" s="9"/>
      <c r="CE244" s="9"/>
    </row>
    <row r="245" spans="1:83" ht="12.95" customHeight="1" x14ac:dyDescent="0.2">
      <c r="A245" s="47"/>
      <c r="B245" s="2"/>
      <c r="E245" s="28"/>
      <c r="F245" s="28"/>
      <c r="H245" s="7"/>
      <c r="I245" s="7"/>
      <c r="J245" s="7"/>
      <c r="K245" s="7"/>
      <c r="L245" s="68"/>
      <c r="M245" s="68"/>
    </row>
    <row r="246" spans="1:83" ht="12.95" customHeight="1" x14ac:dyDescent="0.2">
      <c r="A246" s="47"/>
      <c r="B246" s="2" t="str">
        <f>VLOOKUP(37,Textbausteine_Menu[],Hilfsgrössen!$D$2,FALSE)</f>
        <v>Groupe Suisse</v>
      </c>
      <c r="E246" s="28"/>
      <c r="F246" s="28"/>
      <c r="H246" s="7"/>
      <c r="I246" s="7"/>
      <c r="J246" s="7"/>
      <c r="K246" s="7"/>
      <c r="L246" s="68"/>
      <c r="M246" s="68"/>
    </row>
    <row r="247" spans="1:83" ht="12.95" customHeight="1" x14ac:dyDescent="0.2">
      <c r="C247" s="1" t="str">
        <f>VLOOKUP(161,Textbausteine_203[],Hilfsgrössen!$D$2,FALSE)</f>
        <v>Traitement des justificatifs des filiales le jour prévu</v>
      </c>
      <c r="D247" s="1" t="str">
        <f>VLOOKUP(12,Textbausteine_203[],Hilfsgrössen!$D$2,FALSE)</f>
        <v>%</v>
      </c>
      <c r="E247" s="9">
        <v>1</v>
      </c>
      <c r="H247" s="9" t="s">
        <v>29</v>
      </c>
      <c r="I247" s="9">
        <v>99.7</v>
      </c>
      <c r="J247" s="9">
        <v>99.9</v>
      </c>
      <c r="K247" s="9">
        <v>99.99</v>
      </c>
      <c r="L247" s="9">
        <v>99.99</v>
      </c>
      <c r="M247" s="9">
        <v>99.66</v>
      </c>
      <c r="N247" s="9">
        <v>99.99</v>
      </c>
      <c r="O247" s="9">
        <v>99.3</v>
      </c>
      <c r="P247" s="9">
        <v>99.99</v>
      </c>
      <c r="Q247" s="9">
        <v>100</v>
      </c>
      <c r="R247" s="9">
        <v>99.11</v>
      </c>
      <c r="S247" s="9">
        <v>99.87</v>
      </c>
      <c r="T247" s="11">
        <v>100</v>
      </c>
      <c r="U247" s="11">
        <v>99.57</v>
      </c>
      <c r="V247" s="11" t="s">
        <v>29</v>
      </c>
      <c r="W247" s="11" t="s">
        <v>29</v>
      </c>
      <c r="X247" s="11" t="s">
        <v>29</v>
      </c>
      <c r="Y247" s="11" t="s">
        <v>29</v>
      </c>
      <c r="Z247" s="11" t="s">
        <v>29</v>
      </c>
    </row>
    <row r="248" spans="1:83" ht="12.95" customHeight="1" x14ac:dyDescent="0.2">
      <c r="C248" s="1" t="str">
        <f>VLOOKUP(162,Textbausteine_203[],Hilfsgrössen!$D$2,FALSE)</f>
        <v>Traitement des justificatifs des ordres de paiement le jour prévu</v>
      </c>
      <c r="D248" s="1" t="str">
        <f>VLOOKUP(12,Textbausteine_203[],Hilfsgrössen!$D$2,FALSE)</f>
        <v>%</v>
      </c>
      <c r="E248" s="9">
        <v>1</v>
      </c>
      <c r="H248" s="9" t="s">
        <v>29</v>
      </c>
      <c r="I248" s="9">
        <v>98.2</v>
      </c>
      <c r="J248" s="9">
        <v>100</v>
      </c>
      <c r="K248" s="9">
        <v>99.66</v>
      </c>
      <c r="L248" s="9">
        <v>99.99</v>
      </c>
      <c r="M248" s="9">
        <v>99.81</v>
      </c>
      <c r="N248" s="9">
        <v>99.98</v>
      </c>
      <c r="O248" s="9">
        <v>98.8</v>
      </c>
      <c r="P248" s="9">
        <v>99.9</v>
      </c>
      <c r="Q248" s="9">
        <v>99.99</v>
      </c>
      <c r="R248" s="9">
        <v>99.66</v>
      </c>
      <c r="S248" s="9">
        <v>99.89</v>
      </c>
      <c r="T248" s="11">
        <v>99.94</v>
      </c>
      <c r="U248" s="11">
        <v>99.89</v>
      </c>
      <c r="V248" s="11" t="s">
        <v>29</v>
      </c>
      <c r="W248" s="11" t="s">
        <v>29</v>
      </c>
      <c r="X248" s="11" t="s">
        <v>29</v>
      </c>
      <c r="Y248" s="11" t="s">
        <v>29</v>
      </c>
      <c r="Z248" s="11" t="s">
        <v>29</v>
      </c>
    </row>
    <row r="249" spans="1:83" ht="12.95" customHeight="1" x14ac:dyDescent="0.2">
      <c r="C249" s="1" t="str">
        <f>VLOOKUP(163,Textbausteine_203[],Hilfsgrössen!$D$2,FALSE)</f>
        <v>Traitement des justificatifs des filiales (SCHAPO) le jour prévu</v>
      </c>
      <c r="D249" s="1" t="str">
        <f>VLOOKUP(12,Textbausteine_203[],Hilfsgrössen!$D$2,FALSE)</f>
        <v>%</v>
      </c>
      <c r="H249" s="9" t="s">
        <v>29</v>
      </c>
      <c r="I249" s="9" t="s">
        <v>29</v>
      </c>
      <c r="J249" s="9" t="s">
        <v>29</v>
      </c>
      <c r="K249" s="9" t="s">
        <v>29</v>
      </c>
      <c r="L249" s="9" t="s">
        <v>29</v>
      </c>
      <c r="M249" s="9" t="s">
        <v>29</v>
      </c>
      <c r="N249" s="9">
        <v>99.88</v>
      </c>
      <c r="O249" s="9">
        <v>99.68</v>
      </c>
      <c r="P249" s="9">
        <v>99.75</v>
      </c>
      <c r="Q249" s="9">
        <v>99.66</v>
      </c>
      <c r="R249" s="9">
        <v>99.89</v>
      </c>
      <c r="S249" s="9">
        <v>99.86</v>
      </c>
      <c r="T249" s="11">
        <v>99.94</v>
      </c>
      <c r="U249" s="11">
        <v>99.97</v>
      </c>
      <c r="V249" s="11" t="s">
        <v>29</v>
      </c>
      <c r="W249" s="11" t="s">
        <v>29</v>
      </c>
      <c r="X249" s="11" t="s">
        <v>29</v>
      </c>
      <c r="Y249" s="11" t="s">
        <v>29</v>
      </c>
      <c r="Z249" s="11" t="s">
        <v>29</v>
      </c>
    </row>
    <row r="251" spans="1:83" s="18" customFormat="1" ht="12.95" customHeight="1" x14ac:dyDescent="0.25">
      <c r="A251" s="172"/>
      <c r="B251" s="18" t="str">
        <f>VLOOKUP(251,Textbausteine_203[],Hilfsgrössen!$D$2,FALSE)</f>
        <v>1) Traitement le jour prévu: les ordres de paiement écrits sont traités le jour de leur réception par courrier dans l'un des Operations Centers de PostFinance. Les paiements effectués dans les filiales sont traités le jour ouvrable suivant le versement dans une filiale.</v>
      </c>
      <c r="E251" s="173"/>
      <c r="F251" s="173"/>
      <c r="G251" s="179"/>
      <c r="H251" s="173"/>
      <c r="I251" s="173"/>
      <c r="J251" s="173"/>
      <c r="K251" s="173"/>
      <c r="L251" s="173"/>
      <c r="M251" s="173"/>
      <c r="N251" s="173"/>
      <c r="O251" s="173"/>
      <c r="P251" s="173"/>
      <c r="Q251" s="173"/>
      <c r="R251" s="173"/>
      <c r="S251" s="173"/>
      <c r="T251" s="30"/>
      <c r="U251" s="30"/>
      <c r="V251" s="30"/>
      <c r="W251" s="30"/>
      <c r="X251" s="30"/>
      <c r="Y251" s="30"/>
      <c r="Z251" s="30"/>
      <c r="AA251" s="173"/>
      <c r="AB251" s="173"/>
      <c r="AC251" s="173"/>
      <c r="AD251" s="173"/>
      <c r="AE251" s="173"/>
      <c r="AF251" s="173"/>
      <c r="AG251" s="173"/>
      <c r="AH251" s="173"/>
      <c r="AI251" s="173"/>
      <c r="AJ251" s="173"/>
      <c r="AK251" s="173"/>
      <c r="AL251" s="173"/>
      <c r="AM251" s="173"/>
      <c r="AN251" s="173"/>
      <c r="AO251" s="173"/>
      <c r="AP251" s="173"/>
      <c r="AQ251" s="173"/>
      <c r="AR251" s="173"/>
      <c r="AS251" s="173"/>
      <c r="AT251" s="173"/>
      <c r="AU251" s="173"/>
      <c r="AV251" s="173"/>
      <c r="AW251" s="173"/>
      <c r="AX251" s="173"/>
      <c r="AY251" s="173"/>
      <c r="AZ251" s="173"/>
      <c r="BA251" s="173"/>
      <c r="BB251" s="173"/>
      <c r="BC251" s="173"/>
      <c r="BD251" s="173"/>
      <c r="BE251" s="173"/>
      <c r="BF251" s="173"/>
      <c r="BG251" s="173"/>
      <c r="BH251" s="173"/>
      <c r="BI251" s="173"/>
      <c r="BJ251" s="173"/>
      <c r="BK251" s="173"/>
      <c r="BL251" s="173"/>
      <c r="BM251" s="173"/>
      <c r="BN251" s="173"/>
      <c r="BO251" s="173"/>
      <c r="BP251" s="173"/>
      <c r="BQ251" s="173"/>
      <c r="BR251" s="173"/>
      <c r="BS251" s="173"/>
      <c r="BT251" s="173"/>
      <c r="BU251" s="173"/>
      <c r="BV251" s="173"/>
      <c r="BW251" s="173"/>
      <c r="BX251" s="173"/>
      <c r="BY251" s="173"/>
      <c r="BZ251" s="173"/>
      <c r="CA251" s="173"/>
      <c r="CB251" s="173"/>
      <c r="CC251" s="173"/>
      <c r="CD251" s="173"/>
      <c r="CE251" s="173"/>
    </row>
    <row r="252" spans="1:83" ht="12.95" customHeight="1" x14ac:dyDescent="0.25">
      <c r="B252" s="18" t="str">
        <f>VLOOKUP(252,Textbausteine_203[],Hilfsgrössen!$D$2,FALSE)</f>
        <v>2) Le relevé du traitement le jour prévu de titres de paiement a été suspendu en 2018.</v>
      </c>
    </row>
    <row r="253" spans="1:83" ht="13.5" x14ac:dyDescent="0.25">
      <c r="B253" s="18"/>
      <c r="C253" s="97"/>
    </row>
  </sheetData>
  <sheetProtection algorithmName="SHA-512" hashValue="oKwxvvl/Hz3cRfmhlxM5voTqAC0R0TfOpLs7EyiEYykJVp8pdlAKsMwm/ZCMNsguiiE7kNBV7lhZzrV/508G5g==" saltValue="5kNZDOskmxTGZjDlpqhQsg==" spinCount="100000" sheet="1" objects="1" scenarios="1"/>
  <mergeCells count="10">
    <mergeCell ref="B231:C232"/>
    <mergeCell ref="B243:C244"/>
    <mergeCell ref="B2:C2"/>
    <mergeCell ref="B3:C3"/>
    <mergeCell ref="B16:C17"/>
    <mergeCell ref="D2:E2"/>
    <mergeCell ref="B39:C40"/>
    <mergeCell ref="B58:C59"/>
    <mergeCell ref="B139:C140"/>
    <mergeCell ref="B216:C217"/>
  </mergeCells>
  <conditionalFormatting sqref="H16:Y19 H46:H48 H146:K146 H148:K148 Y20 H35:Y42 H49:Y50 AA146:CE146 AA148:CE148 W90:X90 H43:X45 Y30 Y34 H27:Y28 Y43:Y48 Y63:Y66 Y68 Y80:Y90 Y70:Y78 H91:Y143 H52:Y62 AB144:CE144 Y145:Y148 AB149:CE149 Y150 Y153:Y156 H158:K158 Y161 H162:Y162 AA162:CE162 AB163:CE164 H165:Y165 AB166:CE169 H171:X171 AA171:CE171 Y170:Y171 AA173:CE173 AB172:CE172 H173:X173 Y173:Y175 H159:Y160 AB178:CE180 H181:K181 Y181 AB182:CE186 Y187 H187:K187 H191:K191 AB188:CE190 Y191 H176:Y177 H193:Y194 AB196:CE197 H198:Y198 AB199:CE199 Y200:Y201 AB205:CE207 Y208 H204:Y204 H210:Y10000 AA210:CE10000 AA204:CE204 AA198:CE198 AA193:CE195 AA176:CE177 AA191:CE191 AA187:CE187 AA181:CE181 AA158:CE160 AA165:CE165 AA16:CE143">
    <cfRule type="expression" dxfId="1405" priority="946">
      <formula>AND($D16&lt;&gt;"",H$16&lt;&gt;"",H16="")</formula>
    </cfRule>
    <cfRule type="expression" dxfId="1404" priority="1025">
      <formula>AND($A16="",ABS(H16)=0)</formula>
    </cfRule>
    <cfRule type="expression" dxfId="1403" priority="1028">
      <formula>AND($A16="",ABS(H16)&lt;10)</formula>
    </cfRule>
    <cfRule type="expression" dxfId="1402" priority="1052">
      <formula>AND($A16="",ABS(H16)&lt;100)</formula>
    </cfRule>
    <cfRule type="expression" dxfId="1401" priority="1062">
      <formula>AND($A16="",ABS(H16)&gt;=100)</formula>
    </cfRule>
  </conditionalFormatting>
  <conditionalFormatting sqref="AA145:CE145 AA157:CE157">
    <cfRule type="expression" dxfId="1400" priority="1107">
      <formula>AND($D143&lt;&gt;"",AA$16&lt;&gt;"",AA145="")</formula>
    </cfRule>
    <cfRule type="expression" dxfId="1399" priority="1108">
      <formula>AND($A145="",ABS(AA145)=0)</formula>
    </cfRule>
    <cfRule type="expression" dxfId="1398" priority="1109">
      <formula>AND($A145="",ABS(AA145)&lt;10)</formula>
    </cfRule>
    <cfRule type="expression" dxfId="1397" priority="1110">
      <formula>AND($A145="",ABS(AA145)&lt;100)</formula>
    </cfRule>
    <cfRule type="expression" dxfId="1396" priority="1111">
      <formula>AND($A145="",ABS(AA145)&gt;=100)</formula>
    </cfRule>
  </conditionalFormatting>
  <conditionalFormatting sqref="AA147:CE147 AA156:CE156 AA200:CE200">
    <cfRule type="expression" dxfId="1395" priority="1112">
      <formula>AND(#REF!&lt;&gt;"",AA$16&lt;&gt;"",AA147="")</formula>
    </cfRule>
    <cfRule type="expression" dxfId="1394" priority="1113">
      <formula>AND($A147="",ABS(AA147)=0)</formula>
    </cfRule>
    <cfRule type="expression" dxfId="1393" priority="1114">
      <formula>AND($A147="",ABS(AA147)&lt;10)</formula>
    </cfRule>
    <cfRule type="expression" dxfId="1392" priority="1115">
      <formula>AND($A147="",ABS(AA147)&lt;100)</formula>
    </cfRule>
    <cfRule type="expression" dxfId="1391" priority="1116">
      <formula>AND($A147="",ABS(AA147)&gt;=100)</formula>
    </cfRule>
  </conditionalFormatting>
  <conditionalFormatting sqref="H155:K155">
    <cfRule type="expression" dxfId="1390" priority="1157">
      <formula>AND($D155&lt;&gt;"",H$16&lt;&gt;"",H155="")</formula>
    </cfRule>
    <cfRule type="expression" dxfId="1389" priority="1158">
      <formula>AND($A157="",ABS(H155)=0)</formula>
    </cfRule>
    <cfRule type="expression" dxfId="1388" priority="1159">
      <formula>AND($A157="",ABS(H155)&lt;10)</formula>
    </cfRule>
    <cfRule type="expression" dxfId="1387" priority="1160">
      <formula>AND($A157="",ABS(H155)&lt;100)</formula>
    </cfRule>
    <cfRule type="expression" dxfId="1386" priority="1161">
      <formula>AND($A157="",ABS(H155)&gt;=100)</formula>
    </cfRule>
  </conditionalFormatting>
  <conditionalFormatting sqref="AA175:CE175 AA201:CE201 AB202:CE203">
    <cfRule type="expression" dxfId="1385" priority="1167">
      <formula>AND($D174&lt;&gt;"",AA$16&lt;&gt;"",AA175="")</formula>
    </cfRule>
    <cfRule type="expression" dxfId="1384" priority="1168">
      <formula>AND($A175="",ABS(AA175)=0)</formula>
    </cfRule>
    <cfRule type="expression" dxfId="1383" priority="1169">
      <formula>AND($A175="",ABS(AA175)&lt;10)</formula>
    </cfRule>
    <cfRule type="expression" dxfId="1382" priority="1170">
      <formula>AND($A175="",ABS(AA175)&lt;100)</formula>
    </cfRule>
    <cfRule type="expression" dxfId="1381" priority="1171">
      <formula>AND($A175="",ABS(AA175)&gt;=100)</formula>
    </cfRule>
  </conditionalFormatting>
  <conditionalFormatting sqref="H174:X174 H200:X200">
    <cfRule type="expression" dxfId="1380" priority="1212">
      <formula>AND($D174&lt;&gt;"",H$16&lt;&gt;"",H174="")</formula>
    </cfRule>
    <cfRule type="expression" dxfId="1379" priority="1213">
      <formula>AND($A175="",ABS(H174)=0)</formula>
    </cfRule>
    <cfRule type="expression" dxfId="1378" priority="1214">
      <formula>AND($A175="",ABS(H174)&lt;10)</formula>
    </cfRule>
    <cfRule type="expression" dxfId="1377" priority="1215">
      <formula>AND($A175="",ABS(H174)&lt;100)</formula>
    </cfRule>
    <cfRule type="expression" dxfId="1376" priority="1216">
      <formula>AND($A175="",ABS(H174)&gt;=100)</formula>
    </cfRule>
  </conditionalFormatting>
  <conditionalFormatting sqref="AA155:CE155">
    <cfRule type="expression" dxfId="1375" priority="1397">
      <formula>AND($D156&lt;&gt;"",AA$16&lt;&gt;"",AA155="")</formula>
    </cfRule>
    <cfRule type="expression" dxfId="1374" priority="1398">
      <formula>AND($A155="",ABS(AA155)=0)</formula>
    </cfRule>
    <cfRule type="expression" dxfId="1373" priority="1399">
      <formula>AND($A155="",ABS(AA155)&lt;10)</formula>
    </cfRule>
    <cfRule type="expression" dxfId="1372" priority="1400">
      <formula>AND($A155="",ABS(AA155)&lt;100)</formula>
    </cfRule>
    <cfRule type="expression" dxfId="1371" priority="1401">
      <formula>AND($A155="",ABS(AA155)&gt;=100)</formula>
    </cfRule>
  </conditionalFormatting>
  <conditionalFormatting sqref="H156:K156">
    <cfRule type="expression" dxfId="1370" priority="1402">
      <formula>AND($D156&lt;&gt;"",H$16&lt;&gt;"",H156="")</formula>
    </cfRule>
    <cfRule type="expression" dxfId="1369" priority="1403">
      <formula>AND($A155="",ABS(H156)=0)</formula>
    </cfRule>
    <cfRule type="expression" dxfId="1368" priority="1404">
      <formula>AND($A155="",ABS(H156)&lt;10)</formula>
    </cfRule>
    <cfRule type="expression" dxfId="1367" priority="1405">
      <formula>AND($A155="",ABS(H156)&lt;100)</formula>
    </cfRule>
    <cfRule type="expression" dxfId="1366" priority="1406">
      <formula>AND($A155="",ABS(H156)&gt;=100)</formula>
    </cfRule>
  </conditionalFormatting>
  <conditionalFormatting sqref="H157:K157 H175:X175">
    <cfRule type="expression" dxfId="1365" priority="1442">
      <formula>AND($D157&lt;&gt;"",H$16&lt;&gt;"",H157="")</formula>
    </cfRule>
    <cfRule type="expression" dxfId="1364" priority="1443">
      <formula>AND(#REF!="",ABS(H157)=0)</formula>
    </cfRule>
    <cfRule type="expression" dxfId="1363" priority="1444">
      <formula>AND(#REF!="",ABS(H157)&lt;10)</formula>
    </cfRule>
    <cfRule type="expression" dxfId="1362" priority="1445">
      <formula>AND(#REF!="",ABS(H157)&lt;100)</formula>
    </cfRule>
    <cfRule type="expression" dxfId="1361" priority="1446">
      <formula>AND(#REF!="",ABS(H157)&gt;=100)</formula>
    </cfRule>
  </conditionalFormatting>
  <conditionalFormatting sqref="Y20">
    <cfRule type="expression" dxfId="1360" priority="871">
      <formula>AND($D20&lt;&gt;"",Y$16&lt;&gt;"",Y20="")</formula>
    </cfRule>
    <cfRule type="expression" dxfId="1359" priority="872">
      <formula>AND($A20="",ABS(Y20)=0)</formula>
    </cfRule>
    <cfRule type="expression" dxfId="1358" priority="873">
      <formula>AND($A20="",ABS(Y20)&lt;10)</formula>
    </cfRule>
    <cfRule type="expression" dxfId="1357" priority="874">
      <formula>AND($A20="",ABS(Y20)&lt;100)</formula>
    </cfRule>
    <cfRule type="expression" dxfId="1356" priority="875">
      <formula>AND($A20="",ABS(Y20)&gt;=100)</formula>
    </cfRule>
  </conditionalFormatting>
  <conditionalFormatting sqref="H145:K145 H147:K147 H188:K188">
    <cfRule type="expression" dxfId="1355" priority="791">
      <formula>AND($D145&lt;&gt;"",H$16&lt;&gt;"",H145="")</formula>
    </cfRule>
    <cfRule type="expression" dxfId="1354" priority="792">
      <formula>AND($A148="",ABS(H145)=0)</formula>
    </cfRule>
    <cfRule type="expression" dxfId="1353" priority="793">
      <formula>AND($A148="",ABS(H145)&lt;10)</formula>
    </cfRule>
    <cfRule type="expression" dxfId="1352" priority="794">
      <formula>AND($A148="",ABS(H145)&lt;100)</formula>
    </cfRule>
    <cfRule type="expression" dxfId="1351" priority="795">
      <formula>AND($A148="",ABS(H145)&gt;=100)</formula>
    </cfRule>
  </conditionalFormatting>
  <conditionalFormatting sqref="H153:K153">
    <cfRule type="expression" dxfId="1350" priority="1847">
      <formula>AND($D153&lt;&gt;"",H$16&lt;&gt;"",H153="")</formula>
    </cfRule>
    <cfRule type="expression" dxfId="1349" priority="1848">
      <formula>AND(#REF!="",ABS(H153)=0)</formula>
    </cfRule>
    <cfRule type="expression" dxfId="1348" priority="1849">
      <formula>AND(#REF!="",ABS(H153)&lt;10)</formula>
    </cfRule>
    <cfRule type="expression" dxfId="1347" priority="1850">
      <formula>AND(#REF!="",ABS(H153)&lt;100)</formula>
    </cfRule>
    <cfRule type="expression" dxfId="1346" priority="1851">
      <formula>AND(#REF!="",ABS(H153)&gt;=100)</formula>
    </cfRule>
  </conditionalFormatting>
  <conditionalFormatting sqref="AA150:CE150 AB151:CE152">
    <cfRule type="expression" dxfId="1345" priority="2162">
      <formula>AND($D147&lt;&gt;"",AA$16&lt;&gt;"",AA150="")</formula>
    </cfRule>
    <cfRule type="expression" dxfId="1344" priority="2163">
      <formula>AND($A150="",ABS(AA150)=0)</formula>
    </cfRule>
    <cfRule type="expression" dxfId="1343" priority="2164">
      <formula>AND($A150="",ABS(AA150)&lt;10)</formula>
    </cfRule>
    <cfRule type="expression" dxfId="1342" priority="2165">
      <formula>AND($A150="",ABS(AA150)&lt;100)</formula>
    </cfRule>
    <cfRule type="expression" dxfId="1341" priority="2166">
      <formula>AND($A150="",ABS(AA150)&gt;=100)</formula>
    </cfRule>
  </conditionalFormatting>
  <conditionalFormatting sqref="Y144">
    <cfRule type="expression" dxfId="1340" priority="411">
      <formula>AND($D144&lt;&gt;"",Y$16&lt;&gt;"",Y144="")</formula>
    </cfRule>
    <cfRule type="expression" dxfId="1339" priority="412">
      <formula>AND($A144="",ABS(Y144)=0)</formula>
    </cfRule>
    <cfRule type="expression" dxfId="1338" priority="413">
      <formula>AND($A144="",ABS(Y144)&lt;10)</formula>
    </cfRule>
    <cfRule type="expression" dxfId="1337" priority="414">
      <formula>AND($A144="",ABS(Y144)&lt;100)</formula>
    </cfRule>
    <cfRule type="expression" dxfId="1336" priority="415">
      <formula>AND($A144="",ABS(Y144)&gt;=100)</formula>
    </cfRule>
  </conditionalFormatting>
  <conditionalFormatting sqref="H144:K144">
    <cfRule type="expression" dxfId="1335" priority="416">
      <formula>AND($D144&lt;&gt;"",H$16&lt;&gt;"",H144="")</formula>
    </cfRule>
    <cfRule type="expression" dxfId="1334" priority="417">
      <formula>AND($A145="",ABS(H144)=0)</formula>
    </cfRule>
    <cfRule type="expression" dxfId="1333" priority="418">
      <formula>AND($A145="",ABS(H144)&lt;10)</formula>
    </cfRule>
    <cfRule type="expression" dxfId="1332" priority="419">
      <formula>AND($A145="",ABS(H144)&lt;100)</formula>
    </cfRule>
    <cfRule type="expression" dxfId="1331" priority="420">
      <formula>AND($A145="",ABS(H144)&gt;=100)</formula>
    </cfRule>
  </conditionalFormatting>
  <conditionalFormatting sqref="AA144">
    <cfRule type="expression" dxfId="1330" priority="421">
      <formula>AND($D145&lt;&gt;"",AA$16&lt;&gt;"",AA144="")</formula>
    </cfRule>
    <cfRule type="expression" dxfId="1329" priority="422">
      <formula>AND($A144="",ABS(AA144)=0)</formula>
    </cfRule>
    <cfRule type="expression" dxfId="1328" priority="423">
      <formula>AND($A144="",ABS(AA144)&lt;10)</formula>
    </cfRule>
    <cfRule type="expression" dxfId="1327" priority="424">
      <formula>AND($A144="",ABS(AA144)&lt;100)</formula>
    </cfRule>
    <cfRule type="expression" dxfId="1326" priority="425">
      <formula>AND($A144="",ABS(AA144)&gt;=100)</formula>
    </cfRule>
  </conditionalFormatting>
  <conditionalFormatting sqref="AA154:CE154 AA174:CE174 AA192:CE192">
    <cfRule type="expression" dxfId="1325" priority="3885">
      <formula>AND(#REF!&lt;&gt;"",AA$16&lt;&gt;"",AA154="")</formula>
    </cfRule>
    <cfRule type="expression" dxfId="1324" priority="3886">
      <formula>AND($A154="",ABS(AA154)=0)</formula>
    </cfRule>
    <cfRule type="expression" dxfId="1323" priority="3887">
      <formula>AND($A154="",ABS(AA154)&lt;10)</formula>
    </cfRule>
    <cfRule type="expression" dxfId="1322" priority="3888">
      <formula>AND($A154="",ABS(AA154)&lt;100)</formula>
    </cfRule>
    <cfRule type="expression" dxfId="1321" priority="3889">
      <formula>AND($A154="",ABS(AA154)&gt;=100)</formula>
    </cfRule>
  </conditionalFormatting>
  <conditionalFormatting sqref="H154:K154">
    <cfRule type="expression" dxfId="1320" priority="3945">
      <formula>AND($D154&lt;&gt;"",H$16&lt;&gt;"",H154="")</formula>
    </cfRule>
    <cfRule type="expression" dxfId="1319" priority="3946">
      <formula>AND(#REF!="",ABS(H154)=0)</formula>
    </cfRule>
    <cfRule type="expression" dxfId="1318" priority="3947">
      <formula>AND(#REF!="",ABS(H154)&lt;10)</formula>
    </cfRule>
    <cfRule type="expression" dxfId="1317" priority="3948">
      <formula>AND(#REF!="",ABS(H154)&lt;100)</formula>
    </cfRule>
    <cfRule type="expression" dxfId="1316" priority="3949">
      <formula>AND(#REF!="",ABS(H154)&gt;=100)</formula>
    </cfRule>
  </conditionalFormatting>
  <conditionalFormatting sqref="Y149">
    <cfRule type="expression" dxfId="1315" priority="391">
      <formula>AND($D149&lt;&gt;"",Y$16&lt;&gt;"",Y149="")</formula>
    </cfRule>
    <cfRule type="expression" dxfId="1314" priority="392">
      <formula>AND($A149="",ABS(Y149)=0)</formula>
    </cfRule>
    <cfRule type="expression" dxfId="1313" priority="393">
      <formula>AND($A149="",ABS(Y149)&lt;10)</formula>
    </cfRule>
    <cfRule type="expression" dxfId="1312" priority="394">
      <formula>AND($A149="",ABS(Y149)&lt;100)</formula>
    </cfRule>
    <cfRule type="expression" dxfId="1311" priority="395">
      <formula>AND($A149="",ABS(Y149)&gt;=100)</formula>
    </cfRule>
  </conditionalFormatting>
  <conditionalFormatting sqref="H149:K149">
    <cfRule type="expression" dxfId="1310" priority="396">
      <formula>AND($D149&lt;&gt;"",H$16&lt;&gt;"",H149="")</formula>
    </cfRule>
    <cfRule type="expression" dxfId="1309" priority="397">
      <formula>AND($A148="",ABS(H149)=0)</formula>
    </cfRule>
    <cfRule type="expression" dxfId="1308" priority="398">
      <formula>AND($A148="",ABS(H149)&lt;10)</formula>
    </cfRule>
    <cfRule type="expression" dxfId="1307" priority="399">
      <formula>AND($A148="",ABS(H149)&lt;100)</formula>
    </cfRule>
    <cfRule type="expression" dxfId="1306" priority="400">
      <formula>AND($A148="",ABS(H149)&gt;=100)</formula>
    </cfRule>
  </conditionalFormatting>
  <conditionalFormatting sqref="AA149">
    <cfRule type="expression" dxfId="1305" priority="401">
      <formula>AND($D146&lt;&gt;"",AA$16&lt;&gt;"",AA149="")</formula>
    </cfRule>
    <cfRule type="expression" dxfId="1304" priority="402">
      <formula>AND($A149="",ABS(AA149)=0)</formula>
    </cfRule>
    <cfRule type="expression" dxfId="1303" priority="403">
      <formula>AND($A149="",ABS(AA149)&lt;10)</formula>
    </cfRule>
    <cfRule type="expression" dxfId="1302" priority="404">
      <formula>AND($A149="",ABS(AA149)&lt;100)</formula>
    </cfRule>
    <cfRule type="expression" dxfId="1301" priority="405">
      <formula>AND($A149="",ABS(AA149)&gt;=100)</formula>
    </cfRule>
  </conditionalFormatting>
  <conditionalFormatting sqref="AA153:CE153 AA170:CE170 AB208:CE208">
    <cfRule type="expression" dxfId="1300" priority="4250">
      <formula>AND(#REF!&lt;&gt;"",AA$16&lt;&gt;"",AA153="")</formula>
    </cfRule>
    <cfRule type="expression" dxfId="1299" priority="4251">
      <formula>AND($A153="",ABS(AA153)=0)</formula>
    </cfRule>
    <cfRule type="expression" dxfId="1298" priority="4252">
      <formula>AND($A153="",ABS(AA153)&lt;10)</formula>
    </cfRule>
    <cfRule type="expression" dxfId="1297" priority="4253">
      <formula>AND($A153="",ABS(AA153)&lt;100)</formula>
    </cfRule>
    <cfRule type="expression" dxfId="1296" priority="4254">
      <formula>AND($A153="",ABS(AA153)&gt;=100)</formula>
    </cfRule>
  </conditionalFormatting>
  <conditionalFormatting sqref="H150:K150">
    <cfRule type="expression" dxfId="1295" priority="4295">
      <formula>AND($D150&lt;&gt;"",H$16&lt;&gt;"",H150="")</formula>
    </cfRule>
    <cfRule type="expression" dxfId="1294" priority="4296">
      <formula>AND(#REF!="",ABS(H150)=0)</formula>
    </cfRule>
    <cfRule type="expression" dxfId="1293" priority="4297">
      <formula>AND(#REF!="",ABS(H150)&lt;10)</formula>
    </cfRule>
    <cfRule type="expression" dxfId="1292" priority="4298">
      <formula>AND(#REF!="",ABS(H150)&lt;100)</formula>
    </cfRule>
    <cfRule type="expression" dxfId="1291" priority="4299">
      <formula>AND(#REF!="",ABS(H150)&gt;=100)</formula>
    </cfRule>
  </conditionalFormatting>
  <conditionalFormatting sqref="H151:K151 AA151">
    <cfRule type="expression" dxfId="1290" priority="386">
      <formula>AND($D151&lt;&gt;"",H$16&lt;&gt;"",H151="")</formula>
    </cfRule>
    <cfRule type="expression" dxfId="1289" priority="387">
      <formula>AND($A151="",ABS(H151)=0)</formula>
    </cfRule>
    <cfRule type="expression" dxfId="1288" priority="388">
      <formula>AND($A151="",ABS(H151)&lt;10)</formula>
    </cfRule>
    <cfRule type="expression" dxfId="1287" priority="389">
      <formula>AND($A151="",ABS(H151)&lt;100)</formula>
    </cfRule>
    <cfRule type="expression" dxfId="1286" priority="390">
      <formula>AND($A151="",ABS(H151)&gt;=100)</formula>
    </cfRule>
  </conditionalFormatting>
  <conditionalFormatting sqref="Y152">
    <cfRule type="expression" dxfId="1285" priority="371">
      <formula>AND($D152&lt;&gt;"",Y$16&lt;&gt;"",Y152="")</formula>
    </cfRule>
    <cfRule type="expression" dxfId="1284" priority="372">
      <formula>AND($A152="",ABS(Y152)=0)</formula>
    </cfRule>
    <cfRule type="expression" dxfId="1283" priority="373">
      <formula>AND($A152="",ABS(Y152)&lt;10)</formula>
    </cfRule>
    <cfRule type="expression" dxfId="1282" priority="374">
      <formula>AND($A152="",ABS(Y152)&lt;100)</formula>
    </cfRule>
    <cfRule type="expression" dxfId="1281" priority="375">
      <formula>AND($A152="",ABS(Y152)&gt;=100)</formula>
    </cfRule>
  </conditionalFormatting>
  <conditionalFormatting sqref="H152:K152">
    <cfRule type="expression" dxfId="1280" priority="376">
      <formula>AND($D152&lt;&gt;"",H$16&lt;&gt;"",H152="")</formula>
    </cfRule>
    <cfRule type="expression" dxfId="1279" priority="377">
      <formula>AND($A151="",ABS(H152)=0)</formula>
    </cfRule>
    <cfRule type="expression" dxfId="1278" priority="378">
      <formula>AND($A151="",ABS(H152)&lt;10)</formula>
    </cfRule>
    <cfRule type="expression" dxfId="1277" priority="379">
      <formula>AND($A151="",ABS(H152)&lt;100)</formula>
    </cfRule>
    <cfRule type="expression" dxfId="1276" priority="380">
      <formula>AND($A151="",ABS(H152)&gt;=100)</formula>
    </cfRule>
  </conditionalFormatting>
  <conditionalFormatting sqref="AA152">
    <cfRule type="expression" dxfId="1275" priority="381">
      <formula>AND(#REF!&lt;&gt;"",AA$16&lt;&gt;"",AA152="")</formula>
    </cfRule>
    <cfRule type="expression" dxfId="1274" priority="382">
      <formula>AND($A152="",ABS(AA152)=0)</formula>
    </cfRule>
    <cfRule type="expression" dxfId="1273" priority="383">
      <formula>AND($A152="",ABS(AA152)&lt;10)</formula>
    </cfRule>
    <cfRule type="expression" dxfId="1272" priority="384">
      <formula>AND($A152="",ABS(AA152)&lt;100)</formula>
    </cfRule>
    <cfRule type="expression" dxfId="1271" priority="385">
      <formula>AND($A152="",ABS(AA152)&gt;=100)</formula>
    </cfRule>
  </conditionalFormatting>
  <conditionalFormatting sqref="H163:Y163 AA163">
    <cfRule type="expression" dxfId="1270" priority="366">
      <formula>AND($D163&lt;&gt;"",H$16&lt;&gt;"",H163="")</formula>
    </cfRule>
    <cfRule type="expression" dxfId="1269" priority="367">
      <formula>AND($A163="",ABS(H163)=0)</formula>
    </cfRule>
    <cfRule type="expression" dxfId="1268" priority="368">
      <formula>AND($A163="",ABS(H163)&lt;10)</formula>
    </cfRule>
    <cfRule type="expression" dxfId="1267" priority="369">
      <formula>AND($A163="",ABS(H163)&lt;100)</formula>
    </cfRule>
    <cfRule type="expression" dxfId="1266" priority="370">
      <formula>AND($A163="",ABS(H163)&gt;=100)</formula>
    </cfRule>
  </conditionalFormatting>
  <conditionalFormatting sqref="H164:Y164 AA164">
    <cfRule type="expression" dxfId="1265" priority="361">
      <formula>AND($D164&lt;&gt;"",H$16&lt;&gt;"",H164="")</formula>
    </cfRule>
    <cfRule type="expression" dxfId="1264" priority="362">
      <formula>AND($A164="",ABS(H164)=0)</formula>
    </cfRule>
    <cfRule type="expression" dxfId="1263" priority="363">
      <formula>AND($A164="",ABS(H164)&lt;10)</formula>
    </cfRule>
    <cfRule type="expression" dxfId="1262" priority="364">
      <formula>AND($A164="",ABS(H164)&lt;100)</formula>
    </cfRule>
    <cfRule type="expression" dxfId="1261" priority="365">
      <formula>AND($A164="",ABS(H164)&gt;=100)</formula>
    </cfRule>
  </conditionalFormatting>
  <conditionalFormatting sqref="AA161:CE161">
    <cfRule type="expression" dxfId="1260" priority="4585">
      <formula>AND($D170&lt;&gt;"",AA$16&lt;&gt;"",AA161="")</formula>
    </cfRule>
    <cfRule type="expression" dxfId="1259" priority="4586">
      <formula>AND($A161="",ABS(AA161)=0)</formula>
    </cfRule>
    <cfRule type="expression" dxfId="1258" priority="4587">
      <formula>AND($A161="",ABS(AA161)&lt;10)</formula>
    </cfRule>
    <cfRule type="expression" dxfId="1257" priority="4588">
      <formula>AND($A161="",ABS(AA161)&lt;100)</formula>
    </cfRule>
    <cfRule type="expression" dxfId="1256" priority="4589">
      <formula>AND($A161="",ABS(AA161)&gt;=100)</formula>
    </cfRule>
  </conditionalFormatting>
  <conditionalFormatting sqref="H170:X170">
    <cfRule type="expression" dxfId="1255" priority="4590">
      <formula>AND($D170&lt;&gt;"",H$16&lt;&gt;"",H170="")</formula>
    </cfRule>
    <cfRule type="expression" dxfId="1254" priority="4591">
      <formula>AND($A161="",ABS(H170)=0)</formula>
    </cfRule>
    <cfRule type="expression" dxfId="1253" priority="4592">
      <formula>AND($A161="",ABS(H170)&lt;10)</formula>
    </cfRule>
    <cfRule type="expression" dxfId="1252" priority="4593">
      <formula>AND($A161="",ABS(H170)&lt;100)</formula>
    </cfRule>
    <cfRule type="expression" dxfId="1251" priority="4594">
      <formula>AND($A161="",ABS(H170)&gt;=100)</formula>
    </cfRule>
  </conditionalFormatting>
  <conditionalFormatting sqref="H166:Y166 AA166">
    <cfRule type="expression" dxfId="1250" priority="356">
      <formula>AND($D166&lt;&gt;"",H$16&lt;&gt;"",H166="")</formula>
    </cfRule>
    <cfRule type="expression" dxfId="1249" priority="357">
      <formula>AND($A166="",ABS(H166)=0)</formula>
    </cfRule>
    <cfRule type="expression" dxfId="1248" priority="358">
      <formula>AND($A166="",ABS(H166)&lt;10)</formula>
    </cfRule>
    <cfRule type="expression" dxfId="1247" priority="359">
      <formula>AND($A166="",ABS(H166)&lt;100)</formula>
    </cfRule>
    <cfRule type="expression" dxfId="1246" priority="360">
      <formula>AND($A166="",ABS(H166)&gt;=100)</formula>
    </cfRule>
  </conditionalFormatting>
  <conditionalFormatting sqref="H167:Y167 AA167">
    <cfRule type="expression" dxfId="1245" priority="351">
      <formula>AND($D167&lt;&gt;"",H$16&lt;&gt;"",H167="")</formula>
    </cfRule>
    <cfRule type="expression" dxfId="1244" priority="352">
      <formula>AND($A167="",ABS(H167)=0)</formula>
    </cfRule>
    <cfRule type="expression" dxfId="1243" priority="353">
      <formula>AND($A167="",ABS(H167)&lt;10)</formula>
    </cfRule>
    <cfRule type="expression" dxfId="1242" priority="354">
      <formula>AND($A167="",ABS(H167)&lt;100)</formula>
    </cfRule>
    <cfRule type="expression" dxfId="1241" priority="355">
      <formula>AND($A167="",ABS(H167)&gt;=100)</formula>
    </cfRule>
  </conditionalFormatting>
  <conditionalFormatting sqref="H168:Y168 AA168">
    <cfRule type="expression" dxfId="1240" priority="346">
      <formula>AND($D168&lt;&gt;"",H$16&lt;&gt;"",H168="")</formula>
    </cfRule>
    <cfRule type="expression" dxfId="1239" priority="347">
      <formula>AND($A168="",ABS(H168)=0)</formula>
    </cfRule>
    <cfRule type="expression" dxfId="1238" priority="348">
      <formula>AND($A168="",ABS(H168)&lt;10)</formula>
    </cfRule>
    <cfRule type="expression" dxfId="1237" priority="349">
      <formula>AND($A168="",ABS(H168)&lt;100)</formula>
    </cfRule>
    <cfRule type="expression" dxfId="1236" priority="350">
      <formula>AND($A168="",ABS(H168)&gt;=100)</formula>
    </cfRule>
  </conditionalFormatting>
  <conditionalFormatting sqref="Y169">
    <cfRule type="expression" dxfId="1235" priority="331">
      <formula>AND($D169&lt;&gt;"",Y$16&lt;&gt;"",Y169="")</formula>
    </cfRule>
    <cfRule type="expression" dxfId="1234" priority="332">
      <formula>AND($A169="",ABS(Y169)=0)</formula>
    </cfRule>
    <cfRule type="expression" dxfId="1233" priority="333">
      <formula>AND($A169="",ABS(Y169)&lt;10)</formula>
    </cfRule>
    <cfRule type="expression" dxfId="1232" priority="334">
      <formula>AND($A169="",ABS(Y169)&lt;100)</formula>
    </cfRule>
    <cfRule type="expression" dxfId="1231" priority="335">
      <formula>AND($A169="",ABS(Y169)&gt;=100)</formula>
    </cfRule>
  </conditionalFormatting>
  <conditionalFormatting sqref="AA169">
    <cfRule type="expression" dxfId="1230" priority="336">
      <formula>AND(#REF!&lt;&gt;"",AA$16&lt;&gt;"",AA169="")</formula>
    </cfRule>
    <cfRule type="expression" dxfId="1229" priority="337">
      <formula>AND($A169="",ABS(AA169)=0)</formula>
    </cfRule>
    <cfRule type="expression" dxfId="1228" priority="338">
      <formula>AND($A169="",ABS(AA169)&lt;10)</formula>
    </cfRule>
    <cfRule type="expression" dxfId="1227" priority="339">
      <formula>AND($A169="",ABS(AA169)&lt;100)</formula>
    </cfRule>
    <cfRule type="expression" dxfId="1226" priority="340">
      <formula>AND($A169="",ABS(AA169)&gt;=100)</formula>
    </cfRule>
  </conditionalFormatting>
  <conditionalFormatting sqref="H169:X169">
    <cfRule type="expression" dxfId="1225" priority="341">
      <formula>AND($D169&lt;&gt;"",H$16&lt;&gt;"",H169="")</formula>
    </cfRule>
    <cfRule type="expression" dxfId="1224" priority="342">
      <formula>AND($A168="",ABS(H169)=0)</formula>
    </cfRule>
    <cfRule type="expression" dxfId="1223" priority="343">
      <formula>AND($A168="",ABS(H169)&lt;10)</formula>
    </cfRule>
    <cfRule type="expression" dxfId="1222" priority="344">
      <formula>AND($A168="",ABS(H169)&lt;100)</formula>
    </cfRule>
    <cfRule type="expression" dxfId="1221" priority="345">
      <formula>AND($A168="",ABS(H169)&gt;=100)</formula>
    </cfRule>
  </conditionalFormatting>
  <conditionalFormatting sqref="Y172">
    <cfRule type="expression" dxfId="1220" priority="316">
      <formula>AND($D172&lt;&gt;"",Y$16&lt;&gt;"",Y172="")</formula>
    </cfRule>
    <cfRule type="expression" dxfId="1219" priority="317">
      <formula>AND($A172="",ABS(Y172)=0)</formula>
    </cfRule>
    <cfRule type="expression" dxfId="1218" priority="318">
      <formula>AND($A172="",ABS(Y172)&lt;10)</formula>
    </cfRule>
    <cfRule type="expression" dxfId="1217" priority="319">
      <formula>AND($A172="",ABS(Y172)&lt;100)</formula>
    </cfRule>
    <cfRule type="expression" dxfId="1216" priority="320">
      <formula>AND($A172="",ABS(Y172)&gt;=100)</formula>
    </cfRule>
  </conditionalFormatting>
  <conditionalFormatting sqref="H172:X172">
    <cfRule type="expression" dxfId="1215" priority="321">
      <formula>AND($D172&lt;&gt;"",H$16&lt;&gt;"",H172="")</formula>
    </cfRule>
    <cfRule type="expression" dxfId="1214" priority="322">
      <formula>AND($A173="",ABS(H172)=0)</formula>
    </cfRule>
    <cfRule type="expression" dxfId="1213" priority="323">
      <formula>AND($A173="",ABS(H172)&lt;10)</formula>
    </cfRule>
    <cfRule type="expression" dxfId="1212" priority="324">
      <formula>AND($A173="",ABS(H172)&lt;100)</formula>
    </cfRule>
    <cfRule type="expression" dxfId="1211" priority="325">
      <formula>AND($A173="",ABS(H172)&gt;=100)</formula>
    </cfRule>
  </conditionalFormatting>
  <conditionalFormatting sqref="AA172">
    <cfRule type="expression" dxfId="1210" priority="326">
      <formula>AND($D159&lt;&gt;"",AA$16&lt;&gt;"",AA172="")</formula>
    </cfRule>
    <cfRule type="expression" dxfId="1209" priority="327">
      <formula>AND($A172="",ABS(AA172)=0)</formula>
    </cfRule>
    <cfRule type="expression" dxfId="1208" priority="328">
      <formula>AND($A172="",ABS(AA172)&lt;10)</formula>
    </cfRule>
    <cfRule type="expression" dxfId="1207" priority="329">
      <formula>AND($A172="",ABS(AA172)&lt;100)</formula>
    </cfRule>
    <cfRule type="expression" dxfId="1206" priority="330">
      <formula>AND($A172="",ABS(AA172)&gt;=100)</formula>
    </cfRule>
  </conditionalFormatting>
  <conditionalFormatting sqref="H161:X161">
    <cfRule type="expression" dxfId="1205" priority="5955">
      <formula>AND($D161&lt;&gt;"",H$16&lt;&gt;"",H161="")</formula>
    </cfRule>
    <cfRule type="expression" dxfId="1204" priority="5956">
      <formula>AND(#REF!="",ABS(H161)=0)</formula>
    </cfRule>
    <cfRule type="expression" dxfId="1203" priority="5957">
      <formula>AND(#REF!="",ABS(H161)&lt;10)</formula>
    </cfRule>
    <cfRule type="expression" dxfId="1202" priority="5958">
      <formula>AND(#REF!="",ABS(H161)&lt;100)</formula>
    </cfRule>
    <cfRule type="expression" dxfId="1201" priority="5959">
      <formula>AND(#REF!="",ABS(H161)&gt;=100)</formula>
    </cfRule>
  </conditionalFormatting>
  <conditionalFormatting sqref="H178:K178 AA178">
    <cfRule type="expression" dxfId="1200" priority="311">
      <formula>AND($D178&lt;&gt;"",H$16&lt;&gt;"",H178="")</formula>
    </cfRule>
    <cfRule type="expression" dxfId="1199" priority="312">
      <formula>AND($A178="",ABS(H178)=0)</formula>
    </cfRule>
    <cfRule type="expression" dxfId="1198" priority="313">
      <formula>AND($A178="",ABS(H178)&lt;10)</formula>
    </cfRule>
    <cfRule type="expression" dxfId="1197" priority="314">
      <formula>AND($A178="",ABS(H178)&lt;100)</formula>
    </cfRule>
    <cfRule type="expression" dxfId="1196" priority="315">
      <formula>AND($A178="",ABS(H178)&gt;=100)</formula>
    </cfRule>
  </conditionalFormatting>
  <conditionalFormatting sqref="H179:K180 Y179:Y180 AA179:AA180">
    <cfRule type="expression" dxfId="1195" priority="306">
      <formula>AND($D179&lt;&gt;"",H$16&lt;&gt;"",H179="")</formula>
    </cfRule>
    <cfRule type="expression" dxfId="1194" priority="307">
      <formula>AND($A179="",ABS(H179)=0)</formula>
    </cfRule>
    <cfRule type="expression" dxfId="1193" priority="308">
      <formula>AND($A179="",ABS(H179)&lt;10)</formula>
    </cfRule>
    <cfRule type="expression" dxfId="1192" priority="309">
      <formula>AND($A179="",ABS(H179)&lt;100)</formula>
    </cfRule>
    <cfRule type="expression" dxfId="1191" priority="310">
      <formula>AND($A179="",ABS(H179)&gt;=100)</formula>
    </cfRule>
  </conditionalFormatting>
  <conditionalFormatting sqref="H182:K182 Y182 AA182">
    <cfRule type="expression" dxfId="1190" priority="301">
      <formula>AND($D182&lt;&gt;"",H$16&lt;&gt;"",H182="")</formula>
    </cfRule>
    <cfRule type="expression" dxfId="1189" priority="302">
      <formula>AND($A182="",ABS(H182)=0)</formula>
    </cfRule>
    <cfRule type="expression" dxfId="1188" priority="303">
      <formula>AND($A182="",ABS(H182)&lt;10)</formula>
    </cfRule>
    <cfRule type="expression" dxfId="1187" priority="304">
      <formula>AND($A182="",ABS(H182)&lt;100)</formula>
    </cfRule>
    <cfRule type="expression" dxfId="1186" priority="305">
      <formula>AND($A182="",ABS(H182)&gt;=100)</formula>
    </cfRule>
  </conditionalFormatting>
  <conditionalFormatting sqref="Y183 H183:K183 AA183">
    <cfRule type="expression" dxfId="1185" priority="296">
      <formula>AND($D183&lt;&gt;"",H$16&lt;&gt;"",H183="")</formula>
    </cfRule>
    <cfRule type="expression" dxfId="1184" priority="297">
      <formula>AND($A183="",ABS(H183)=0)</formula>
    </cfRule>
    <cfRule type="expression" dxfId="1183" priority="298">
      <formula>AND($A183="",ABS(H183)&lt;10)</formula>
    </cfRule>
    <cfRule type="expression" dxfId="1182" priority="299">
      <formula>AND($A183="",ABS(H183)&lt;100)</formula>
    </cfRule>
    <cfRule type="expression" dxfId="1181" priority="300">
      <formula>AND($A183="",ABS(H183)&gt;=100)</formula>
    </cfRule>
  </conditionalFormatting>
  <conditionalFormatting sqref="Y184 H184:K184 AA184">
    <cfRule type="expression" dxfId="1180" priority="291">
      <formula>AND($D184&lt;&gt;"",H$16&lt;&gt;"",H184="")</formula>
    </cfRule>
    <cfRule type="expression" dxfId="1179" priority="292">
      <formula>AND($A184="",ABS(H184)=0)</formula>
    </cfRule>
    <cfRule type="expression" dxfId="1178" priority="293">
      <formula>AND($A184="",ABS(H184)&lt;10)</formula>
    </cfRule>
    <cfRule type="expression" dxfId="1177" priority="294">
      <formula>AND($A184="",ABS(H184)&lt;100)</formula>
    </cfRule>
    <cfRule type="expression" dxfId="1176" priority="295">
      <formula>AND($A184="",ABS(H184)&gt;=100)</formula>
    </cfRule>
  </conditionalFormatting>
  <conditionalFormatting sqref="Y185 H185:K185 AA185">
    <cfRule type="expression" dxfId="1175" priority="286">
      <formula>AND($D185&lt;&gt;"",H$16&lt;&gt;"",H185="")</formula>
    </cfRule>
    <cfRule type="expression" dxfId="1174" priority="287">
      <formula>AND($A185="",ABS(H185)=0)</formula>
    </cfRule>
    <cfRule type="expression" dxfId="1173" priority="288">
      <formula>AND($A185="",ABS(H185)&lt;10)</formula>
    </cfRule>
    <cfRule type="expression" dxfId="1172" priority="289">
      <formula>AND($A185="",ABS(H185)&lt;100)</formula>
    </cfRule>
    <cfRule type="expression" dxfId="1171" priority="290">
      <formula>AND($A185="",ABS(H185)&gt;=100)</formula>
    </cfRule>
  </conditionalFormatting>
  <conditionalFormatting sqref="Y186">
    <cfRule type="expression" dxfId="1170" priority="271">
      <formula>AND($D186&lt;&gt;"",Y$16&lt;&gt;"",Y186="")</formula>
    </cfRule>
    <cfRule type="expression" dxfId="1169" priority="272">
      <formula>AND($A186="",ABS(Y186)=0)</formula>
    </cfRule>
    <cfRule type="expression" dxfId="1168" priority="273">
      <formula>AND($A186="",ABS(Y186)&lt;10)</formula>
    </cfRule>
    <cfRule type="expression" dxfId="1167" priority="274">
      <formula>AND($A186="",ABS(Y186)&lt;100)</formula>
    </cfRule>
    <cfRule type="expression" dxfId="1166" priority="275">
      <formula>AND($A186="",ABS(Y186)&gt;=100)</formula>
    </cfRule>
  </conditionalFormatting>
  <conditionalFormatting sqref="AA186">
    <cfRule type="expression" dxfId="1165" priority="276">
      <formula>AND(#REF!&lt;&gt;"",AA$16&lt;&gt;"",AA186="")</formula>
    </cfRule>
    <cfRule type="expression" dxfId="1164" priority="277">
      <formula>AND($A186="",ABS(AA186)=0)</formula>
    </cfRule>
    <cfRule type="expression" dxfId="1163" priority="278">
      <formula>AND($A186="",ABS(AA186)&lt;10)</formula>
    </cfRule>
    <cfRule type="expression" dxfId="1162" priority="279">
      <formula>AND($A186="",ABS(AA186)&lt;100)</formula>
    </cfRule>
    <cfRule type="expression" dxfId="1161" priority="280">
      <formula>AND($A186="",ABS(AA186)&gt;=100)</formula>
    </cfRule>
  </conditionalFormatting>
  <conditionalFormatting sqref="H186:K186">
    <cfRule type="expression" dxfId="1160" priority="281">
      <formula>AND($D186&lt;&gt;"",H$16&lt;&gt;"",H186="")</formula>
    </cfRule>
    <cfRule type="expression" dxfId="1159" priority="282">
      <formula>AND($A187="",ABS(H186)=0)</formula>
    </cfRule>
    <cfRule type="expression" dxfId="1158" priority="283">
      <formula>AND($A187="",ABS(H186)&lt;10)</formula>
    </cfRule>
    <cfRule type="expression" dxfId="1157" priority="284">
      <formula>AND($A187="",ABS(H186)&lt;100)</formula>
    </cfRule>
    <cfRule type="expression" dxfId="1156" priority="285">
      <formula>AND($A187="",ABS(H186)&gt;=100)</formula>
    </cfRule>
  </conditionalFormatting>
  <conditionalFormatting sqref="AA188">
    <cfRule type="expression" dxfId="1155" priority="261">
      <formula>AND($D187&lt;&gt;"",AA$16&lt;&gt;"",AA188="")</formula>
    </cfRule>
    <cfRule type="expression" dxfId="1154" priority="262">
      <formula>AND($A188="",ABS(AA188)=0)</formula>
    </cfRule>
    <cfRule type="expression" dxfId="1153" priority="263">
      <formula>AND($A188="",ABS(AA188)&lt;10)</formula>
    </cfRule>
    <cfRule type="expression" dxfId="1152" priority="264">
      <formula>AND($A188="",ABS(AA188)&lt;100)</formula>
    </cfRule>
    <cfRule type="expression" dxfId="1151" priority="265">
      <formula>AND($A188="",ABS(AA188)&gt;=100)</formula>
    </cfRule>
  </conditionalFormatting>
  <conditionalFormatting sqref="AA189">
    <cfRule type="expression" dxfId="1150" priority="251">
      <formula>AND($D188&lt;&gt;"",AA$16&lt;&gt;"",AA189="")</formula>
    </cfRule>
    <cfRule type="expression" dxfId="1149" priority="252">
      <formula>AND($A189="",ABS(AA189)=0)</formula>
    </cfRule>
    <cfRule type="expression" dxfId="1148" priority="253">
      <formula>AND($A189="",ABS(AA189)&lt;10)</formula>
    </cfRule>
    <cfRule type="expression" dxfId="1147" priority="254">
      <formula>AND($A189="",ABS(AA189)&lt;100)</formula>
    </cfRule>
    <cfRule type="expression" dxfId="1146" priority="255">
      <formula>AND($A189="",ABS(AA189)&gt;=100)</formula>
    </cfRule>
  </conditionalFormatting>
  <conditionalFormatting sqref="H189:K189">
    <cfRule type="expression" dxfId="1145" priority="256">
      <formula>AND($D189&lt;&gt;"",H$16&lt;&gt;"",H189="")</formula>
    </cfRule>
    <cfRule type="expression" dxfId="1144" priority="257">
      <formula>AND(#REF!="",ABS(H189)=0)</formula>
    </cfRule>
    <cfRule type="expression" dxfId="1143" priority="258">
      <formula>AND(#REF!="",ABS(H189)&lt;10)</formula>
    </cfRule>
    <cfRule type="expression" dxfId="1142" priority="259">
      <formula>AND(#REF!="",ABS(H189)&lt;100)</formula>
    </cfRule>
    <cfRule type="expression" dxfId="1141" priority="260">
      <formula>AND(#REF!="",ABS(H189)&gt;=100)</formula>
    </cfRule>
  </conditionalFormatting>
  <conditionalFormatting sqref="H190:K190">
    <cfRule type="expression" dxfId="1140" priority="241">
      <formula>AND($D190&lt;&gt;"",H$16&lt;&gt;"",H190="")</formula>
    </cfRule>
    <cfRule type="expression" dxfId="1139" priority="242">
      <formula>AND($A191="",ABS(H190)=0)</formula>
    </cfRule>
    <cfRule type="expression" dxfId="1138" priority="243">
      <formula>AND($A191="",ABS(H190)&lt;10)</formula>
    </cfRule>
    <cfRule type="expression" dxfId="1137" priority="244">
      <formula>AND($A191="",ABS(H190)&lt;100)</formula>
    </cfRule>
    <cfRule type="expression" dxfId="1136" priority="245">
      <formula>AND($A191="",ABS(H190)&gt;=100)</formula>
    </cfRule>
  </conditionalFormatting>
  <conditionalFormatting sqref="AA190">
    <cfRule type="expression" dxfId="1135" priority="246">
      <formula>AND(#REF!&lt;&gt;"",AA$16&lt;&gt;"",AA190="")</formula>
    </cfRule>
    <cfRule type="expression" dxfId="1134" priority="247">
      <formula>AND($A190="",ABS(AA190)=0)</formula>
    </cfRule>
    <cfRule type="expression" dxfId="1133" priority="248">
      <formula>AND($A190="",ABS(AA190)&lt;10)</formula>
    </cfRule>
    <cfRule type="expression" dxfId="1132" priority="249">
      <formula>AND($A190="",ABS(AA190)&lt;100)</formula>
    </cfRule>
    <cfRule type="expression" dxfId="1131" priority="250">
      <formula>AND($A190="",ABS(AA190)&gt;=100)</formula>
    </cfRule>
  </conditionalFormatting>
  <conditionalFormatting sqref="H192:K192 H208:X208 H209:N209">
    <cfRule type="expression" dxfId="1130" priority="6060">
      <formula>AND($D192&lt;&gt;"",H$16&lt;&gt;"",H192="")</formula>
    </cfRule>
    <cfRule type="expression" dxfId="1129" priority="6061">
      <formula>AND(#REF!="",ABS(H192)=0)</formula>
    </cfRule>
    <cfRule type="expression" dxfId="1128" priority="6062">
      <formula>AND(#REF!="",ABS(H192)&lt;10)</formula>
    </cfRule>
    <cfRule type="expression" dxfId="1127" priority="6063">
      <formula>AND(#REF!="",ABS(H192)&lt;100)</formula>
    </cfRule>
    <cfRule type="expression" dxfId="1126" priority="6064">
      <formula>AND(#REF!="",ABS(H192)&gt;=100)</formula>
    </cfRule>
  </conditionalFormatting>
  <conditionalFormatting sqref="H195:X195">
    <cfRule type="expression" dxfId="1125" priority="236">
      <formula>AND($D195&lt;&gt;"",H$16&lt;&gt;"",H195="")</formula>
    </cfRule>
    <cfRule type="expression" dxfId="1124" priority="237">
      <formula>AND($A195="",ABS(H195)=0)</formula>
    </cfRule>
    <cfRule type="expression" dxfId="1123" priority="238">
      <formula>AND($A195="",ABS(H195)&lt;10)</formula>
    </cfRule>
    <cfRule type="expression" dxfId="1122" priority="239">
      <formula>AND($A195="",ABS(H195)&lt;100)</formula>
    </cfRule>
    <cfRule type="expression" dxfId="1121" priority="240">
      <formula>AND($A195="",ABS(H195)&gt;=100)</formula>
    </cfRule>
  </conditionalFormatting>
  <conditionalFormatting sqref="H196:Y196 AA196:AA197">
    <cfRule type="expression" dxfId="1120" priority="231">
      <formula>AND($D196&lt;&gt;"",H$16&lt;&gt;"",H196="")</formula>
    </cfRule>
    <cfRule type="expression" dxfId="1119" priority="232">
      <formula>AND($A196="",ABS(H196)=0)</formula>
    </cfRule>
    <cfRule type="expression" dxfId="1118" priority="233">
      <formula>AND($A196="",ABS(H196)&lt;10)</formula>
    </cfRule>
    <cfRule type="expression" dxfId="1117" priority="234">
      <formula>AND($A196="",ABS(H196)&lt;100)</formula>
    </cfRule>
    <cfRule type="expression" dxfId="1116" priority="235">
      <formula>AND($A196="",ABS(H196)&gt;=100)</formula>
    </cfRule>
  </conditionalFormatting>
  <conditionalFormatting sqref="H197:Y197">
    <cfRule type="expression" dxfId="1115" priority="226">
      <formula>AND($D197&lt;&gt;"",H$16&lt;&gt;"",H197="")</formula>
    </cfRule>
    <cfRule type="expression" dxfId="1114" priority="227">
      <formula>AND($A197="",ABS(H197)=0)</formula>
    </cfRule>
    <cfRule type="expression" dxfId="1113" priority="228">
      <formula>AND($A197="",ABS(H197)&lt;10)</formula>
    </cfRule>
    <cfRule type="expression" dxfId="1112" priority="229">
      <formula>AND($A197="",ABS(H197)&lt;100)</formula>
    </cfRule>
    <cfRule type="expression" dxfId="1111" priority="230">
      <formula>AND($A197="",ABS(H197)&gt;=100)</formula>
    </cfRule>
  </conditionalFormatting>
  <conditionalFormatting sqref="Y199">
    <cfRule type="expression" dxfId="1110" priority="211">
      <formula>AND($D199&lt;&gt;"",Y$16&lt;&gt;"",Y199="")</formula>
    </cfRule>
    <cfRule type="expression" dxfId="1109" priority="212">
      <formula>AND($A199="",ABS(Y199)=0)</formula>
    </cfRule>
    <cfRule type="expression" dxfId="1108" priority="213">
      <formula>AND($A199="",ABS(Y199)&lt;10)</formula>
    </cfRule>
    <cfRule type="expression" dxfId="1107" priority="214">
      <formula>AND($A199="",ABS(Y199)&lt;100)</formula>
    </cfRule>
    <cfRule type="expression" dxfId="1106" priority="215">
      <formula>AND($A199="",ABS(Y199)&gt;=100)</formula>
    </cfRule>
  </conditionalFormatting>
  <conditionalFormatting sqref="AA199">
    <cfRule type="expression" dxfId="1105" priority="216">
      <formula>AND($D197&lt;&gt;"",AA$16&lt;&gt;"",AA199="")</formula>
    </cfRule>
    <cfRule type="expression" dxfId="1104" priority="217">
      <formula>AND($A199="",ABS(AA199)=0)</formula>
    </cfRule>
    <cfRule type="expression" dxfId="1103" priority="218">
      <formula>AND($A199="",ABS(AA199)&lt;10)</formula>
    </cfRule>
    <cfRule type="expression" dxfId="1102" priority="219">
      <formula>AND($A199="",ABS(AA199)&lt;100)</formula>
    </cfRule>
    <cfRule type="expression" dxfId="1101" priority="220">
      <formula>AND($A199="",ABS(AA199)&gt;=100)</formula>
    </cfRule>
  </conditionalFormatting>
  <conditionalFormatting sqref="H199:X199">
    <cfRule type="expression" dxfId="1100" priority="221">
      <formula>AND($D199&lt;&gt;"",H$16&lt;&gt;"",H199="")</formula>
    </cfRule>
    <cfRule type="expression" dxfId="1099" priority="222">
      <formula>AND($A201="",ABS(H199)=0)</formula>
    </cfRule>
    <cfRule type="expression" dxfId="1098" priority="223">
      <formula>AND($A201="",ABS(H199)&lt;10)</formula>
    </cfRule>
    <cfRule type="expression" dxfId="1097" priority="224">
      <formula>AND($A201="",ABS(H199)&lt;100)</formula>
    </cfRule>
    <cfRule type="expression" dxfId="1096" priority="225">
      <formula>AND($A201="",ABS(H199)&gt;=100)</formula>
    </cfRule>
  </conditionalFormatting>
  <conditionalFormatting sqref="H201:X201 H205:X205">
    <cfRule type="expression" dxfId="1095" priority="6100">
      <formula>AND($D201&lt;&gt;"",H$16&lt;&gt;"",H201="")</formula>
    </cfRule>
    <cfRule type="expression" dxfId="1094" priority="6101">
      <formula>AND(#REF!="",ABS(H201)=0)</formula>
    </cfRule>
    <cfRule type="expression" dxfId="1093" priority="6102">
      <formula>AND(#REF!="",ABS(H201)&lt;10)</formula>
    </cfRule>
    <cfRule type="expression" dxfId="1092" priority="6103">
      <formula>AND(#REF!="",ABS(H201)&lt;100)</formula>
    </cfRule>
    <cfRule type="expression" dxfId="1091" priority="6104">
      <formula>AND(#REF!="",ABS(H201)&gt;=100)</formula>
    </cfRule>
  </conditionalFormatting>
  <conditionalFormatting sqref="Y202">
    <cfRule type="expression" dxfId="1090" priority="196">
      <formula>AND($D202&lt;&gt;"",Y$16&lt;&gt;"",Y202="")</formula>
    </cfRule>
    <cfRule type="expression" dxfId="1089" priority="197">
      <formula>AND($A202="",ABS(Y202)=0)</formula>
    </cfRule>
    <cfRule type="expression" dxfId="1088" priority="198">
      <formula>AND($A202="",ABS(Y202)&lt;10)</formula>
    </cfRule>
    <cfRule type="expression" dxfId="1087" priority="199">
      <formula>AND($A202="",ABS(Y202)&lt;100)</formula>
    </cfRule>
    <cfRule type="expression" dxfId="1086" priority="200">
      <formula>AND($A202="",ABS(Y202)&gt;=100)</formula>
    </cfRule>
  </conditionalFormatting>
  <conditionalFormatting sqref="H202:X202">
    <cfRule type="expression" dxfId="1085" priority="201">
      <formula>AND($D202&lt;&gt;"",H$16&lt;&gt;"",H202="")</formula>
    </cfRule>
    <cfRule type="expression" dxfId="1084" priority="202">
      <formula>AND($A201="",ABS(H202)=0)</formula>
    </cfRule>
    <cfRule type="expression" dxfId="1083" priority="203">
      <formula>AND($A201="",ABS(H202)&lt;10)</formula>
    </cfRule>
    <cfRule type="expression" dxfId="1082" priority="204">
      <formula>AND($A201="",ABS(H202)&lt;100)</formula>
    </cfRule>
    <cfRule type="expression" dxfId="1081" priority="205">
      <formula>AND($A201="",ABS(H202)&gt;=100)</formula>
    </cfRule>
  </conditionalFormatting>
  <conditionalFormatting sqref="AA202 AA209:CE209">
    <cfRule type="expression" dxfId="1080" priority="206">
      <formula>AND(#REF!&lt;&gt;"",AA$16&lt;&gt;"",AA202="")</formula>
    </cfRule>
    <cfRule type="expression" dxfId="1079" priority="207">
      <formula>AND($A202="",ABS(AA202)=0)</formula>
    </cfRule>
    <cfRule type="expression" dxfId="1078" priority="208">
      <formula>AND($A202="",ABS(AA202)&lt;10)</formula>
    </cfRule>
    <cfRule type="expression" dxfId="1077" priority="209">
      <formula>AND($A202="",ABS(AA202)&lt;100)</formula>
    </cfRule>
    <cfRule type="expression" dxfId="1076" priority="210">
      <formula>AND($A202="",ABS(AA202)&gt;=100)</formula>
    </cfRule>
  </conditionalFormatting>
  <conditionalFormatting sqref="Y205">
    <cfRule type="expression" dxfId="1075" priority="181">
      <formula>AND($D205&lt;&gt;"",Y$16&lt;&gt;"",Y205="")</formula>
    </cfRule>
    <cfRule type="expression" dxfId="1074" priority="182">
      <formula>AND($A205="",ABS(Y205)=0)</formula>
    </cfRule>
    <cfRule type="expression" dxfId="1073" priority="183">
      <formula>AND($A205="",ABS(Y205)&lt;10)</formula>
    </cfRule>
    <cfRule type="expression" dxfId="1072" priority="184">
      <formula>AND($A205="",ABS(Y205)&lt;100)</formula>
    </cfRule>
    <cfRule type="expression" dxfId="1071" priority="185">
      <formula>AND($A205="",ABS(Y205)&gt;=100)</formula>
    </cfRule>
  </conditionalFormatting>
  <conditionalFormatting sqref="Y203">
    <cfRule type="expression" dxfId="1070" priority="166">
      <formula>AND($D203&lt;&gt;"",Y$16&lt;&gt;"",Y203="")</formula>
    </cfRule>
    <cfRule type="expression" dxfId="1069" priority="167">
      <formula>AND($A203="",ABS(Y203)=0)</formula>
    </cfRule>
    <cfRule type="expression" dxfId="1068" priority="168">
      <formula>AND($A203="",ABS(Y203)&lt;10)</formula>
    </cfRule>
    <cfRule type="expression" dxfId="1067" priority="169">
      <formula>AND($A203="",ABS(Y203)&lt;100)</formula>
    </cfRule>
    <cfRule type="expression" dxfId="1066" priority="170">
      <formula>AND($A203="",ABS(Y203)&gt;=100)</formula>
    </cfRule>
  </conditionalFormatting>
  <conditionalFormatting sqref="H203:X203">
    <cfRule type="expression" dxfId="1065" priority="171">
      <formula>AND($D203&lt;&gt;"",H$16&lt;&gt;"",H203="")</formula>
    </cfRule>
    <cfRule type="expression" dxfId="1064" priority="172">
      <formula>AND($A205="",ABS(H203)=0)</formula>
    </cfRule>
    <cfRule type="expression" dxfId="1063" priority="173">
      <formula>AND($A205="",ABS(H203)&lt;10)</formula>
    </cfRule>
    <cfRule type="expression" dxfId="1062" priority="174">
      <formula>AND($A205="",ABS(H203)&lt;100)</formula>
    </cfRule>
    <cfRule type="expression" dxfId="1061" priority="175">
      <formula>AND($A205="",ABS(H203)&gt;=100)</formula>
    </cfRule>
  </conditionalFormatting>
  <conditionalFormatting sqref="AA203">
    <cfRule type="expression" dxfId="1060" priority="176">
      <formula>AND($D204&lt;&gt;"",AA$16&lt;&gt;"",AA203="")</formula>
    </cfRule>
    <cfRule type="expression" dxfId="1059" priority="177">
      <formula>AND($A203="",ABS(AA203)=0)</formula>
    </cfRule>
    <cfRule type="expression" dxfId="1058" priority="178">
      <formula>AND($A203="",ABS(AA203)&lt;10)</formula>
    </cfRule>
    <cfRule type="expression" dxfId="1057" priority="179">
      <formula>AND($A203="",ABS(AA203)&lt;100)</formula>
    </cfRule>
    <cfRule type="expression" dxfId="1056" priority="180">
      <formula>AND($A203="",ABS(AA203)&gt;=100)</formula>
    </cfRule>
  </conditionalFormatting>
  <conditionalFormatting sqref="AA206">
    <cfRule type="expression" dxfId="1055" priority="156">
      <formula>AND($D205&lt;&gt;"",AA$16&lt;&gt;"",AA206="")</formula>
    </cfRule>
    <cfRule type="expression" dxfId="1054" priority="157">
      <formula>AND($A206="",ABS(AA206)=0)</formula>
    </cfRule>
    <cfRule type="expression" dxfId="1053" priority="158">
      <formula>AND($A206="",ABS(AA206)&lt;10)</formula>
    </cfRule>
    <cfRule type="expression" dxfId="1052" priority="159">
      <formula>AND($A206="",ABS(AA206)&lt;100)</formula>
    </cfRule>
    <cfRule type="expression" dxfId="1051" priority="160">
      <formula>AND($A206="",ABS(AA206)&gt;=100)</formula>
    </cfRule>
  </conditionalFormatting>
  <conditionalFormatting sqref="H206:N206">
    <cfRule type="expression" dxfId="1050" priority="161">
      <formula>AND($D206&lt;&gt;"",H$16&lt;&gt;"",H206="")</formula>
    </cfRule>
    <cfRule type="expression" dxfId="1049" priority="162">
      <formula>AND(#REF!="",ABS(H206)=0)</formula>
    </cfRule>
    <cfRule type="expression" dxfId="1048" priority="163">
      <formula>AND(#REF!="",ABS(H206)&lt;10)</formula>
    </cfRule>
    <cfRule type="expression" dxfId="1047" priority="164">
      <formula>AND(#REF!="",ABS(H206)&lt;100)</formula>
    </cfRule>
    <cfRule type="expression" dxfId="1046" priority="165">
      <formula>AND(#REF!="",ABS(H206)&gt;=100)</formula>
    </cfRule>
  </conditionalFormatting>
  <conditionalFormatting sqref="Y207">
    <cfRule type="expression" dxfId="1045" priority="146">
      <formula>AND($D207&lt;&gt;"",Y$16&lt;&gt;"",Y207="")</formula>
    </cfRule>
    <cfRule type="expression" dxfId="1044" priority="147">
      <formula>AND($A207="",ABS(Y207)=0)</formula>
    </cfRule>
    <cfRule type="expression" dxfId="1043" priority="148">
      <formula>AND($A207="",ABS(Y207)&lt;10)</formula>
    </cfRule>
    <cfRule type="expression" dxfId="1042" priority="149">
      <formula>AND($A207="",ABS(Y207)&lt;100)</formula>
    </cfRule>
    <cfRule type="expression" dxfId="1041" priority="150">
      <formula>AND($A207="",ABS(Y207)&gt;=100)</formula>
    </cfRule>
  </conditionalFormatting>
  <conditionalFormatting sqref="H207:X207">
    <cfRule type="expression" dxfId="1040" priority="151">
      <formula>AND($D207&lt;&gt;"",H$16&lt;&gt;"",H207="")</formula>
    </cfRule>
    <cfRule type="expression" dxfId="1039" priority="152">
      <formula>AND(#REF!="",ABS(H207)=0)</formula>
    </cfRule>
    <cfRule type="expression" dxfId="1038" priority="153">
      <formula>AND(#REF!="",ABS(H207)&lt;10)</formula>
    </cfRule>
    <cfRule type="expression" dxfId="1037" priority="154">
      <formula>AND(#REF!="",ABS(H207)&lt;100)</formula>
    </cfRule>
    <cfRule type="expression" dxfId="1036" priority="155">
      <formula>AND(#REF!="",ABS(H207)&gt;=100)</formula>
    </cfRule>
  </conditionalFormatting>
  <conditionalFormatting sqref="AA205">
    <cfRule type="expression" dxfId="1035" priority="136">
      <formula>AND($D205&lt;&gt;"",AA$16&lt;&gt;"",AA205="")</formula>
    </cfRule>
    <cfRule type="expression" dxfId="1034" priority="137">
      <formula>AND($A205="",ABS(AA205)=0)</formula>
    </cfRule>
    <cfRule type="expression" dxfId="1033" priority="138">
      <formula>AND($A205="",ABS(AA205)&lt;10)</formula>
    </cfRule>
    <cfRule type="expression" dxfId="1032" priority="139">
      <formula>AND($A205="",ABS(AA205)&lt;100)</formula>
    </cfRule>
    <cfRule type="expression" dxfId="1031" priority="140">
      <formula>AND($A205="",ABS(AA205)&gt;=100)</formula>
    </cfRule>
  </conditionalFormatting>
  <conditionalFormatting sqref="AA207">
    <cfRule type="expression" dxfId="1030" priority="131">
      <formula>AND($D207&lt;&gt;"",AA$16&lt;&gt;"",AA207="")</formula>
    </cfRule>
    <cfRule type="expression" dxfId="1029" priority="132">
      <formula>AND($A207="",ABS(AA207)=0)</formula>
    </cfRule>
    <cfRule type="expression" dxfId="1028" priority="133">
      <formula>AND($A207="",ABS(AA207)&lt;10)</formula>
    </cfRule>
    <cfRule type="expression" dxfId="1027" priority="134">
      <formula>AND($A207="",ABS(AA207)&lt;100)</formula>
    </cfRule>
    <cfRule type="expression" dxfId="1026" priority="135">
      <formula>AND($A207="",ABS(AA207)&gt;=100)</formula>
    </cfRule>
  </conditionalFormatting>
  <conditionalFormatting sqref="AA208">
    <cfRule type="expression" dxfId="1025" priority="126">
      <formula>AND($D208&lt;&gt;"",AA$16&lt;&gt;"",AA208="")</formula>
    </cfRule>
    <cfRule type="expression" dxfId="1024" priority="127">
      <formula>AND($A208="",ABS(AA208)=0)</formula>
    </cfRule>
    <cfRule type="expression" dxfId="1023" priority="128">
      <formula>AND($A208="",ABS(AA208)&lt;10)</formula>
    </cfRule>
    <cfRule type="expression" dxfId="1022" priority="129">
      <formula>AND($A208="",ABS(AA208)&lt;100)</formula>
    </cfRule>
    <cfRule type="expression" dxfId="1021" priority="130">
      <formula>AND($A208="",ABS(AA208)&gt;=100)</formula>
    </cfRule>
  </conditionalFormatting>
  <conditionalFormatting sqref="Z16:Z20 Z30 Z27:Z28 Z34:Z50 Z68 Z70:Z78 Z80:Z143 Z52:Z66 Z145:Z148 Z150 Z153:Z156 Z165 Z170:Z171 Z159:Z162 Z181 Z187 Z191 Z173:Z177 Z193:Z194 Z198 Z200:Z201 Z208 Z204 Z210:Z10000">
    <cfRule type="expression" dxfId="1020" priority="121">
      <formula>AND($D16&lt;&gt;"",Z$16&lt;&gt;"",Z16="")</formula>
    </cfRule>
    <cfRule type="expression" dxfId="1019" priority="122">
      <formula>AND($A16="",ABS(Z16)=0)</formula>
    </cfRule>
    <cfRule type="expression" dxfId="1018" priority="123">
      <formula>AND($A16="",ABS(Z16)&lt;10)</formula>
    </cfRule>
    <cfRule type="expression" dxfId="1017" priority="124">
      <formula>AND($A16="",ABS(Z16)&lt;100)</formula>
    </cfRule>
    <cfRule type="expression" dxfId="1016" priority="125">
      <formula>AND($A16="",ABS(Z16)&gt;=100)</formula>
    </cfRule>
  </conditionalFormatting>
  <conditionalFormatting sqref="Z20">
    <cfRule type="expression" dxfId="1015" priority="116">
      <formula>AND($D20&lt;&gt;"",Z$16&lt;&gt;"",Z20="")</formula>
    </cfRule>
    <cfRule type="expression" dxfId="1014" priority="117">
      <formula>AND($A20="",ABS(Z20)=0)</formula>
    </cfRule>
    <cfRule type="expression" dxfId="1013" priority="118">
      <formula>AND($A20="",ABS(Z20)&lt;10)</formula>
    </cfRule>
    <cfRule type="expression" dxfId="1012" priority="119">
      <formula>AND($A20="",ABS(Z20)&lt;100)</formula>
    </cfRule>
    <cfRule type="expression" dxfId="1011" priority="120">
      <formula>AND($A20="",ABS(Z20)&gt;=100)</formula>
    </cfRule>
  </conditionalFormatting>
  <conditionalFormatting sqref="Z144">
    <cfRule type="expression" dxfId="1010" priority="111">
      <formula>AND($D144&lt;&gt;"",Z$16&lt;&gt;"",Z144="")</formula>
    </cfRule>
    <cfRule type="expression" dxfId="1009" priority="112">
      <formula>AND($A144="",ABS(Z144)=0)</formula>
    </cfRule>
    <cfRule type="expression" dxfId="1008" priority="113">
      <formula>AND($A144="",ABS(Z144)&lt;10)</formula>
    </cfRule>
    <cfRule type="expression" dxfId="1007" priority="114">
      <formula>AND($A144="",ABS(Z144)&lt;100)</formula>
    </cfRule>
    <cfRule type="expression" dxfId="1006" priority="115">
      <formula>AND($A144="",ABS(Z144)&gt;=100)</formula>
    </cfRule>
  </conditionalFormatting>
  <conditionalFormatting sqref="Z149">
    <cfRule type="expression" dxfId="1005" priority="106">
      <formula>AND($D149&lt;&gt;"",Z$16&lt;&gt;"",Z149="")</formula>
    </cfRule>
    <cfRule type="expression" dxfId="1004" priority="107">
      <formula>AND($A149="",ABS(Z149)=0)</formula>
    </cfRule>
    <cfRule type="expression" dxfId="1003" priority="108">
      <formula>AND($A149="",ABS(Z149)&lt;10)</formula>
    </cfRule>
    <cfRule type="expression" dxfId="1002" priority="109">
      <formula>AND($A149="",ABS(Z149)&lt;100)</formula>
    </cfRule>
    <cfRule type="expression" dxfId="1001" priority="110">
      <formula>AND($A149="",ABS(Z149)&gt;=100)</formula>
    </cfRule>
  </conditionalFormatting>
  <conditionalFormatting sqref="Z152">
    <cfRule type="expression" dxfId="1000" priority="101">
      <formula>AND($D152&lt;&gt;"",Z$16&lt;&gt;"",Z152="")</formula>
    </cfRule>
    <cfRule type="expression" dxfId="999" priority="102">
      <formula>AND($A152="",ABS(Z152)=0)</formula>
    </cfRule>
    <cfRule type="expression" dxfId="998" priority="103">
      <formula>AND($A152="",ABS(Z152)&lt;10)</formula>
    </cfRule>
    <cfRule type="expression" dxfId="997" priority="104">
      <formula>AND($A152="",ABS(Z152)&lt;100)</formula>
    </cfRule>
    <cfRule type="expression" dxfId="996" priority="105">
      <formula>AND($A152="",ABS(Z152)&gt;=100)</formula>
    </cfRule>
  </conditionalFormatting>
  <conditionalFormatting sqref="Z163">
    <cfRule type="expression" dxfId="995" priority="96">
      <formula>AND($D163&lt;&gt;"",Z$16&lt;&gt;"",Z163="")</formula>
    </cfRule>
    <cfRule type="expression" dxfId="994" priority="97">
      <formula>AND($A163="",ABS(Z163)=0)</formula>
    </cfRule>
    <cfRule type="expression" dxfId="993" priority="98">
      <formula>AND($A163="",ABS(Z163)&lt;10)</formula>
    </cfRule>
    <cfRule type="expression" dxfId="992" priority="99">
      <formula>AND($A163="",ABS(Z163)&lt;100)</formula>
    </cfRule>
    <cfRule type="expression" dxfId="991" priority="100">
      <formula>AND($A163="",ABS(Z163)&gt;=100)</formula>
    </cfRule>
  </conditionalFormatting>
  <conditionalFormatting sqref="Z164">
    <cfRule type="expression" dxfId="990" priority="91">
      <formula>AND($D164&lt;&gt;"",Z$16&lt;&gt;"",Z164="")</formula>
    </cfRule>
    <cfRule type="expression" dxfId="989" priority="92">
      <formula>AND($A164="",ABS(Z164)=0)</formula>
    </cfRule>
    <cfRule type="expression" dxfId="988" priority="93">
      <formula>AND($A164="",ABS(Z164)&lt;10)</formula>
    </cfRule>
    <cfRule type="expression" dxfId="987" priority="94">
      <formula>AND($A164="",ABS(Z164)&lt;100)</formula>
    </cfRule>
    <cfRule type="expression" dxfId="986" priority="95">
      <formula>AND($A164="",ABS(Z164)&gt;=100)</formula>
    </cfRule>
  </conditionalFormatting>
  <conditionalFormatting sqref="Z166">
    <cfRule type="expression" dxfId="985" priority="86">
      <formula>AND($D166&lt;&gt;"",Z$16&lt;&gt;"",Z166="")</formula>
    </cfRule>
    <cfRule type="expression" dxfId="984" priority="87">
      <formula>AND($A166="",ABS(Z166)=0)</formula>
    </cfRule>
    <cfRule type="expression" dxfId="983" priority="88">
      <formula>AND($A166="",ABS(Z166)&lt;10)</formula>
    </cfRule>
    <cfRule type="expression" dxfId="982" priority="89">
      <formula>AND($A166="",ABS(Z166)&lt;100)</formula>
    </cfRule>
    <cfRule type="expression" dxfId="981" priority="90">
      <formula>AND($A166="",ABS(Z166)&gt;=100)</formula>
    </cfRule>
  </conditionalFormatting>
  <conditionalFormatting sqref="Z167">
    <cfRule type="expression" dxfId="980" priority="81">
      <formula>AND($D167&lt;&gt;"",Z$16&lt;&gt;"",Z167="")</formula>
    </cfRule>
    <cfRule type="expression" dxfId="979" priority="82">
      <formula>AND($A167="",ABS(Z167)=0)</formula>
    </cfRule>
    <cfRule type="expression" dxfId="978" priority="83">
      <formula>AND($A167="",ABS(Z167)&lt;10)</formula>
    </cfRule>
    <cfRule type="expression" dxfId="977" priority="84">
      <formula>AND($A167="",ABS(Z167)&lt;100)</formula>
    </cfRule>
    <cfRule type="expression" dxfId="976" priority="85">
      <formula>AND($A167="",ABS(Z167)&gt;=100)</formula>
    </cfRule>
  </conditionalFormatting>
  <conditionalFormatting sqref="Z168">
    <cfRule type="expression" dxfId="975" priority="76">
      <formula>AND($D168&lt;&gt;"",Z$16&lt;&gt;"",Z168="")</formula>
    </cfRule>
    <cfRule type="expression" dxfId="974" priority="77">
      <formula>AND($A168="",ABS(Z168)=0)</formula>
    </cfRule>
    <cfRule type="expression" dxfId="973" priority="78">
      <formula>AND($A168="",ABS(Z168)&lt;10)</formula>
    </cfRule>
    <cfRule type="expression" dxfId="972" priority="79">
      <formula>AND($A168="",ABS(Z168)&lt;100)</formula>
    </cfRule>
    <cfRule type="expression" dxfId="971" priority="80">
      <formula>AND($A168="",ABS(Z168)&gt;=100)</formula>
    </cfRule>
  </conditionalFormatting>
  <conditionalFormatting sqref="Z169">
    <cfRule type="expression" dxfId="970" priority="71">
      <formula>AND($D169&lt;&gt;"",Z$16&lt;&gt;"",Z169="")</formula>
    </cfRule>
    <cfRule type="expression" dxfId="969" priority="72">
      <formula>AND($A169="",ABS(Z169)=0)</formula>
    </cfRule>
    <cfRule type="expression" dxfId="968" priority="73">
      <formula>AND($A169="",ABS(Z169)&lt;10)</formula>
    </cfRule>
    <cfRule type="expression" dxfId="967" priority="74">
      <formula>AND($A169="",ABS(Z169)&lt;100)</formula>
    </cfRule>
    <cfRule type="expression" dxfId="966" priority="75">
      <formula>AND($A169="",ABS(Z169)&gt;=100)</formula>
    </cfRule>
  </conditionalFormatting>
  <conditionalFormatting sqref="Z172">
    <cfRule type="expression" dxfId="965" priority="66">
      <formula>AND($D172&lt;&gt;"",Z$16&lt;&gt;"",Z172="")</formula>
    </cfRule>
    <cfRule type="expression" dxfId="964" priority="67">
      <formula>AND($A172="",ABS(Z172)=0)</formula>
    </cfRule>
    <cfRule type="expression" dxfId="963" priority="68">
      <formula>AND($A172="",ABS(Z172)&lt;10)</formula>
    </cfRule>
    <cfRule type="expression" dxfId="962" priority="69">
      <formula>AND($A172="",ABS(Z172)&lt;100)</formula>
    </cfRule>
    <cfRule type="expression" dxfId="961" priority="70">
      <formula>AND($A172="",ABS(Z172)&gt;=100)</formula>
    </cfRule>
  </conditionalFormatting>
  <conditionalFormatting sqref="Z179:Z180">
    <cfRule type="expression" dxfId="960" priority="61">
      <formula>AND($D179&lt;&gt;"",Z$16&lt;&gt;"",Z179="")</formula>
    </cfRule>
    <cfRule type="expression" dxfId="959" priority="62">
      <formula>AND($A179="",ABS(Z179)=0)</formula>
    </cfRule>
    <cfRule type="expression" dxfId="958" priority="63">
      <formula>AND($A179="",ABS(Z179)&lt;10)</formula>
    </cfRule>
    <cfRule type="expression" dxfId="957" priority="64">
      <formula>AND($A179="",ABS(Z179)&lt;100)</formula>
    </cfRule>
    <cfRule type="expression" dxfId="956" priority="65">
      <formula>AND($A179="",ABS(Z179)&gt;=100)</formula>
    </cfRule>
  </conditionalFormatting>
  <conditionalFormatting sqref="Z182">
    <cfRule type="expression" dxfId="955" priority="56">
      <formula>AND($D182&lt;&gt;"",Z$16&lt;&gt;"",Z182="")</formula>
    </cfRule>
    <cfRule type="expression" dxfId="954" priority="57">
      <formula>AND($A182="",ABS(Z182)=0)</formula>
    </cfRule>
    <cfRule type="expression" dxfId="953" priority="58">
      <formula>AND($A182="",ABS(Z182)&lt;10)</formula>
    </cfRule>
    <cfRule type="expression" dxfId="952" priority="59">
      <formula>AND($A182="",ABS(Z182)&lt;100)</formula>
    </cfRule>
    <cfRule type="expression" dxfId="951" priority="60">
      <formula>AND($A182="",ABS(Z182)&gt;=100)</formula>
    </cfRule>
  </conditionalFormatting>
  <conditionalFormatting sqref="Z183">
    <cfRule type="expression" dxfId="950" priority="51">
      <formula>AND($D183&lt;&gt;"",Z$16&lt;&gt;"",Z183="")</formula>
    </cfRule>
    <cfRule type="expression" dxfId="949" priority="52">
      <formula>AND($A183="",ABS(Z183)=0)</formula>
    </cfRule>
    <cfRule type="expression" dxfId="948" priority="53">
      <formula>AND($A183="",ABS(Z183)&lt;10)</formula>
    </cfRule>
    <cfRule type="expression" dxfId="947" priority="54">
      <formula>AND($A183="",ABS(Z183)&lt;100)</formula>
    </cfRule>
    <cfRule type="expression" dxfId="946" priority="55">
      <formula>AND($A183="",ABS(Z183)&gt;=100)</formula>
    </cfRule>
  </conditionalFormatting>
  <conditionalFormatting sqref="Z184">
    <cfRule type="expression" dxfId="945" priority="46">
      <formula>AND($D184&lt;&gt;"",Z$16&lt;&gt;"",Z184="")</formula>
    </cfRule>
    <cfRule type="expression" dxfId="944" priority="47">
      <formula>AND($A184="",ABS(Z184)=0)</formula>
    </cfRule>
    <cfRule type="expression" dxfId="943" priority="48">
      <formula>AND($A184="",ABS(Z184)&lt;10)</formula>
    </cfRule>
    <cfRule type="expression" dxfId="942" priority="49">
      <formula>AND($A184="",ABS(Z184)&lt;100)</formula>
    </cfRule>
    <cfRule type="expression" dxfId="941" priority="50">
      <formula>AND($A184="",ABS(Z184)&gt;=100)</formula>
    </cfRule>
  </conditionalFormatting>
  <conditionalFormatting sqref="Z185">
    <cfRule type="expression" dxfId="940" priority="41">
      <formula>AND($D185&lt;&gt;"",Z$16&lt;&gt;"",Z185="")</formula>
    </cfRule>
    <cfRule type="expression" dxfId="939" priority="42">
      <formula>AND($A185="",ABS(Z185)=0)</formula>
    </cfRule>
    <cfRule type="expression" dxfId="938" priority="43">
      <formula>AND($A185="",ABS(Z185)&lt;10)</formula>
    </cfRule>
    <cfRule type="expression" dxfId="937" priority="44">
      <formula>AND($A185="",ABS(Z185)&lt;100)</formula>
    </cfRule>
    <cfRule type="expression" dxfId="936" priority="45">
      <formula>AND($A185="",ABS(Z185)&gt;=100)</formula>
    </cfRule>
  </conditionalFormatting>
  <conditionalFormatting sqref="Z186">
    <cfRule type="expression" dxfId="935" priority="36">
      <formula>AND($D186&lt;&gt;"",Z$16&lt;&gt;"",Z186="")</formula>
    </cfRule>
    <cfRule type="expression" dxfId="934" priority="37">
      <formula>AND($A186="",ABS(Z186)=0)</formula>
    </cfRule>
    <cfRule type="expression" dxfId="933" priority="38">
      <formula>AND($A186="",ABS(Z186)&lt;10)</formula>
    </cfRule>
    <cfRule type="expression" dxfId="932" priority="39">
      <formula>AND($A186="",ABS(Z186)&lt;100)</formula>
    </cfRule>
    <cfRule type="expression" dxfId="931" priority="40">
      <formula>AND($A186="",ABS(Z186)&gt;=100)</formula>
    </cfRule>
  </conditionalFormatting>
  <conditionalFormatting sqref="Z196">
    <cfRule type="expression" dxfId="930" priority="31">
      <formula>AND($D196&lt;&gt;"",Z$16&lt;&gt;"",Z196="")</formula>
    </cfRule>
    <cfRule type="expression" dxfId="929" priority="32">
      <formula>AND($A196="",ABS(Z196)=0)</formula>
    </cfRule>
    <cfRule type="expression" dxfId="928" priority="33">
      <formula>AND($A196="",ABS(Z196)&lt;10)</formula>
    </cfRule>
    <cfRule type="expression" dxfId="927" priority="34">
      <formula>AND($A196="",ABS(Z196)&lt;100)</formula>
    </cfRule>
    <cfRule type="expression" dxfId="926" priority="35">
      <formula>AND($A196="",ABS(Z196)&gt;=100)</formula>
    </cfRule>
  </conditionalFormatting>
  <conditionalFormatting sqref="Z197">
    <cfRule type="expression" dxfId="925" priority="26">
      <formula>AND($D197&lt;&gt;"",Z$16&lt;&gt;"",Z197="")</formula>
    </cfRule>
    <cfRule type="expression" dxfId="924" priority="27">
      <formula>AND($A197="",ABS(Z197)=0)</formula>
    </cfRule>
    <cfRule type="expression" dxfId="923" priority="28">
      <formula>AND($A197="",ABS(Z197)&lt;10)</formula>
    </cfRule>
    <cfRule type="expression" dxfId="922" priority="29">
      <formula>AND($A197="",ABS(Z197)&lt;100)</formula>
    </cfRule>
    <cfRule type="expression" dxfId="921" priority="30">
      <formula>AND($A197="",ABS(Z197)&gt;=100)</formula>
    </cfRule>
  </conditionalFormatting>
  <conditionalFormatting sqref="Z199">
    <cfRule type="expression" dxfId="920" priority="21">
      <formula>AND($D199&lt;&gt;"",Z$16&lt;&gt;"",Z199="")</formula>
    </cfRule>
    <cfRule type="expression" dxfId="919" priority="22">
      <formula>AND($A199="",ABS(Z199)=0)</formula>
    </cfRule>
    <cfRule type="expression" dxfId="918" priority="23">
      <formula>AND($A199="",ABS(Z199)&lt;10)</formula>
    </cfRule>
    <cfRule type="expression" dxfId="917" priority="24">
      <formula>AND($A199="",ABS(Z199)&lt;100)</formula>
    </cfRule>
    <cfRule type="expression" dxfId="916" priority="25">
      <formula>AND($A199="",ABS(Z199)&gt;=100)</formula>
    </cfRule>
  </conditionalFormatting>
  <conditionalFormatting sqref="Z202">
    <cfRule type="expression" dxfId="915" priority="16">
      <formula>AND($D202&lt;&gt;"",Z$16&lt;&gt;"",Z202="")</formula>
    </cfRule>
    <cfRule type="expression" dxfId="914" priority="17">
      <formula>AND($A202="",ABS(Z202)=0)</formula>
    </cfRule>
    <cfRule type="expression" dxfId="913" priority="18">
      <formula>AND($A202="",ABS(Z202)&lt;10)</formula>
    </cfRule>
    <cfRule type="expression" dxfId="912" priority="19">
      <formula>AND($A202="",ABS(Z202)&lt;100)</formula>
    </cfRule>
    <cfRule type="expression" dxfId="911" priority="20">
      <formula>AND($A202="",ABS(Z202)&gt;=100)</formula>
    </cfRule>
  </conditionalFormatting>
  <conditionalFormatting sqref="Z205">
    <cfRule type="expression" dxfId="910" priority="11">
      <formula>AND($D205&lt;&gt;"",Z$16&lt;&gt;"",Z205="")</formula>
    </cfRule>
    <cfRule type="expression" dxfId="909" priority="12">
      <formula>AND($A205="",ABS(Z205)=0)</formula>
    </cfRule>
    <cfRule type="expression" dxfId="908" priority="13">
      <formula>AND($A205="",ABS(Z205)&lt;10)</formula>
    </cfRule>
    <cfRule type="expression" dxfId="907" priority="14">
      <formula>AND($A205="",ABS(Z205)&lt;100)</formula>
    </cfRule>
    <cfRule type="expression" dxfId="906" priority="15">
      <formula>AND($A205="",ABS(Z205)&gt;=100)</formula>
    </cfRule>
  </conditionalFormatting>
  <conditionalFormatting sqref="Z203">
    <cfRule type="expression" dxfId="905" priority="6">
      <formula>AND($D203&lt;&gt;"",Z$16&lt;&gt;"",Z203="")</formula>
    </cfRule>
    <cfRule type="expression" dxfId="904" priority="7">
      <formula>AND($A203="",ABS(Z203)=0)</formula>
    </cfRule>
    <cfRule type="expression" dxfId="903" priority="8">
      <formula>AND($A203="",ABS(Z203)&lt;10)</formula>
    </cfRule>
    <cfRule type="expression" dxfId="902" priority="9">
      <formula>AND($A203="",ABS(Z203)&lt;100)</formula>
    </cfRule>
    <cfRule type="expression" dxfId="901" priority="10">
      <formula>AND($A203="",ABS(Z203)&gt;=100)</formula>
    </cfRule>
  </conditionalFormatting>
  <conditionalFormatting sqref="Z207">
    <cfRule type="expression" dxfId="900" priority="1">
      <formula>AND($D207&lt;&gt;"",Z$16&lt;&gt;"",Z207="")</formula>
    </cfRule>
    <cfRule type="expression" dxfId="899" priority="2">
      <formula>AND($A207="",ABS(Z207)=0)</formula>
    </cfRule>
    <cfRule type="expression" dxfId="898" priority="3">
      <formula>AND($A207="",ABS(Z207)&lt;10)</formula>
    </cfRule>
    <cfRule type="expression" dxfId="897" priority="4">
      <formula>AND($A207="",ABS(Z207)&lt;100)</formula>
    </cfRule>
    <cfRule type="expression" dxfId="896" priority="5">
      <formula>AND($A207="",ABS(Z207)&gt;=100)</formula>
    </cfRule>
  </conditionalFormatting>
  <dataValidations count="2">
    <dataValidation type="list" allowBlank="1" showInputMessage="1" showErrorMessage="1" sqref="G2" xr:uid="{00000000-0002-0000-0400-000000000000}">
      <formula1>Sprache</formula1>
    </dataValidation>
    <dataValidation allowBlank="1" showInputMessage="1" showErrorMessage="1" sqref="F2" xr:uid="{D69CD837-BC6A-431F-84A8-ACDC0A664261}"/>
  </dataValidations>
  <hyperlinks>
    <hyperlink ref="C7" location="GRI_203_2" display="GRI_203_2" xr:uid="{00000000-0004-0000-0400-000000000000}"/>
    <hyperlink ref="A16" location="GRI_203" display="Ó" xr:uid="{00000000-0004-0000-0400-000001000000}"/>
    <hyperlink ref="D2" location="Home" display="Home" xr:uid="{00000000-0004-0000-0400-000002000000}"/>
    <hyperlink ref="C8" location="GRI_203_2b" display="Poststellen" xr:uid="{00000000-0004-0000-0400-000003000000}"/>
    <hyperlink ref="C9" location="GRI_203_2c" display="Arbeitsplätze in den Regionen" xr:uid="{00000000-0004-0000-0400-000004000000}"/>
    <hyperlink ref="C10" location="GRI_203_2d" display="GRI_203_2d" xr:uid="{00000000-0004-0000-0400-000005000000}"/>
    <hyperlink ref="C11" location="GRI_203_2e" display="GRI_203_2e" xr:uid="{00000000-0004-0000-0400-000006000000}"/>
    <hyperlink ref="C12" location="GRI_203_2f" display="GRI_203_2f" xr:uid="{00000000-0004-0000-0400-000007000000}"/>
    <hyperlink ref="C13" location="GRI_203_2g" display="GRI_203_2g" xr:uid="{00000000-0004-0000-0400-000008000000}"/>
    <hyperlink ref="A39" location="GRI_203" display="Ó" xr:uid="{00000000-0004-0000-0400-000009000000}"/>
    <hyperlink ref="A58" location="GRI_203" display="Ó" xr:uid="{00000000-0004-0000-0400-00000A000000}"/>
    <hyperlink ref="A139" location="GRI_203" display="Ó" xr:uid="{00000000-0004-0000-0400-00000B000000}"/>
    <hyperlink ref="A216" location="GRI_203" display="Ó" xr:uid="{00000000-0004-0000-0400-00000C000000}"/>
    <hyperlink ref="A231" location="GRI_203" display="Ó" xr:uid="{00000000-0004-0000-0400-00000D000000}"/>
    <hyperlink ref="A243" location="GRI_203" display="Ó" xr:uid="{00000000-0004-0000-0400-00000E000000}"/>
  </hyperlinks>
  <pageMargins left="0.7" right="0.7" top="0.78740157499999996" bottom="0.78740157499999996" header="0.3" footer="0.3"/>
  <pageSetup paperSize="9" orientation="portrait" r:id="rId1"/>
  <ignoredErrors>
    <ignoredError sqref="E67:E88 E93:E119" twoDigitTextYear="1"/>
    <ignoredError sqref="H29:R29 D45" formula="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10">
    <tabColor rgb="FF006D68"/>
  </sheetPr>
  <dimension ref="A2:CE127"/>
  <sheetViews>
    <sheetView showGridLines="0" showRowColHeaders="0" zoomScaleNormal="100" workbookViewId="0">
      <pane xSplit="7" topLeftCell="H1" activePane="topRight" state="frozen"/>
      <selection activeCell="B73" sqref="B73"/>
      <selection pane="topRight" activeCell="B3" sqref="B3:C3"/>
    </sheetView>
  </sheetViews>
  <sheetFormatPr baseColWidth="10" defaultColWidth="10.85546875" defaultRowHeight="12.95" customHeight="1" x14ac:dyDescent="0.2"/>
  <cols>
    <col min="1" max="1" width="2.42578125" style="66" customWidth="1"/>
    <col min="2" max="2" width="2.42578125" style="1" customWidth="1"/>
    <col min="3" max="3" width="57.42578125" style="1" customWidth="1"/>
    <col min="4" max="4" width="8.85546875" style="1" customWidth="1"/>
    <col min="5" max="5" width="9.42578125" style="9" customWidth="1"/>
    <col min="6" max="6" width="14.140625" style="9" customWidth="1"/>
    <col min="7" max="7" width="2.42578125" style="34" customWidth="1"/>
    <col min="8" max="13" width="11.7109375" style="9" customWidth="1"/>
    <col min="14" max="20" width="11.7109375" style="11" customWidth="1"/>
    <col min="21" max="83" width="11.7109375" style="9" customWidth="1"/>
    <col min="84" max="16384" width="10.85546875" style="1"/>
  </cols>
  <sheetData>
    <row r="2" spans="1:83" s="89" customFormat="1" ht="26.1" customHeight="1" x14ac:dyDescent="0.2">
      <c r="A2" s="64"/>
      <c r="B2" s="406" t="str">
        <f>UPPER(RIGHT(Inhaltsverzeichnis!$C$21,LEN(Inhaltsverzeichnis!$C$21)-FIND(" – ",Inhaltsverzeichnis!$C$21,1)-2))</f>
        <v>ENERGIE</v>
      </c>
      <c r="C2" s="406"/>
      <c r="D2" s="402" t="str">
        <f>VLOOKUP(35,Textbausteine_Menu[],Hilfsgrössen!$D$2,FALSE)</f>
        <v>retour à la table des matières</v>
      </c>
      <c r="E2" s="403"/>
      <c r="F2" s="83" t="s">
        <v>149</v>
      </c>
      <c r="G2" s="96"/>
      <c r="H2" s="27"/>
      <c r="I2" s="27"/>
      <c r="J2" s="27"/>
      <c r="K2" s="27"/>
      <c r="L2" s="27"/>
      <c r="M2" s="27"/>
      <c r="N2" s="71"/>
      <c r="O2" s="71"/>
      <c r="P2" s="71"/>
      <c r="Q2" s="71"/>
      <c r="R2" s="71"/>
      <c r="S2" s="71"/>
      <c r="T2" s="71"/>
      <c r="U2" s="67"/>
      <c r="V2" s="67"/>
      <c r="W2" s="67"/>
      <c r="X2" s="67"/>
      <c r="Y2" s="67"/>
      <c r="Z2" s="67"/>
      <c r="AA2" s="67"/>
      <c r="AB2" s="67"/>
      <c r="AC2" s="67"/>
      <c r="AD2" s="67"/>
      <c r="AE2" s="67"/>
      <c r="AF2" s="67"/>
      <c r="AG2" s="67"/>
      <c r="AH2" s="67"/>
      <c r="AI2" s="67"/>
      <c r="AJ2" s="67"/>
      <c r="AK2" s="67"/>
      <c r="AL2" s="67"/>
      <c r="AM2" s="67"/>
      <c r="AN2" s="67"/>
      <c r="AO2" s="67"/>
      <c r="AP2" s="67"/>
      <c r="AQ2" s="67"/>
      <c r="AR2" s="67"/>
      <c r="AS2" s="67"/>
      <c r="AT2" s="67"/>
      <c r="AU2" s="67"/>
      <c r="AV2" s="67"/>
      <c r="AW2" s="67"/>
      <c r="AX2" s="67"/>
      <c r="AY2" s="67"/>
      <c r="AZ2" s="67"/>
      <c r="BA2" s="67"/>
      <c r="BB2" s="67"/>
      <c r="BC2" s="67"/>
      <c r="BD2" s="67"/>
      <c r="BE2" s="67"/>
      <c r="BF2" s="67"/>
      <c r="BG2" s="67"/>
      <c r="BH2" s="67"/>
      <c r="BI2" s="67"/>
      <c r="BJ2" s="67"/>
      <c r="BK2" s="67"/>
      <c r="BL2" s="67"/>
      <c r="BM2" s="67"/>
      <c r="BN2" s="67"/>
      <c r="BO2" s="67"/>
      <c r="BP2" s="67"/>
      <c r="BQ2" s="67"/>
      <c r="BR2" s="67"/>
      <c r="BS2" s="67"/>
      <c r="BT2" s="67"/>
      <c r="BU2" s="67"/>
      <c r="BV2" s="67"/>
      <c r="BW2" s="67"/>
      <c r="BX2" s="67"/>
      <c r="BY2" s="67"/>
      <c r="BZ2" s="67"/>
      <c r="CA2" s="67"/>
      <c r="CB2" s="67"/>
      <c r="CC2" s="67"/>
      <c r="CD2" s="67"/>
      <c r="CE2" s="67"/>
    </row>
    <row r="3" spans="1:83" s="90" customFormat="1" ht="26.1" customHeight="1" x14ac:dyDescent="0.2">
      <c r="A3" s="64"/>
      <c r="B3" s="407" t="str">
        <f>UPPER("GRI "&amp;LEFT(Inhaltsverzeichnis!$C$21,3))</f>
        <v>GRI 302</v>
      </c>
      <c r="C3" s="407"/>
      <c r="E3" s="109"/>
      <c r="F3" s="109"/>
      <c r="G3" s="32"/>
      <c r="H3" s="27"/>
      <c r="I3" s="27"/>
      <c r="J3" s="27"/>
      <c r="K3" s="27"/>
      <c r="L3" s="27"/>
      <c r="M3" s="27"/>
      <c r="N3" s="71"/>
      <c r="O3" s="71"/>
      <c r="P3" s="71"/>
      <c r="Q3" s="71"/>
      <c r="R3" s="71"/>
      <c r="S3" s="71"/>
      <c r="T3" s="71"/>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c r="BA3" s="27"/>
      <c r="BB3" s="27"/>
      <c r="BC3" s="27"/>
      <c r="BD3" s="27"/>
      <c r="BE3" s="27"/>
      <c r="BF3" s="27"/>
      <c r="BG3" s="27"/>
      <c r="BH3" s="27"/>
      <c r="BI3" s="27"/>
      <c r="BJ3" s="27"/>
      <c r="BK3" s="27"/>
      <c r="BL3" s="27"/>
      <c r="BM3" s="27"/>
      <c r="BN3" s="27"/>
      <c r="BO3" s="27"/>
      <c r="BP3" s="27"/>
      <c r="BQ3" s="27"/>
      <c r="BR3" s="27"/>
      <c r="BS3" s="27"/>
      <c r="BT3" s="27"/>
      <c r="BU3" s="27"/>
      <c r="BV3" s="27"/>
      <c r="BW3" s="27"/>
      <c r="BX3" s="27"/>
      <c r="BY3" s="27"/>
      <c r="BZ3" s="27"/>
      <c r="CA3" s="27"/>
      <c r="CB3" s="27"/>
      <c r="CC3" s="27"/>
      <c r="CD3" s="27"/>
      <c r="CE3" s="27"/>
    </row>
    <row r="6" spans="1:83" s="6" customFormat="1" ht="12.95" customHeight="1" x14ac:dyDescent="0.2">
      <c r="A6" s="66"/>
      <c r="B6" s="6" t="str">
        <f>VLOOKUP(31,Textbausteine_Menu[],Hilfsgrössen!$D$2,FALSE)</f>
        <v>Divulgations</v>
      </c>
      <c r="E6" s="28"/>
      <c r="F6" s="28"/>
      <c r="G6" s="33"/>
      <c r="H6" s="9"/>
      <c r="I6" s="9"/>
      <c r="J6" s="9"/>
      <c r="K6" s="9"/>
      <c r="L6" s="9"/>
      <c r="M6" s="9"/>
      <c r="N6" s="11"/>
      <c r="O6" s="11"/>
      <c r="P6" s="11"/>
      <c r="Q6" s="11"/>
      <c r="R6" s="11"/>
      <c r="S6" s="11"/>
      <c r="T6" s="11"/>
      <c r="U6" s="28"/>
      <c r="V6" s="28"/>
      <c r="W6" s="28"/>
      <c r="X6" s="28"/>
      <c r="Y6" s="28"/>
      <c r="Z6" s="28"/>
      <c r="AA6" s="28"/>
      <c r="AB6" s="28"/>
      <c r="AC6" s="28"/>
      <c r="AD6" s="28"/>
      <c r="AE6" s="28"/>
      <c r="AF6" s="28"/>
      <c r="AG6" s="28"/>
      <c r="AH6" s="28"/>
      <c r="AI6" s="28"/>
      <c r="AJ6" s="28"/>
      <c r="AK6" s="28"/>
      <c r="AL6" s="28"/>
      <c r="AM6" s="28"/>
      <c r="AN6" s="28"/>
      <c r="AO6" s="28"/>
      <c r="AP6" s="28"/>
      <c r="AQ6" s="28"/>
      <c r="AR6" s="28"/>
      <c r="AS6" s="28"/>
      <c r="AT6" s="28"/>
      <c r="AU6" s="28"/>
      <c r="AV6" s="28"/>
      <c r="AW6" s="28"/>
      <c r="AX6" s="28"/>
      <c r="AY6" s="28"/>
      <c r="AZ6" s="28"/>
      <c r="BA6" s="28"/>
      <c r="BB6" s="28"/>
      <c r="BC6" s="28"/>
      <c r="BD6" s="28"/>
      <c r="BE6" s="28"/>
      <c r="BF6" s="28"/>
      <c r="BG6" s="28"/>
      <c r="BH6" s="28"/>
      <c r="BI6" s="28"/>
      <c r="BJ6" s="28"/>
      <c r="BK6" s="28"/>
      <c r="BL6" s="28"/>
      <c r="BM6" s="28"/>
      <c r="BN6" s="28"/>
      <c r="BO6" s="28"/>
      <c r="BP6" s="28"/>
      <c r="BQ6" s="28"/>
      <c r="BR6" s="28"/>
      <c r="BS6" s="28"/>
      <c r="BT6" s="28"/>
      <c r="BU6" s="28"/>
      <c r="BV6" s="28"/>
      <c r="BW6" s="28"/>
      <c r="BX6" s="28"/>
      <c r="BY6" s="28"/>
      <c r="BZ6" s="28"/>
      <c r="CA6" s="28"/>
      <c r="CB6" s="28"/>
      <c r="CC6" s="28"/>
      <c r="CD6" s="28"/>
      <c r="CE6" s="28"/>
    </row>
    <row r="7" spans="1:83" ht="12.95" customHeight="1" x14ac:dyDescent="0.2">
      <c r="B7" s="2"/>
      <c r="C7" s="111" t="str">
        <f>VLOOKUP(1,Textbausteine_302[],Hilfsgrössen!$D$2,FALSE)</f>
        <v>Consommation énergétique au sein et en dehors de l'organisation</v>
      </c>
      <c r="D7" s="4"/>
    </row>
    <row r="8" spans="1:83" ht="12.95" customHeight="1" x14ac:dyDescent="0.2">
      <c r="B8" s="2"/>
      <c r="C8" s="111" t="str">
        <f>VLOOKUP(2,Textbausteine_302[],Hilfsgrössen!$D$2,FALSE)</f>
        <v>Autres indicateurs énergétiques</v>
      </c>
      <c r="D8" s="4"/>
    </row>
    <row r="9" spans="1:83" ht="12.95" customHeight="1" x14ac:dyDescent="0.2">
      <c r="B9" s="2"/>
    </row>
    <row r="10" spans="1:83" ht="12.95" customHeight="1" x14ac:dyDescent="0.2">
      <c r="B10" s="2"/>
      <c r="E10" s="28"/>
      <c r="F10" s="28"/>
      <c r="H10" s="11"/>
      <c r="I10" s="11"/>
      <c r="J10" s="11"/>
      <c r="K10" s="11"/>
      <c r="L10" s="11"/>
      <c r="M10" s="11"/>
      <c r="U10" s="7"/>
      <c r="V10" s="7"/>
      <c r="W10" s="7"/>
      <c r="X10" s="7"/>
      <c r="Y10" s="7"/>
      <c r="Z10" s="28"/>
      <c r="AA10" s="28"/>
      <c r="AB10" s="28"/>
      <c r="AC10" s="28"/>
      <c r="AD10" s="28"/>
      <c r="AE10" s="28"/>
      <c r="AF10" s="28"/>
      <c r="AG10" s="28"/>
      <c r="AH10" s="28"/>
      <c r="AI10" s="28"/>
      <c r="AJ10" s="28"/>
      <c r="AK10" s="28"/>
      <c r="AL10" s="28"/>
      <c r="AM10" s="28"/>
      <c r="AN10" s="28"/>
      <c r="AO10" s="28"/>
      <c r="AP10" s="28"/>
      <c r="AQ10" s="28"/>
      <c r="AR10" s="28"/>
      <c r="AS10" s="28"/>
      <c r="AT10" s="28"/>
      <c r="AU10" s="28"/>
      <c r="AV10" s="28"/>
      <c r="AW10" s="28"/>
      <c r="AX10" s="28"/>
      <c r="AY10" s="28"/>
      <c r="AZ10" s="28"/>
      <c r="BA10" s="28"/>
      <c r="BB10" s="28"/>
      <c r="BC10" s="28"/>
      <c r="BD10" s="28"/>
      <c r="BE10" s="28"/>
      <c r="BF10" s="28"/>
      <c r="BG10" s="28"/>
      <c r="BH10" s="28"/>
      <c r="BI10" s="28"/>
      <c r="BJ10" s="28"/>
      <c r="BK10" s="28"/>
      <c r="BL10" s="28"/>
      <c r="BM10" s="28"/>
      <c r="BN10" s="28"/>
      <c r="BO10" s="28"/>
      <c r="BP10" s="28"/>
      <c r="BQ10" s="28"/>
      <c r="BR10" s="28"/>
      <c r="BS10" s="28"/>
      <c r="BT10" s="28"/>
      <c r="BU10" s="28"/>
      <c r="BV10" s="28"/>
      <c r="BW10" s="28"/>
      <c r="BX10" s="28"/>
      <c r="BY10" s="28"/>
      <c r="BZ10" s="28"/>
      <c r="CA10" s="28"/>
      <c r="CB10" s="28"/>
      <c r="CC10" s="28"/>
      <c r="CD10" s="28"/>
      <c r="CE10" s="28"/>
    </row>
    <row r="11" spans="1:83" s="78" customFormat="1" ht="12.95" customHeight="1" x14ac:dyDescent="0.2">
      <c r="A11" s="112" t="s">
        <v>27</v>
      </c>
      <c r="B11" s="401" t="str">
        <f>$C$7</f>
        <v>Consommation énergétique au sein et en dehors de l'organisation</v>
      </c>
      <c r="C11" s="401"/>
      <c r="D11" s="78" t="str">
        <f>VLOOKUP(32,Textbausteine_Menu[],Hilfsgrössen!$D$2,FALSE)</f>
        <v>Unité</v>
      </c>
      <c r="E11" s="72" t="str">
        <f>VLOOKUP(33,Textbausteine_Menu[],Hilfsgrössen!$D$2,FALSE)</f>
        <v>Notes</v>
      </c>
      <c r="F11" s="72" t="str">
        <f>VLOOKUP(34,Textbausteine_Menu[],Hilfsgrössen!$D$2,FALSE)</f>
        <v>GRI</v>
      </c>
      <c r="G11" s="34"/>
      <c r="H11" s="72">
        <v>2010</v>
      </c>
      <c r="I11" s="72">
        <v>2011</v>
      </c>
      <c r="J11" s="72">
        <v>2012</v>
      </c>
      <c r="K11" s="72">
        <v>2013</v>
      </c>
      <c r="L11" s="72">
        <v>2014</v>
      </c>
      <c r="M11" s="72">
        <v>2015</v>
      </c>
      <c r="N11" s="74">
        <v>2016</v>
      </c>
      <c r="O11" s="74">
        <v>2017</v>
      </c>
      <c r="P11" s="74">
        <v>2018</v>
      </c>
      <c r="Q11" s="74">
        <v>2019</v>
      </c>
      <c r="R11" s="72">
        <v>2020</v>
      </c>
      <c r="S11" s="72" t="s">
        <v>118</v>
      </c>
      <c r="T11" s="72">
        <v>2022</v>
      </c>
      <c r="U11" s="74"/>
      <c r="V11" s="74"/>
      <c r="W11" s="74"/>
      <c r="X11" s="74"/>
      <c r="Y11" s="74"/>
      <c r="Z11" s="72"/>
      <c r="AA11" s="72"/>
      <c r="AB11" s="72"/>
      <c r="AC11" s="72"/>
      <c r="AD11" s="72"/>
      <c r="AE11" s="72"/>
      <c r="AF11" s="72"/>
      <c r="AG11" s="72"/>
      <c r="AH11" s="72"/>
      <c r="AI11" s="72"/>
      <c r="AJ11" s="72"/>
      <c r="AK11" s="72"/>
      <c r="AL11" s="72"/>
      <c r="AM11" s="72"/>
      <c r="AN11" s="72"/>
      <c r="AO11" s="72"/>
      <c r="AP11" s="72"/>
      <c r="AQ11" s="72"/>
      <c r="AR11" s="72"/>
      <c r="AS11" s="72"/>
      <c r="AT11" s="72"/>
      <c r="AU11" s="72"/>
      <c r="AV11" s="72"/>
      <c r="AW11" s="72"/>
      <c r="AX11" s="72"/>
      <c r="AY11" s="72"/>
      <c r="AZ11" s="72"/>
      <c r="BA11" s="72"/>
      <c r="BB11" s="72"/>
      <c r="BC11" s="72"/>
      <c r="BD11" s="72"/>
      <c r="BE11" s="72"/>
      <c r="BF11" s="72"/>
      <c r="BG11" s="72"/>
      <c r="BH11" s="72"/>
      <c r="BI11" s="72"/>
      <c r="BJ11" s="72"/>
      <c r="BK11" s="72"/>
      <c r="BL11" s="72"/>
      <c r="BM11" s="72"/>
      <c r="BN11" s="72"/>
      <c r="BO11" s="72"/>
      <c r="BP11" s="72"/>
      <c r="BQ11" s="72"/>
      <c r="BR11" s="72"/>
      <c r="BS11" s="72"/>
      <c r="BT11" s="72"/>
      <c r="BU11" s="72"/>
      <c r="BV11" s="72"/>
      <c r="BW11" s="72"/>
      <c r="BX11" s="72"/>
      <c r="BY11" s="72"/>
      <c r="BZ11" s="72"/>
      <c r="CA11" s="72"/>
      <c r="CB11" s="72"/>
      <c r="CC11" s="72"/>
      <c r="CD11" s="72"/>
      <c r="CE11" s="72"/>
    </row>
    <row r="12" spans="1:83" s="6" customFormat="1" ht="12.95" customHeight="1" x14ac:dyDescent="0.2">
      <c r="A12" s="66"/>
      <c r="B12" s="401"/>
      <c r="C12" s="401"/>
      <c r="E12" s="28"/>
      <c r="F12" s="28"/>
      <c r="G12" s="33"/>
      <c r="H12" s="9"/>
      <c r="I12" s="9"/>
      <c r="J12" s="9"/>
      <c r="K12" s="9"/>
      <c r="L12" s="9"/>
      <c r="M12" s="9"/>
      <c r="N12" s="11"/>
      <c r="O12" s="11"/>
      <c r="P12" s="11"/>
      <c r="Q12" s="11"/>
      <c r="R12" s="11"/>
      <c r="S12" s="11"/>
      <c r="T12" s="11"/>
      <c r="U12" s="7"/>
      <c r="V12" s="7"/>
      <c r="W12" s="7"/>
      <c r="X12" s="7"/>
      <c r="Y12" s="7"/>
      <c r="Z12" s="9"/>
      <c r="AA12" s="9"/>
      <c r="AB12" s="9"/>
      <c r="AC12" s="9"/>
      <c r="AD12" s="9"/>
      <c r="AE12" s="9"/>
      <c r="AF12" s="9"/>
      <c r="AG12" s="9"/>
      <c r="AH12" s="9"/>
      <c r="AI12" s="9"/>
      <c r="AJ12" s="9"/>
      <c r="AK12" s="9"/>
      <c r="AL12" s="9"/>
      <c r="AM12" s="9"/>
      <c r="AN12" s="9"/>
      <c r="AO12" s="9"/>
      <c r="AP12" s="9"/>
      <c r="AQ12" s="9"/>
      <c r="AR12" s="9"/>
      <c r="AS12" s="9"/>
      <c r="AT12" s="9"/>
      <c r="AU12" s="9"/>
      <c r="AV12" s="9"/>
      <c r="AW12" s="9"/>
      <c r="AX12" s="9"/>
      <c r="AY12" s="9"/>
      <c r="AZ12" s="9"/>
      <c r="BA12" s="9"/>
      <c r="BB12" s="9"/>
      <c r="BC12" s="9"/>
      <c r="BD12" s="9"/>
      <c r="BE12" s="9"/>
      <c r="BF12" s="9"/>
      <c r="BG12" s="9"/>
      <c r="BH12" s="9"/>
      <c r="BI12" s="9"/>
      <c r="BJ12" s="9"/>
      <c r="BK12" s="9"/>
      <c r="BL12" s="9"/>
      <c r="BM12" s="9"/>
      <c r="BN12" s="9"/>
      <c r="BO12" s="9"/>
      <c r="BP12" s="9"/>
      <c r="BQ12" s="9"/>
      <c r="BR12" s="9"/>
      <c r="BS12" s="9"/>
      <c r="BT12" s="9"/>
      <c r="BU12" s="9"/>
      <c r="BV12" s="9"/>
      <c r="BW12" s="9"/>
      <c r="BX12" s="9"/>
      <c r="BY12" s="9"/>
      <c r="BZ12" s="9"/>
      <c r="CA12" s="9"/>
      <c r="CB12" s="9"/>
      <c r="CC12" s="9"/>
      <c r="CD12" s="9"/>
      <c r="CE12" s="9"/>
    </row>
    <row r="13" spans="1:83" ht="12.95" customHeight="1" x14ac:dyDescent="0.2">
      <c r="B13" s="2"/>
      <c r="E13" s="68"/>
      <c r="G13" s="33"/>
    </row>
    <row r="14" spans="1:83" ht="12.95" customHeight="1" x14ac:dyDescent="0.2">
      <c r="B14" s="2" t="str">
        <f>VLOOKUP(36,Textbausteine_Menu[],Hilfsgrössen!$D$2,FALSE)</f>
        <v>Groupe</v>
      </c>
      <c r="C14" s="2"/>
      <c r="D14" s="2"/>
      <c r="H14" s="11"/>
      <c r="I14" s="11"/>
      <c r="L14" s="79"/>
      <c r="M14" s="79"/>
      <c r="U14" s="15"/>
      <c r="V14" s="15"/>
      <c r="W14" s="15"/>
      <c r="X14" s="15"/>
      <c r="Y14" s="15"/>
    </row>
    <row r="15" spans="1:83" ht="12.95" customHeight="1" x14ac:dyDescent="0.2">
      <c r="C15" s="113" t="str">
        <f>VLOOKUP(31,Textbausteine_302[],Hilfsgrössen!$D$2,FALSE)</f>
        <v>Consommation de carburants</v>
      </c>
      <c r="D15" s="16"/>
      <c r="H15" s="11"/>
      <c r="I15" s="11"/>
      <c r="L15" s="79"/>
      <c r="M15" s="79"/>
      <c r="U15" s="15"/>
      <c r="V15" s="15"/>
      <c r="W15" s="15"/>
      <c r="X15" s="15"/>
      <c r="Y15" s="15"/>
    </row>
    <row r="16" spans="1:83" ht="12.95" customHeight="1" x14ac:dyDescent="0.2">
      <c r="C16" s="17" t="str">
        <f>VLOOKUP(31,Textbausteine_302[],Hilfsgrössen!$D$2,FALSE)</f>
        <v>Consommation de carburants</v>
      </c>
      <c r="D16" s="16" t="str">
        <f>VLOOKUP(11,Textbausteine_302[],Hilfsgrössen!$D$2,FALSE)</f>
        <v>GWh</v>
      </c>
      <c r="E16" s="9">
        <v>1</v>
      </c>
      <c r="H16" s="190">
        <f>SUM(H17,H28)</f>
        <v>1141.5601300707381</v>
      </c>
      <c r="I16" s="190">
        <f>SUM(I17,I28)</f>
        <v>1149.493855542866</v>
      </c>
      <c r="J16" s="190">
        <f>SUM(J17,J28)</f>
        <v>1197.244812174489</v>
      </c>
      <c r="K16" s="190">
        <f t="shared" ref="K16" si="0">SUM(K17,K28)</f>
        <v>1138.6504437543717</v>
      </c>
      <c r="L16" s="190">
        <f>SUM(L17,L28)</f>
        <v>1134.2495197794015</v>
      </c>
      <c r="M16" s="190">
        <f>SUM(M17,M28)</f>
        <v>1143.9663664568016</v>
      </c>
      <c r="N16" s="190">
        <f>SUM(N17,N28)</f>
        <v>1180.5568753905591</v>
      </c>
      <c r="O16" s="190">
        <f>SUM(O17,O28)</f>
        <v>1147.378730758021</v>
      </c>
      <c r="P16" s="190">
        <v>1159.0383935448001</v>
      </c>
      <c r="Q16" s="278">
        <f>Q17+Q28</f>
        <v>1229.42</v>
      </c>
      <c r="R16" s="278">
        <f t="shared" ref="R16" si="1">R17+R28</f>
        <v>1192.43</v>
      </c>
      <c r="S16" s="9">
        <f>S17+S28</f>
        <v>1485.99</v>
      </c>
      <c r="T16" s="9">
        <f>T28+T17</f>
        <v>1514.8000000000002</v>
      </c>
      <c r="U16" s="12"/>
      <c r="V16" s="12"/>
      <c r="W16" s="12"/>
      <c r="X16" s="12"/>
    </row>
    <row r="17" spans="3:25" ht="12.95" customHeight="1" x14ac:dyDescent="0.2">
      <c r="C17" s="114" t="str">
        <f>VLOOKUP(32,Textbausteine_302[],Hilfsgrössen!$D$2,FALSE)</f>
        <v>Consommation de carburants (au sein de la Poste)</v>
      </c>
      <c r="D17" s="16" t="str">
        <f>VLOOKUP(11,Textbausteine_302[],Hilfsgrössen!$D$2,FALSE)</f>
        <v>GWh</v>
      </c>
      <c r="E17" s="9">
        <v>1</v>
      </c>
      <c r="F17" s="9" t="s">
        <v>119</v>
      </c>
      <c r="H17" s="188">
        <f>SUM(H19,H21:H22,H24)</f>
        <v>609.31514508888813</v>
      </c>
      <c r="I17" s="188">
        <f>SUM(I19,I21:I22,I24)</f>
        <v>621.85307296666599</v>
      </c>
      <c r="J17" s="181">
        <f>SUM(J19,J21:J22,J24)</f>
        <v>636.07586048888902</v>
      </c>
      <c r="K17" s="181">
        <f>SUM(K19,K21:K22,K24,K26)</f>
        <v>653.72490732221183</v>
      </c>
      <c r="L17" s="214">
        <f>SUM(L19,L21:L22,L24,L26)</f>
        <v>649.59068726110149</v>
      </c>
      <c r="M17" s="214">
        <f>SUM(M19,M21:M22,M24,M26)</f>
        <v>651.67637380774147</v>
      </c>
      <c r="N17" s="196">
        <f>SUM(N19,N21:N22,N24,N26)</f>
        <v>669.96657913647914</v>
      </c>
      <c r="O17" s="196">
        <f>SUM(O19,O21:O22,O24)</f>
        <v>658.08255089914098</v>
      </c>
      <c r="P17" s="196">
        <v>665.52959588715999</v>
      </c>
      <c r="Q17" s="279">
        <v>647.21</v>
      </c>
      <c r="R17" s="279">
        <v>627.61</v>
      </c>
      <c r="S17" s="9">
        <v>694.23</v>
      </c>
      <c r="T17" s="9">
        <v>706.83</v>
      </c>
      <c r="U17" s="15"/>
      <c r="V17" s="15"/>
      <c r="W17" s="15"/>
      <c r="X17" s="15"/>
      <c r="Y17" s="15"/>
    </row>
    <row r="18" spans="3:25" ht="12.95" customHeight="1" x14ac:dyDescent="0.2">
      <c r="C18" s="115" t="str">
        <f>VLOOKUP(33,Textbausteine_302[],Hilfsgrössen!$D$2,FALSE)</f>
        <v>Part de carburants renouvelables (au sein de la Poste)</v>
      </c>
      <c r="D18" s="16" t="str">
        <f>VLOOKUP(12,Textbausteine_302[],Hilfsgrössen!$D$2,FALSE)</f>
        <v>%</v>
      </c>
      <c r="E18" s="9">
        <v>1</v>
      </c>
      <c r="F18" s="9" t="s">
        <v>119</v>
      </c>
      <c r="H18" s="229">
        <v>0.35478541872998998</v>
      </c>
      <c r="I18" s="229">
        <v>1.1567168482984</v>
      </c>
      <c r="J18" s="230">
        <v>1.1485380847405</v>
      </c>
      <c r="K18" s="226">
        <v>1.1168743896872999</v>
      </c>
      <c r="L18" s="228">
        <v>1.0955225747880999</v>
      </c>
      <c r="M18" s="228">
        <v>1.5431254318726999</v>
      </c>
      <c r="N18" s="229">
        <v>1.252446342611</v>
      </c>
      <c r="O18" s="229">
        <v>1.2342065211546001</v>
      </c>
      <c r="P18" s="229">
        <v>1.2406316478727</v>
      </c>
      <c r="Q18" s="226">
        <v>1.24</v>
      </c>
      <c r="R18" s="226">
        <v>1.24</v>
      </c>
      <c r="S18" s="319">
        <v>2.5499999999999998</v>
      </c>
      <c r="T18" s="319">
        <v>2.66</v>
      </c>
      <c r="U18" s="15"/>
      <c r="V18" s="15"/>
      <c r="W18" s="15"/>
      <c r="X18" s="15"/>
    </row>
    <row r="19" spans="3:25" ht="12.95" customHeight="1" x14ac:dyDescent="0.2">
      <c r="C19" s="116" t="str">
        <f>VLOOKUP(34,Textbausteine_302[],Hilfsgrössen!$D$2,FALSE)</f>
        <v>Diesel (au sein de la Poste)</v>
      </c>
      <c r="D19" s="16" t="str">
        <f>VLOOKUP(11,Textbausteine_302[],Hilfsgrössen!$D$2,FALSE)</f>
        <v>GWh</v>
      </c>
      <c r="E19" s="9">
        <v>1</v>
      </c>
      <c r="F19" s="9" t="s">
        <v>119</v>
      </c>
      <c r="H19" s="188">
        <v>544.40902000000006</v>
      </c>
      <c r="I19" s="188">
        <v>560.00621000000001</v>
      </c>
      <c r="J19" s="181">
        <v>582.90075000000002</v>
      </c>
      <c r="K19" s="181">
        <v>608.74079799999004</v>
      </c>
      <c r="L19" s="214">
        <v>607.69878899999003</v>
      </c>
      <c r="M19" s="214">
        <v>613.16696364972995</v>
      </c>
      <c r="N19" s="181">
        <v>637.89312152758998</v>
      </c>
      <c r="O19" s="181">
        <v>630.95065035518996</v>
      </c>
      <c r="P19" s="181">
        <v>639.84254149914</v>
      </c>
      <c r="Q19" s="181">
        <v>618.52</v>
      </c>
      <c r="R19" s="181">
        <v>599.65</v>
      </c>
      <c r="S19" s="9">
        <v>663.03</v>
      </c>
      <c r="T19" s="9">
        <v>674.67</v>
      </c>
      <c r="U19" s="15"/>
      <c r="V19" s="15"/>
      <c r="W19" s="15"/>
      <c r="X19" s="15"/>
      <c r="Y19" s="15"/>
    </row>
    <row r="20" spans="3:25" ht="12.95" customHeight="1" x14ac:dyDescent="0.2">
      <c r="C20" s="115" t="str">
        <f>VLOOKUP(35,Textbausteine_302[],Hilfsgrössen!$D$2,FALSE)</f>
        <v>Part de biodiesel renouvelable (au sein de la Poste)</v>
      </c>
      <c r="D20" s="16" t="str">
        <f>VLOOKUP(12,Textbausteine_302[],Hilfsgrössen!$D$2,FALSE)</f>
        <v>%</v>
      </c>
      <c r="E20" s="9">
        <v>1</v>
      </c>
      <c r="F20" s="9" t="s">
        <v>119</v>
      </c>
      <c r="H20" s="9" t="s">
        <v>29</v>
      </c>
      <c r="I20" s="9" t="s">
        <v>29</v>
      </c>
      <c r="J20" s="9" t="s">
        <v>29</v>
      </c>
      <c r="K20" s="9" t="s">
        <v>29</v>
      </c>
      <c r="L20" s="9" t="s">
        <v>29</v>
      </c>
      <c r="M20" s="228">
        <v>0.54443258490796997</v>
      </c>
      <c r="N20" s="226">
        <v>0.48426318195439999</v>
      </c>
      <c r="O20" s="226">
        <v>0.72887832434894995</v>
      </c>
      <c r="P20" s="226">
        <v>0.74692666051560996</v>
      </c>
      <c r="Q20" s="226">
        <v>0.73</v>
      </c>
      <c r="R20" s="226">
        <v>0.65</v>
      </c>
      <c r="S20" s="226">
        <v>1.8808</v>
      </c>
      <c r="T20" s="226">
        <v>1.8660000000000001</v>
      </c>
      <c r="Y20" s="15"/>
    </row>
    <row r="21" spans="3:25" ht="12.95" customHeight="1" x14ac:dyDescent="0.2">
      <c r="C21" s="116" t="str">
        <f>VLOOKUP(36,Textbausteine_302[],Hilfsgrössen!$D$2,FALSE)</f>
        <v>Essence (au sein de la Poste)</v>
      </c>
      <c r="D21" s="16" t="str">
        <f>VLOOKUP(11,Textbausteine_302[],Hilfsgrössen!$D$2,FALSE)</f>
        <v>GWh</v>
      </c>
      <c r="E21" s="9">
        <v>1</v>
      </c>
      <c r="F21" s="9" t="s">
        <v>119</v>
      </c>
      <c r="H21" s="268">
        <v>47.134163999999998</v>
      </c>
      <c r="I21" s="268">
        <v>42.558746999999997</v>
      </c>
      <c r="J21" s="268">
        <v>41.277111333333998</v>
      </c>
      <c r="K21" s="268">
        <v>33.425691933332999</v>
      </c>
      <c r="L21" s="268">
        <v>30.902586244445001</v>
      </c>
      <c r="M21" s="268">
        <v>28.164445756945</v>
      </c>
      <c r="N21" s="268">
        <v>25.191793305556001</v>
      </c>
      <c r="O21" s="268">
        <v>22.953475213950998</v>
      </c>
      <c r="P21" s="268">
        <v>21.373896523271</v>
      </c>
      <c r="Q21" s="268">
        <v>24.18</v>
      </c>
      <c r="R21" s="268">
        <v>23.61</v>
      </c>
      <c r="S21" s="320">
        <v>25.96</v>
      </c>
      <c r="T21" s="320">
        <v>25.59</v>
      </c>
    </row>
    <row r="22" spans="3:25" ht="12.95" customHeight="1" x14ac:dyDescent="0.2">
      <c r="C22" s="116" t="str">
        <f>VLOOKUP(37,Textbausteine_302[],Hilfsgrössen!$D$2,FALSE)</f>
        <v>Gaz naturel (au sein de la Poste)</v>
      </c>
      <c r="D22" s="16" t="str">
        <f>VLOOKUP(11,Textbausteine_302[],Hilfsgrössen!$D$2,FALSE)</f>
        <v>GWh</v>
      </c>
      <c r="E22" s="9" t="s">
        <v>72</v>
      </c>
      <c r="F22" s="9" t="s">
        <v>119</v>
      </c>
      <c r="H22" s="268">
        <v>17.359948088888</v>
      </c>
      <c r="I22" s="268">
        <v>18.315607966666001</v>
      </c>
      <c r="J22" s="268">
        <v>10.627592155555</v>
      </c>
      <c r="K22" s="268">
        <v>8.6863183888887008</v>
      </c>
      <c r="L22" s="268">
        <v>7.7856172666664998</v>
      </c>
      <c r="M22" s="268">
        <v>7.3162420243998003</v>
      </c>
      <c r="N22" s="268">
        <v>3.4726373333331999</v>
      </c>
      <c r="O22" s="268">
        <v>1.4541024</v>
      </c>
      <c r="P22" s="268">
        <v>1.2843088647576999</v>
      </c>
      <c r="Q22" s="268">
        <v>0.7</v>
      </c>
      <c r="R22" s="268">
        <v>0.12</v>
      </c>
      <c r="S22" s="9">
        <v>7.0000000000000007E-2</v>
      </c>
      <c r="T22" s="9">
        <v>0.39</v>
      </c>
    </row>
    <row r="23" spans="3:25" ht="12.95" customHeight="1" x14ac:dyDescent="0.2">
      <c r="C23" s="115" t="str">
        <f>VLOOKUP(38,Textbausteine_302[],Hilfsgrössen!$D$2,FALSE)</f>
        <v>Part de biogaz renouvelable (au sein de la Poste)</v>
      </c>
      <c r="D23" s="16" t="str">
        <f>VLOOKUP(12,Textbausteine_302[],Hilfsgrössen!$D$2,FALSE)</f>
        <v>%</v>
      </c>
      <c r="E23" s="9" t="s">
        <v>72</v>
      </c>
      <c r="F23" s="9" t="s">
        <v>119</v>
      </c>
      <c r="H23" s="268">
        <v>10.079225352112999</v>
      </c>
      <c r="I23" s="268">
        <v>33.963225670629001</v>
      </c>
      <c r="J23" s="268">
        <v>56.787712750162001</v>
      </c>
      <c r="K23" s="268">
        <v>52.064144858813997</v>
      </c>
      <c r="L23" s="268">
        <v>51.146533797846999</v>
      </c>
      <c r="M23" s="268">
        <v>51.490128563768998</v>
      </c>
      <c r="N23" s="268">
        <v>55.482631740411001</v>
      </c>
      <c r="O23" s="268">
        <v>54.941955944781</v>
      </c>
      <c r="P23" s="268">
        <v>34.942316219422999</v>
      </c>
      <c r="Q23" s="268">
        <v>15.41</v>
      </c>
      <c r="R23" s="268">
        <v>49.05</v>
      </c>
      <c r="S23" s="320">
        <v>77.42</v>
      </c>
      <c r="T23" s="320">
        <v>3.49</v>
      </c>
    </row>
    <row r="24" spans="3:25" ht="12.95" customHeight="1" x14ac:dyDescent="0.2">
      <c r="C24" s="116" t="str">
        <f>VLOOKUP(39,Textbausteine_302[],Hilfsgrössen!$D$2,FALSE)</f>
        <v>Electricité comme carburant (au sein de la Poste)</v>
      </c>
      <c r="D24" s="16" t="str">
        <f>VLOOKUP(11,Textbausteine_302[],Hilfsgrössen!$D$2,FALSE)</f>
        <v>GWh</v>
      </c>
      <c r="E24" s="9" t="s">
        <v>72</v>
      </c>
      <c r="F24" s="9" t="s">
        <v>119</v>
      </c>
      <c r="H24" s="226">
        <v>0.41201300000000002</v>
      </c>
      <c r="I24" s="226">
        <v>0.97250800000000004</v>
      </c>
      <c r="J24" s="226">
        <v>1.2704070000000001</v>
      </c>
      <c r="K24" s="226">
        <v>1.812209</v>
      </c>
      <c r="L24" s="226">
        <v>2.240424</v>
      </c>
      <c r="M24" s="226">
        <v>2.3199797100000001</v>
      </c>
      <c r="N24" s="226">
        <v>2.7038777199999999</v>
      </c>
      <c r="O24" s="226">
        <v>2.72432293</v>
      </c>
      <c r="P24" s="226">
        <v>3.0288490000000001</v>
      </c>
      <c r="Q24" s="226">
        <v>3.81</v>
      </c>
      <c r="R24" s="226">
        <v>4.2300000000000004</v>
      </c>
      <c r="S24" s="226">
        <v>5.17</v>
      </c>
      <c r="T24" s="226">
        <v>6.18</v>
      </c>
    </row>
    <row r="25" spans="3:25" ht="12.95" customHeight="1" x14ac:dyDescent="0.2">
      <c r="C25" s="115" t="str">
        <f>VLOOKUP(40,Textbausteine_302[],Hilfsgrössen!$D$2,FALSE)</f>
        <v>Part d'électricité renouvelable comme carburant (au sein de la Poste)</v>
      </c>
      <c r="D25" s="16" t="str">
        <f>VLOOKUP(12,Textbausteine_302[],Hilfsgrössen!$D$2,FALSE)</f>
        <v>%</v>
      </c>
      <c r="E25" s="9" t="s">
        <v>120</v>
      </c>
      <c r="F25" s="9" t="s">
        <v>119</v>
      </c>
      <c r="H25" s="9">
        <v>100</v>
      </c>
      <c r="I25" s="9">
        <v>100</v>
      </c>
      <c r="J25" s="9">
        <v>100</v>
      </c>
      <c r="K25" s="9">
        <v>100</v>
      </c>
      <c r="L25" s="9">
        <v>100</v>
      </c>
      <c r="M25" s="9">
        <v>100</v>
      </c>
      <c r="N25" s="9">
        <v>100</v>
      </c>
      <c r="O25" s="9">
        <v>100</v>
      </c>
      <c r="P25" s="9">
        <v>100</v>
      </c>
      <c r="Q25" s="9">
        <v>95.89</v>
      </c>
      <c r="R25" s="9">
        <v>95.75</v>
      </c>
      <c r="S25" s="321">
        <v>100</v>
      </c>
      <c r="T25" s="321">
        <v>100</v>
      </c>
    </row>
    <row r="26" spans="3:25" ht="12.95" customHeight="1" x14ac:dyDescent="0.2">
      <c r="C26" s="116" t="str">
        <f>VLOOKUP(41,Textbausteine_302[],Hilfsgrössen!$D$2,FALSE)</f>
        <v>Hydrogène (au sein de la Poste)</v>
      </c>
      <c r="D26" s="16" t="str">
        <f>VLOOKUP(11,Textbausteine_302[],Hilfsgrössen!$D$2,FALSE)</f>
        <v>GWh</v>
      </c>
      <c r="E26" s="9" t="s">
        <v>72</v>
      </c>
      <c r="F26" s="9" t="s">
        <v>119</v>
      </c>
      <c r="H26" s="9" t="s">
        <v>29</v>
      </c>
      <c r="I26" s="9" t="s">
        <v>29</v>
      </c>
      <c r="J26" s="9" t="s">
        <v>29</v>
      </c>
      <c r="K26" s="9">
        <v>1.05989</v>
      </c>
      <c r="L26" s="9">
        <v>0.96327074999999995</v>
      </c>
      <c r="M26" s="9">
        <v>0.70874266666666996</v>
      </c>
      <c r="N26" s="9">
        <v>0.70514924999999995</v>
      </c>
      <c r="O26" s="9" t="s">
        <v>29</v>
      </c>
      <c r="P26" s="9" t="s">
        <v>29</v>
      </c>
      <c r="Q26" s="9" t="s">
        <v>29</v>
      </c>
      <c r="R26" s="9" t="s">
        <v>29</v>
      </c>
      <c r="S26" s="9" t="s">
        <v>29</v>
      </c>
      <c r="T26" s="9" t="s">
        <v>29</v>
      </c>
    </row>
    <row r="27" spans="3:25" ht="12.95" customHeight="1" x14ac:dyDescent="0.2">
      <c r="C27" s="115" t="str">
        <f>VLOOKUP(42,Textbausteine_302[],Hilfsgrössen!$D$2,FALSE)</f>
        <v>Part d'hydrogène renouvelable (au sein de la Poste)</v>
      </c>
      <c r="D27" s="16" t="str">
        <f>VLOOKUP(12,Textbausteine_302[],Hilfsgrössen!$D$2,FALSE)</f>
        <v>%</v>
      </c>
      <c r="E27" s="9" t="s">
        <v>72</v>
      </c>
      <c r="F27" s="9" t="s">
        <v>119</v>
      </c>
      <c r="H27" s="9" t="s">
        <v>29</v>
      </c>
      <c r="I27" s="9" t="s">
        <v>29</v>
      </c>
      <c r="J27" s="9" t="s">
        <v>29</v>
      </c>
      <c r="K27" s="9">
        <v>91.2</v>
      </c>
      <c r="L27" s="9">
        <v>92.8</v>
      </c>
      <c r="M27" s="9">
        <v>89</v>
      </c>
      <c r="N27" s="9">
        <v>95.2</v>
      </c>
      <c r="O27" s="9" t="s">
        <v>29</v>
      </c>
      <c r="P27" s="9" t="s">
        <v>29</v>
      </c>
      <c r="Q27" s="9" t="s">
        <v>29</v>
      </c>
      <c r="R27" s="9" t="s">
        <v>29</v>
      </c>
      <c r="S27" s="9" t="s">
        <v>29</v>
      </c>
      <c r="T27" s="9" t="s">
        <v>29</v>
      </c>
    </row>
    <row r="28" spans="3:25" ht="12.95" customHeight="1" x14ac:dyDescent="0.2">
      <c r="C28" s="114" t="str">
        <f>VLOOKUP(43,Textbausteine_302[],Hilfsgrössen!$D$2,FALSE)</f>
        <v>Consommation de carburants (en dehors de la Poste)</v>
      </c>
      <c r="D28" s="16" t="str">
        <f>VLOOKUP(11,Textbausteine_302[],Hilfsgrössen!$D$2,FALSE)</f>
        <v>GWh</v>
      </c>
      <c r="E28" s="9">
        <v>1</v>
      </c>
      <c r="F28" s="9" t="s">
        <v>121</v>
      </c>
      <c r="H28" s="9">
        <v>532.24498498185005</v>
      </c>
      <c r="I28" s="9">
        <v>527.64078257619997</v>
      </c>
      <c r="J28" s="9">
        <v>561.16895168559995</v>
      </c>
      <c r="K28" s="9">
        <v>484.92553643216002</v>
      </c>
      <c r="L28" s="9">
        <v>484.65883251830002</v>
      </c>
      <c r="M28" s="9">
        <v>492.28999264906003</v>
      </c>
      <c r="N28" s="9">
        <v>510.59029625407999</v>
      </c>
      <c r="O28" s="9">
        <v>489.29617985888001</v>
      </c>
      <c r="P28" s="9">
        <v>493.50879765768002</v>
      </c>
      <c r="Q28" s="9">
        <v>582.21</v>
      </c>
      <c r="R28" s="9">
        <v>564.82000000000005</v>
      </c>
      <c r="S28" s="268">
        <v>791.76</v>
      </c>
      <c r="T28" s="268">
        <v>807.97</v>
      </c>
    </row>
    <row r="29" spans="3:25" ht="12.95" customHeight="1" x14ac:dyDescent="0.2">
      <c r="C29" s="114"/>
      <c r="D29" s="16"/>
      <c r="N29" s="9"/>
      <c r="O29" s="9"/>
      <c r="P29" s="9"/>
      <c r="Q29" s="9"/>
      <c r="R29" s="9"/>
      <c r="S29" s="9"/>
      <c r="T29" s="9"/>
    </row>
    <row r="30" spans="3:25" ht="12.95" customHeight="1" x14ac:dyDescent="0.2">
      <c r="C30" s="113" t="str">
        <f>VLOOKUP(44,Textbausteine_302[],Hilfsgrössen!$D$2,FALSE)</f>
        <v>Consommation de combustibles</v>
      </c>
      <c r="D30" s="16"/>
      <c r="F30" s="11"/>
      <c r="N30" s="9"/>
      <c r="O30" s="9"/>
      <c r="P30" s="9"/>
      <c r="Q30" s="9"/>
      <c r="R30" s="9"/>
      <c r="S30" s="9"/>
      <c r="T30" s="9"/>
    </row>
    <row r="31" spans="3:25" ht="12.95" customHeight="1" x14ac:dyDescent="0.2">
      <c r="C31" s="17" t="str">
        <f>VLOOKUP(44,Textbausteine_302[],Hilfsgrössen!$D$2,FALSE)</f>
        <v>Consommation de combustibles</v>
      </c>
      <c r="D31" s="16" t="str">
        <f>VLOOKUP(11,Textbausteine_302[],Hilfsgrössen!$D$2,FALSE)</f>
        <v>GWh</v>
      </c>
      <c r="E31" s="9">
        <v>1</v>
      </c>
      <c r="G31" s="267"/>
      <c r="H31" s="9">
        <v>197.44983799999898</v>
      </c>
      <c r="I31" s="9">
        <v>166.77795333333202</v>
      </c>
      <c r="J31" s="9">
        <v>162.46546533333299</v>
      </c>
      <c r="K31" s="9">
        <v>144.567847495053</v>
      </c>
      <c r="L31" s="9">
        <v>133.73786956666601</v>
      </c>
      <c r="M31" s="9">
        <v>134.609974516666</v>
      </c>
      <c r="N31" s="9">
        <v>135.64601366666599</v>
      </c>
      <c r="O31" s="9">
        <v>134.533306227297</v>
      </c>
      <c r="P31" s="9">
        <v>159.86959143796</v>
      </c>
      <c r="Q31" s="9">
        <f>Q32+Q43</f>
        <v>156.51999999999998</v>
      </c>
      <c r="R31" s="9">
        <f t="shared" ref="R31" si="2">R32+R43</f>
        <v>153.65</v>
      </c>
      <c r="S31" s="9">
        <f>S32+S43</f>
        <v>153.79</v>
      </c>
      <c r="T31" s="9">
        <f>T32+T43</f>
        <v>146.63</v>
      </c>
    </row>
    <row r="32" spans="3:25" ht="12.95" customHeight="1" x14ac:dyDescent="0.2">
      <c r="C32" s="114" t="str">
        <f>VLOOKUP(45,Textbausteine_302[],Hilfsgrössen!$D$2,FALSE)</f>
        <v>Consommation de combustibles (au sein de la Poste)</v>
      </c>
      <c r="D32" s="16" t="str">
        <f>VLOOKUP(11,Textbausteine_302[],Hilfsgrössen!$D$2,FALSE)</f>
        <v>GWh</v>
      </c>
      <c r="E32" s="9">
        <v>1</v>
      </c>
      <c r="F32" s="9" t="s">
        <v>119</v>
      </c>
      <c r="H32" s="9">
        <v>100.882782833333</v>
      </c>
      <c r="I32" s="9">
        <v>85.45137166666602</v>
      </c>
      <c r="J32" s="9">
        <v>95.44584233333299</v>
      </c>
      <c r="K32" s="9">
        <v>78.260579333332998</v>
      </c>
      <c r="L32" s="9">
        <v>78.104861999999997</v>
      </c>
      <c r="M32" s="9">
        <v>79.642092000000005</v>
      </c>
      <c r="N32" s="9">
        <v>79.983076833333001</v>
      </c>
      <c r="O32" s="9">
        <v>76.252287333333001</v>
      </c>
      <c r="P32" s="9">
        <v>96.372365888888993</v>
      </c>
      <c r="Q32" s="9">
        <v>93.52</v>
      </c>
      <c r="R32" s="9">
        <v>93.33</v>
      </c>
      <c r="S32" s="9">
        <v>101.16</v>
      </c>
      <c r="T32" s="9">
        <v>91.09</v>
      </c>
    </row>
    <row r="33" spans="3:20" ht="12.95" customHeight="1" x14ac:dyDescent="0.2">
      <c r="C33" s="115" t="str">
        <f>VLOOKUP(46,Textbausteine_302[],Hilfsgrössen!$D$2,FALSE)</f>
        <v>Part de combustibles renouvelables (au sein de la Poste)</v>
      </c>
      <c r="D33" s="16" t="str">
        <f>VLOOKUP(12,Textbausteine_302[],Hilfsgrössen!$D$2,FALSE)</f>
        <v>%</v>
      </c>
      <c r="E33" s="9">
        <v>1</v>
      </c>
      <c r="F33" s="9" t="s">
        <v>119</v>
      </c>
      <c r="H33" s="226">
        <v>9.8889626330711007</v>
      </c>
      <c r="I33" s="226">
        <v>8.4005998089798002</v>
      </c>
      <c r="J33" s="226">
        <v>8.7451638922550998</v>
      </c>
      <c r="K33" s="226">
        <v>9.4947815098100001</v>
      </c>
      <c r="L33" s="226">
        <v>13.149458430124</v>
      </c>
      <c r="M33" s="226">
        <v>14.406724736997999</v>
      </c>
      <c r="N33" s="226">
        <v>14.396322900954001</v>
      </c>
      <c r="O33" s="226">
        <v>18.165597460392</v>
      </c>
      <c r="P33" s="226">
        <v>37.376533286612002</v>
      </c>
      <c r="Q33" s="226">
        <v>37.14</v>
      </c>
      <c r="R33" s="226">
        <v>36.869999999999997</v>
      </c>
      <c r="S33" s="322">
        <v>38.47</v>
      </c>
      <c r="T33" s="322">
        <v>40.96</v>
      </c>
    </row>
    <row r="34" spans="3:20" ht="12.95" customHeight="1" x14ac:dyDescent="0.2">
      <c r="C34" s="116" t="str">
        <f>VLOOKUP(47,Textbausteine_302[],Hilfsgrössen!$D$2,FALSE)</f>
        <v>Mazout extra-léger (au sein de la Poste)</v>
      </c>
      <c r="D34" s="16" t="str">
        <f>VLOOKUP(11,Textbausteine_302[],Hilfsgrössen!$D$2,FALSE)</f>
        <v>GWh</v>
      </c>
      <c r="E34" s="9">
        <v>1</v>
      </c>
      <c r="F34" s="11" t="s">
        <v>119</v>
      </c>
      <c r="H34" s="9">
        <v>60.484234833332998</v>
      </c>
      <c r="I34" s="9">
        <v>50.574408666666002</v>
      </c>
      <c r="J34" s="9">
        <v>51.829524333332998</v>
      </c>
      <c r="K34" s="9">
        <v>43.358942333332998</v>
      </c>
      <c r="L34" s="9">
        <v>33.214683000000001</v>
      </c>
      <c r="M34" s="9">
        <v>30.504086999999998</v>
      </c>
      <c r="N34" s="9">
        <v>28.167044833333001</v>
      </c>
      <c r="O34" s="9">
        <v>27.763987333332999</v>
      </c>
      <c r="P34" s="9">
        <v>25.296445833332999</v>
      </c>
      <c r="Q34" s="9">
        <v>25.98</v>
      </c>
      <c r="R34" s="9">
        <v>23.53</v>
      </c>
      <c r="S34" s="9">
        <v>24.26</v>
      </c>
      <c r="T34" s="9">
        <v>18.48</v>
      </c>
    </row>
    <row r="35" spans="3:20" ht="12.95" customHeight="1" x14ac:dyDescent="0.2">
      <c r="C35" s="116" t="str">
        <f>VLOOKUP(48,Textbausteine_302[],Hilfsgrössen!$D$2,FALSE)</f>
        <v>Gaz naturel (au sein de la Poste)</v>
      </c>
      <c r="D35" s="16" t="str">
        <f>VLOOKUP(11,Textbausteine_302[],Hilfsgrössen!$D$2,FALSE)</f>
        <v>GWh</v>
      </c>
      <c r="E35" s="11">
        <v>1</v>
      </c>
      <c r="F35" s="11" t="s">
        <v>119</v>
      </c>
      <c r="G35" s="267"/>
      <c r="H35" s="9">
        <v>19.330335999999999</v>
      </c>
      <c r="I35" s="9">
        <v>19.300885000000001</v>
      </c>
      <c r="J35" s="9">
        <v>25.737584999999999</v>
      </c>
      <c r="K35" s="9">
        <v>18.861450000000001</v>
      </c>
      <c r="L35" s="9">
        <v>20.544436999999999</v>
      </c>
      <c r="M35" s="9">
        <v>19.133552999999999</v>
      </c>
      <c r="N35" s="9">
        <v>18.24288</v>
      </c>
      <c r="O35" s="9">
        <v>16.296202999999998</v>
      </c>
      <c r="P35" s="9">
        <v>28.467953000000001</v>
      </c>
      <c r="Q35" s="9">
        <v>27.49</v>
      </c>
      <c r="R35" s="9">
        <v>29.56</v>
      </c>
      <c r="S35" s="9">
        <v>30.14</v>
      </c>
      <c r="T35" s="9">
        <v>27.85</v>
      </c>
    </row>
    <row r="36" spans="3:20" ht="12.95" customHeight="1" x14ac:dyDescent="0.2">
      <c r="C36" s="115" t="str">
        <f>VLOOKUP(49,Textbausteine_302[],Hilfsgrössen!$D$2,FALSE)</f>
        <v>Part de biogaz (au sein de la Poste)</v>
      </c>
      <c r="D36" s="16" t="str">
        <f>VLOOKUP(12,Textbausteine_302[],Hilfsgrössen!$D$2,FALSE)</f>
        <v>%</v>
      </c>
      <c r="E36" s="11" t="s">
        <v>72</v>
      </c>
      <c r="F36" s="9" t="s">
        <v>119</v>
      </c>
      <c r="G36" s="267"/>
      <c r="H36" s="226">
        <v>0</v>
      </c>
      <c r="I36" s="226">
        <v>0</v>
      </c>
      <c r="J36" s="226">
        <v>0</v>
      </c>
      <c r="K36" s="226">
        <v>0</v>
      </c>
      <c r="L36" s="226">
        <v>6.0080541511067</v>
      </c>
      <c r="M36" s="226">
        <v>6.5253128888293999</v>
      </c>
      <c r="N36" s="226">
        <v>6.4321845015698997</v>
      </c>
      <c r="O36" s="226">
        <v>13.380348784315</v>
      </c>
      <c r="P36" s="226">
        <v>6.8018929917440998</v>
      </c>
      <c r="Q36" s="226">
        <v>6.63</v>
      </c>
      <c r="R36" s="226">
        <v>6.49</v>
      </c>
      <c r="S36" s="322">
        <v>0</v>
      </c>
      <c r="T36" s="322">
        <v>0</v>
      </c>
    </row>
    <row r="37" spans="3:20" ht="12.95" customHeight="1" x14ac:dyDescent="0.2">
      <c r="C37" s="116" t="str">
        <f>VLOOKUP(50,Textbausteine_302[],Hilfsgrössen!$D$2,FALSE)</f>
        <v>Chaleur à distance (au sein de la Poste)</v>
      </c>
      <c r="D37" s="16" t="str">
        <f>VLOOKUP(11,Textbausteine_302[],Hilfsgrössen!$D$2,FALSE)</f>
        <v>GWh</v>
      </c>
      <c r="E37" s="11">
        <v>1</v>
      </c>
      <c r="F37" s="9" t="s">
        <v>119</v>
      </c>
      <c r="H37" s="9">
        <v>19.435192000000001</v>
      </c>
      <c r="I37" s="9">
        <v>13.943058000000001</v>
      </c>
      <c r="J37" s="9">
        <v>16.245712999999999</v>
      </c>
      <c r="K37" s="9">
        <v>14.407166999999999</v>
      </c>
      <c r="L37" s="9">
        <v>15.621492999999999</v>
      </c>
      <c r="M37" s="9">
        <v>16.353833000000002</v>
      </c>
      <c r="N37" s="9">
        <v>15.255806</v>
      </c>
      <c r="O37" s="9">
        <v>13.918751</v>
      </c>
      <c r="P37" s="9">
        <v>21.470220000000001</v>
      </c>
      <c r="Q37" s="9">
        <v>17.989999999999998</v>
      </c>
      <c r="R37" s="9">
        <v>19.52</v>
      </c>
      <c r="S37" s="9">
        <v>19.760000000000002</v>
      </c>
      <c r="T37" s="9">
        <v>18.77</v>
      </c>
    </row>
    <row r="38" spans="3:20" ht="12.95" customHeight="1" x14ac:dyDescent="0.2">
      <c r="C38" s="115" t="str">
        <f>VLOOKUP(51,Textbausteine_302[],Hilfsgrössen!$D$2,FALSE)</f>
        <v>Part de chaleur à distance renouvelable (au sein de la Poste)</v>
      </c>
      <c r="D38" s="16" t="str">
        <f>VLOOKUP(12,Textbausteine_302[],Hilfsgrössen!$D$2,FALSE)</f>
        <v>%</v>
      </c>
      <c r="E38" s="9">
        <v>1</v>
      </c>
      <c r="F38" s="11" t="s">
        <v>119</v>
      </c>
      <c r="H38" s="9">
        <v>50.5</v>
      </c>
      <c r="I38" s="9">
        <v>50.5</v>
      </c>
      <c r="J38" s="9">
        <v>50.5</v>
      </c>
      <c r="K38" s="9">
        <v>50.5</v>
      </c>
      <c r="L38" s="9">
        <v>50.5</v>
      </c>
      <c r="M38" s="9">
        <v>50.5</v>
      </c>
      <c r="N38" s="9">
        <v>50.5</v>
      </c>
      <c r="O38" s="9">
        <v>60.3</v>
      </c>
      <c r="P38" s="9">
        <v>60.3</v>
      </c>
      <c r="Q38" s="9">
        <v>60.3</v>
      </c>
      <c r="R38" s="9">
        <v>60.3</v>
      </c>
      <c r="S38" s="320">
        <v>60.3</v>
      </c>
      <c r="T38" s="320">
        <v>60.3</v>
      </c>
    </row>
    <row r="39" spans="3:20" ht="12.95" customHeight="1" x14ac:dyDescent="0.2">
      <c r="C39" s="116" t="str">
        <f>VLOOKUP(52,Textbausteine_302[],Hilfsgrössen!$D$2,FALSE)</f>
        <v>Bois (au sein de la Poste)</v>
      </c>
      <c r="D39" s="16" t="str">
        <f>VLOOKUP(11,Textbausteine_302[],Hilfsgrössen!$D$2,FALSE)</f>
        <v>GWh</v>
      </c>
      <c r="E39" s="9">
        <v>1</v>
      </c>
      <c r="F39" s="11" t="s">
        <v>119</v>
      </c>
      <c r="H39" s="9" t="s">
        <v>29</v>
      </c>
      <c r="I39" s="9" t="s">
        <v>29</v>
      </c>
      <c r="J39" s="9" t="s">
        <v>29</v>
      </c>
      <c r="K39" s="9" t="s">
        <v>29</v>
      </c>
      <c r="L39" s="9" t="s">
        <v>29</v>
      </c>
      <c r="M39" s="9" t="s">
        <v>29</v>
      </c>
      <c r="N39" s="9" t="s">
        <v>29</v>
      </c>
      <c r="O39" s="9" t="s">
        <v>29</v>
      </c>
      <c r="P39" s="226">
        <v>0.41493005555556001</v>
      </c>
      <c r="Q39" s="226">
        <v>0.71</v>
      </c>
      <c r="R39" s="226">
        <v>0.75</v>
      </c>
      <c r="S39" s="226">
        <v>0.88</v>
      </c>
      <c r="T39" s="226">
        <v>1.66</v>
      </c>
    </row>
    <row r="40" spans="3:20" ht="12.95" customHeight="1" x14ac:dyDescent="0.2">
      <c r="C40" s="116" t="str">
        <f>VLOOKUP(53,Textbausteine_302[],Hilfsgrössen!$D$2,FALSE)</f>
        <v>Electricité de chauffage (au sein de la Poste)</v>
      </c>
      <c r="D40" s="16" t="str">
        <f>VLOOKUP(11,Textbausteine_302[],Hilfsgrössen!$D$2,FALSE)</f>
        <v>GWh</v>
      </c>
      <c r="E40" s="11" t="s">
        <v>70</v>
      </c>
      <c r="F40" s="11" t="s">
        <v>119</v>
      </c>
      <c r="G40" s="267"/>
      <c r="H40" s="9">
        <v>0</v>
      </c>
      <c r="I40" s="9">
        <v>0</v>
      </c>
      <c r="J40" s="9">
        <v>0</v>
      </c>
      <c r="K40" s="9">
        <v>0</v>
      </c>
      <c r="L40" s="9">
        <v>0</v>
      </c>
      <c r="M40" s="9">
        <v>0</v>
      </c>
      <c r="N40" s="9">
        <v>0</v>
      </c>
      <c r="O40" s="9">
        <v>0</v>
      </c>
      <c r="P40" s="226">
        <v>4.6756089999999997</v>
      </c>
      <c r="Q40" s="226">
        <v>5.27</v>
      </c>
      <c r="R40" s="226">
        <v>3.82</v>
      </c>
      <c r="S40" s="226">
        <v>4.58</v>
      </c>
      <c r="T40" s="226">
        <v>4.07</v>
      </c>
    </row>
    <row r="41" spans="3:20" ht="12.95" customHeight="1" x14ac:dyDescent="0.2">
      <c r="C41" s="115" t="str">
        <f>VLOOKUP(54,Textbausteine_302[],Hilfsgrössen!$D$2,FALSE)</f>
        <v>Part d'électricité renouvelable uitlisée pour le chauffage (au sein de la Poste)</v>
      </c>
      <c r="D41" s="16" t="str">
        <f>VLOOKUP(12,Textbausteine_302[],Hilfsgrössen!$D$2,FALSE)</f>
        <v>%</v>
      </c>
      <c r="E41" s="11" t="s">
        <v>70</v>
      </c>
      <c r="F41" s="11" t="s">
        <v>119</v>
      </c>
      <c r="G41" s="267"/>
      <c r="H41" s="9" t="s">
        <v>29</v>
      </c>
      <c r="I41" s="9" t="s">
        <v>29</v>
      </c>
      <c r="J41" s="9" t="s">
        <v>29</v>
      </c>
      <c r="K41" s="9" t="s">
        <v>29</v>
      </c>
      <c r="L41" s="9" t="s">
        <v>29</v>
      </c>
      <c r="M41" s="9" t="s">
        <v>29</v>
      </c>
      <c r="N41" s="9" t="s">
        <v>29</v>
      </c>
      <c r="O41" s="9" t="s">
        <v>29</v>
      </c>
      <c r="P41" s="9">
        <v>100</v>
      </c>
      <c r="Q41" s="9">
        <v>100</v>
      </c>
      <c r="R41" s="9">
        <v>100</v>
      </c>
      <c r="S41" s="320">
        <v>100</v>
      </c>
      <c r="T41" s="320">
        <v>100</v>
      </c>
    </row>
    <row r="42" spans="3:20" ht="12.95" customHeight="1" x14ac:dyDescent="0.2">
      <c r="C42" s="116" t="str">
        <f>VLOOKUP(55,Textbausteine_302[],Hilfsgrössen!$D$2,FALSE)</f>
        <v>Chaleur et froid de l'environnement (au sein de la Poste)</v>
      </c>
      <c r="D42" s="16" t="str">
        <f>VLOOKUP(11,Textbausteine_302[],Hilfsgrössen!$D$2,FALSE)</f>
        <v>GWh</v>
      </c>
      <c r="E42" s="11">
        <v>1</v>
      </c>
      <c r="F42" s="9" t="s">
        <v>119</v>
      </c>
      <c r="G42" s="267"/>
      <c r="H42" s="9">
        <v>1.6330199999999999</v>
      </c>
      <c r="I42" s="9">
        <v>1.6330199999999999</v>
      </c>
      <c r="J42" s="9">
        <v>1.6330199999999999</v>
      </c>
      <c r="K42" s="9">
        <v>1.6330199999999999</v>
      </c>
      <c r="L42" s="9">
        <v>8.7242490000000004</v>
      </c>
      <c r="M42" s="9">
        <v>13.650619000000001</v>
      </c>
      <c r="N42" s="9">
        <v>18.317346000000001</v>
      </c>
      <c r="O42" s="9">
        <v>18.273346</v>
      </c>
      <c r="P42" s="9">
        <v>16.047208000000001</v>
      </c>
      <c r="Q42" s="9">
        <v>16.09</v>
      </c>
      <c r="R42" s="9">
        <v>16.149999999999999</v>
      </c>
      <c r="S42" s="9">
        <v>21.55</v>
      </c>
      <c r="T42" s="9">
        <v>20.27</v>
      </c>
    </row>
    <row r="43" spans="3:20" ht="12.95" customHeight="1" x14ac:dyDescent="0.2">
      <c r="C43" s="114" t="str">
        <f>VLOOKUP(56,Textbausteine_302[],Hilfsgrössen!$D$2,FALSE)</f>
        <v>Consommation de combustibles (en dehors de la Poste)</v>
      </c>
      <c r="D43" s="16" t="str">
        <f>VLOOKUP(11,Textbausteine_302[],Hilfsgrössen!$D$2,FALSE)</f>
        <v>GWh</v>
      </c>
      <c r="E43" s="11">
        <v>1</v>
      </c>
      <c r="F43" s="9" t="s">
        <v>121</v>
      </c>
      <c r="H43" s="9">
        <v>96.567055166665995</v>
      </c>
      <c r="I43" s="9">
        <v>81.326581666666002</v>
      </c>
      <c r="J43" s="9">
        <v>67.019622999999996</v>
      </c>
      <c r="K43" s="9">
        <v>66.307268161720003</v>
      </c>
      <c r="L43" s="9">
        <v>55.633007566666002</v>
      </c>
      <c r="M43" s="9">
        <v>54.967882516666002</v>
      </c>
      <c r="N43" s="9">
        <v>55.662936833332999</v>
      </c>
      <c r="O43" s="9">
        <v>58.281018893964003</v>
      </c>
      <c r="P43" s="9">
        <v>63.497225549069</v>
      </c>
      <c r="Q43" s="9">
        <v>63</v>
      </c>
      <c r="R43" s="9">
        <v>60.32</v>
      </c>
      <c r="S43" s="9">
        <v>52.63</v>
      </c>
      <c r="T43" s="9">
        <v>55.54</v>
      </c>
    </row>
    <row r="44" spans="3:20" ht="12.95" customHeight="1" x14ac:dyDescent="0.2">
      <c r="C44" s="117"/>
      <c r="D44" s="118"/>
      <c r="E44" s="11"/>
      <c r="N44" s="9"/>
      <c r="O44" s="9"/>
      <c r="P44" s="9"/>
      <c r="Q44" s="9"/>
      <c r="R44" s="9"/>
      <c r="S44" s="9"/>
      <c r="T44" s="9"/>
    </row>
    <row r="45" spans="3:20" ht="12.95" customHeight="1" x14ac:dyDescent="0.2">
      <c r="C45" s="113" t="str">
        <f>VLOOKUP(57,Textbausteine_302[],Hilfsgrössen!$D$2,FALSE)</f>
        <v>Electricité</v>
      </c>
      <c r="D45" s="119"/>
      <c r="E45" s="11"/>
      <c r="N45" s="9"/>
      <c r="O45" s="9"/>
      <c r="P45" s="9"/>
      <c r="Q45" s="9"/>
      <c r="R45" s="9"/>
      <c r="S45" s="9"/>
      <c r="T45" s="9"/>
    </row>
    <row r="46" spans="3:20" ht="12.95" customHeight="1" x14ac:dyDescent="0.2">
      <c r="C46" s="17" t="str">
        <f>VLOOKUP(58,Textbausteine_302[],Hilfsgrössen!$D$2,FALSE)</f>
        <v>Consommation d'électricité (sans carburant, ni chaleur)</v>
      </c>
      <c r="D46" s="16" t="str">
        <f>VLOOKUP(11,Textbausteine_302[],Hilfsgrössen!$D$2,FALSE)</f>
        <v>GWh</v>
      </c>
      <c r="E46" s="9">
        <v>1</v>
      </c>
      <c r="H46" s="9">
        <v>215.77504099999999</v>
      </c>
      <c r="I46" s="9">
        <v>203.308536</v>
      </c>
      <c r="J46" s="9">
        <v>186.968772</v>
      </c>
      <c r="K46" s="9">
        <v>177.78381180000002</v>
      </c>
      <c r="L46" s="9">
        <v>187.78284600000001</v>
      </c>
      <c r="M46" s="9">
        <v>179.51580106</v>
      </c>
      <c r="N46" s="9">
        <v>174.96544728000001</v>
      </c>
      <c r="O46" s="9">
        <f>SUM(O47,O49)</f>
        <v>171.52816507</v>
      </c>
      <c r="P46" s="9">
        <v>160.1</v>
      </c>
      <c r="Q46" s="9">
        <f>Q47+Q49</f>
        <v>152.03</v>
      </c>
      <c r="R46" s="9">
        <f>R47+R49</f>
        <v>149.01</v>
      </c>
      <c r="S46" s="9">
        <f>S47+S49</f>
        <v>138.59</v>
      </c>
      <c r="T46" s="9">
        <f>T49+T47</f>
        <v>138.75</v>
      </c>
    </row>
    <row r="47" spans="3:20" ht="12.95" customHeight="1" x14ac:dyDescent="0.2">
      <c r="C47" s="114" t="str">
        <f>VLOOKUP(59,Textbausteine_302[],Hilfsgrössen!$D$2,FALSE)</f>
        <v>Consommation d'électricité (au sein de la Poste)</v>
      </c>
      <c r="D47" s="16" t="str">
        <f>VLOOKUP(11,Textbausteine_302[],Hilfsgrössen!$D$2,FALSE)</f>
        <v>GWh</v>
      </c>
      <c r="E47" s="9" t="s">
        <v>70</v>
      </c>
      <c r="F47" s="11" t="s">
        <v>119</v>
      </c>
      <c r="H47" s="9">
        <v>197.36829299999999</v>
      </c>
      <c r="I47" s="9">
        <v>182.65411800000001</v>
      </c>
      <c r="J47" s="9">
        <v>165.36073400000001</v>
      </c>
      <c r="K47" s="9">
        <v>158.94715780000001</v>
      </c>
      <c r="L47" s="9">
        <v>166.66481400000001</v>
      </c>
      <c r="M47" s="9">
        <v>158.70853406000001</v>
      </c>
      <c r="N47" s="9">
        <v>155.07117228000001</v>
      </c>
      <c r="O47" s="9">
        <v>152.39495206999999</v>
      </c>
      <c r="P47" s="9">
        <v>139.6</v>
      </c>
      <c r="Q47" s="9">
        <v>134.16</v>
      </c>
      <c r="R47" s="9">
        <v>129.44999999999999</v>
      </c>
      <c r="S47" s="9">
        <v>119.81</v>
      </c>
      <c r="T47" s="9">
        <v>118.84</v>
      </c>
    </row>
    <row r="48" spans="3:20" ht="12.95" customHeight="1" x14ac:dyDescent="0.2">
      <c r="C48" s="116" t="str">
        <f>VLOOKUP(60,Textbausteine_302[],Hilfsgrössen!$D$2,FALSE)</f>
        <v>Part d'électricité renouvelable (au sein de la Poste)</v>
      </c>
      <c r="D48" s="16" t="str">
        <f>VLOOKUP(12,Textbausteine_302[],Hilfsgrössen!$D$2,FALSE)</f>
        <v>%</v>
      </c>
      <c r="E48" s="9" t="s">
        <v>67</v>
      </c>
      <c r="F48" s="9" t="s">
        <v>119</v>
      </c>
      <c r="G48" s="267"/>
      <c r="H48" s="9">
        <v>99.999988200800999</v>
      </c>
      <c r="I48" s="9">
        <v>81.916222506029996</v>
      </c>
      <c r="J48" s="9">
        <v>78.630838478567</v>
      </c>
      <c r="K48" s="9">
        <v>100</v>
      </c>
      <c r="L48" s="9">
        <v>100</v>
      </c>
      <c r="M48" s="9">
        <v>100</v>
      </c>
      <c r="N48" s="9">
        <v>100</v>
      </c>
      <c r="O48" s="9">
        <v>100</v>
      </c>
      <c r="P48" s="9">
        <v>100</v>
      </c>
      <c r="Q48" s="9">
        <v>99.57</v>
      </c>
      <c r="R48" s="9">
        <v>99.56</v>
      </c>
      <c r="S48" s="9">
        <v>100</v>
      </c>
      <c r="T48" s="9">
        <v>100</v>
      </c>
    </row>
    <row r="49" spans="1:83" ht="12.95" customHeight="1" x14ac:dyDescent="0.2">
      <c r="C49" s="114" t="str">
        <f>VLOOKUP(61,Textbausteine_302[],Hilfsgrössen!$D$2,FALSE)</f>
        <v>Consommation d'électricité (en dehors de la Poste)</v>
      </c>
      <c r="D49" s="16" t="str">
        <f>VLOOKUP(11,Textbausteine_302[],Hilfsgrössen!$D$2,FALSE)</f>
        <v>GWh</v>
      </c>
      <c r="E49" s="9">
        <v>1</v>
      </c>
      <c r="F49" s="9" t="s">
        <v>121</v>
      </c>
      <c r="H49" s="9">
        <v>18.406748</v>
      </c>
      <c r="I49" s="9">
        <v>20.654418</v>
      </c>
      <c r="J49" s="9">
        <v>21.608038000000001</v>
      </c>
      <c r="K49" s="9">
        <v>18.836653999999999</v>
      </c>
      <c r="L49" s="9">
        <v>21.118031999999999</v>
      </c>
      <c r="M49" s="9">
        <v>20.807267</v>
      </c>
      <c r="N49" s="9">
        <v>19.894275</v>
      </c>
      <c r="O49" s="9">
        <v>19.133213000000001</v>
      </c>
      <c r="P49" s="9">
        <v>20.5</v>
      </c>
      <c r="Q49" s="9">
        <v>17.87</v>
      </c>
      <c r="R49" s="9">
        <v>19.559999999999999</v>
      </c>
      <c r="S49" s="9">
        <v>18.78</v>
      </c>
      <c r="T49" s="9">
        <v>19.91</v>
      </c>
    </row>
    <row r="50" spans="1:83" ht="12.95" customHeight="1" x14ac:dyDescent="0.2">
      <c r="C50" s="4"/>
      <c r="D50" s="16"/>
      <c r="F50" s="11"/>
      <c r="N50" s="9"/>
      <c r="O50" s="9"/>
      <c r="P50" s="9"/>
      <c r="Q50" s="9"/>
      <c r="R50" s="9"/>
      <c r="S50" s="9"/>
      <c r="T50" s="9"/>
    </row>
    <row r="51" spans="1:83" ht="12.95" customHeight="1" x14ac:dyDescent="0.2">
      <c r="C51" s="113" t="str">
        <f>VLOOKUP(62,Textbausteine_302[],Hilfsgrössen!$D$2,FALSE)</f>
        <v>Besoins énergétiques</v>
      </c>
      <c r="D51" s="16"/>
      <c r="G51" s="267"/>
      <c r="N51" s="9"/>
      <c r="O51" s="9"/>
      <c r="P51" s="9"/>
      <c r="Q51" s="9"/>
      <c r="R51" s="9"/>
      <c r="S51" s="9"/>
      <c r="T51" s="9"/>
    </row>
    <row r="52" spans="1:83" ht="12.95" customHeight="1" x14ac:dyDescent="0.2">
      <c r="C52" s="17" t="str">
        <f>VLOOKUP(63,Textbausteine_302[],Hilfsgrössen!$D$2,FALSE)</f>
        <v>Besoins énergétiques</v>
      </c>
      <c r="D52" s="16" t="str">
        <f>VLOOKUP(11,Textbausteine_302[],Hilfsgrössen!$D$2,FALSE)</f>
        <v>GWh</v>
      </c>
      <c r="E52" s="9">
        <v>1</v>
      </c>
      <c r="F52" s="9" t="s">
        <v>119</v>
      </c>
      <c r="H52" s="15">
        <f>SUM(H53,H55)</f>
        <v>1554.785009070737</v>
      </c>
      <c r="I52" s="15">
        <f>SUM(I53,I55)</f>
        <v>1519.5803448761981</v>
      </c>
      <c r="J52" s="15">
        <f>SUM(J53,J55)</f>
        <v>1546.6790495078219</v>
      </c>
      <c r="K52" s="15">
        <f t="shared" ref="K52" si="3">SUM(K53,K55)</f>
        <v>1461.0021030494249</v>
      </c>
      <c r="L52" s="15">
        <f>SUM(L53,L55)</f>
        <v>1455.7702353460675</v>
      </c>
      <c r="M52" s="15">
        <f>SUM(M53,M55)</f>
        <v>1458.0921420334676</v>
      </c>
      <c r="N52" s="15">
        <f>SUM(N53,N55)</f>
        <v>1491.1683363372254</v>
      </c>
      <c r="O52" s="15">
        <f>SUM(O53,O55)</f>
        <v>1453.440202055318</v>
      </c>
      <c r="P52" s="15">
        <v>1479</v>
      </c>
      <c r="Q52" s="15">
        <f>Q53+Q55</f>
        <v>1537.97</v>
      </c>
      <c r="R52" s="15">
        <f>R53+R55</f>
        <v>1495.1</v>
      </c>
      <c r="S52" s="9">
        <f>S53+S55</f>
        <v>1778.38</v>
      </c>
      <c r="T52" s="9">
        <f>T53+T55</f>
        <v>1800.17</v>
      </c>
    </row>
    <row r="53" spans="1:83" ht="12.95" customHeight="1" x14ac:dyDescent="0.2">
      <c r="C53" s="114" t="str">
        <f>VLOOKUP(64,Textbausteine_302[],Hilfsgrössen!$D$2,FALSE)</f>
        <v>Besoins énergétiques (au sein de la Poste)</v>
      </c>
      <c r="D53" s="16" t="str">
        <f>VLOOKUP(11,Textbausteine_302[],Hilfsgrössen!$D$2,FALSE)</f>
        <v>GWh</v>
      </c>
      <c r="E53" s="9">
        <v>1</v>
      </c>
      <c r="F53" s="9" t="s">
        <v>119</v>
      </c>
      <c r="H53" s="15">
        <f>SUM(H17,H32,H47)</f>
        <v>907.56622092222108</v>
      </c>
      <c r="I53" s="15">
        <f>SUM(I17,I32,I47)</f>
        <v>889.95856263333201</v>
      </c>
      <c r="J53" s="15">
        <f>SUM(J17,J32,J47)</f>
        <v>896.88243682222196</v>
      </c>
      <c r="K53" s="15">
        <f t="shared" ref="K53" si="4">SUM(K17,K32,K47)</f>
        <v>890.93264445554485</v>
      </c>
      <c r="L53" s="15">
        <f>SUM(L17,L32,L47)</f>
        <v>894.3603632611015</v>
      </c>
      <c r="M53" s="15">
        <f>SUM(M17,M32,M47)</f>
        <v>890.02699986774155</v>
      </c>
      <c r="N53" s="15">
        <f>SUM(N17,N32,N47)</f>
        <v>905.02082824981221</v>
      </c>
      <c r="O53" s="15">
        <f>SUM(O17,O32,O47)</f>
        <v>886.72979030247393</v>
      </c>
      <c r="P53" s="15">
        <v>901.5</v>
      </c>
      <c r="Q53" s="15">
        <v>874.89</v>
      </c>
      <c r="R53" s="15">
        <v>850.4</v>
      </c>
      <c r="S53" s="9">
        <v>915.2</v>
      </c>
      <c r="T53" s="9">
        <v>916.76</v>
      </c>
    </row>
    <row r="54" spans="1:83" ht="12.95" customHeight="1" x14ac:dyDescent="0.2">
      <c r="C54" s="116" t="str">
        <f>VLOOKUP(65,Textbausteine_302[],Hilfsgrössen!$D$2,FALSE)</f>
        <v>Part d'énergie renouvelable dans les besoins énergétiques (au sein de la Poste)</v>
      </c>
      <c r="D54" s="16" t="str">
        <f>VLOOKUP(12,Textbausteine_302[],Hilfsgrössen!$D$2,FALSE)</f>
        <v>%</v>
      </c>
      <c r="E54" s="9">
        <v>1</v>
      </c>
      <c r="F54" s="9" t="s">
        <v>119</v>
      </c>
      <c r="H54" s="192">
        <v>23.108194152494001</v>
      </c>
      <c r="I54" s="192">
        <v>17.952801711770999</v>
      </c>
      <c r="J54" s="192">
        <v>15.701303624192001</v>
      </c>
      <c r="K54" s="192">
        <v>19.101987854531</v>
      </c>
      <c r="L54" s="192">
        <v>20.290979341735</v>
      </c>
      <c r="M54" s="192">
        <v>19.995921883158999</v>
      </c>
      <c r="N54" s="192">
        <v>19.258017591822</v>
      </c>
      <c r="O54" s="192">
        <v>19.620217243828002</v>
      </c>
      <c r="P54" s="192">
        <v>20.399999999999999</v>
      </c>
      <c r="Q54" s="192">
        <v>20.16</v>
      </c>
      <c r="R54" s="192">
        <v>20.12</v>
      </c>
      <c r="S54" s="9">
        <v>19.12</v>
      </c>
      <c r="T54" s="9">
        <v>19.100000000000001</v>
      </c>
    </row>
    <row r="55" spans="1:83" ht="12.95" customHeight="1" x14ac:dyDescent="0.2">
      <c r="C55" s="114" t="str">
        <f>VLOOKUP(66,Textbausteine_302[],Hilfsgrössen!$D$2,FALSE)</f>
        <v>Besoins énergétiques (en dehors de la Poste)</v>
      </c>
      <c r="D55" s="16" t="str">
        <f>VLOOKUP(11,Textbausteine_302[],Hilfsgrössen!$D$2,FALSE)</f>
        <v>GWh</v>
      </c>
      <c r="E55" s="9">
        <v>1</v>
      </c>
      <c r="F55" s="9" t="s">
        <v>121</v>
      </c>
      <c r="H55" s="15">
        <f>SUM(H28,H43,H49)</f>
        <v>647.21878814851607</v>
      </c>
      <c r="I55" s="15">
        <f>SUM(I28,I43,I49)</f>
        <v>629.62178224286595</v>
      </c>
      <c r="J55" s="15">
        <f>SUM(J28,J43,J49)</f>
        <v>649.79661268559994</v>
      </c>
      <c r="K55" s="15">
        <f t="shared" ref="K55" si="5">SUM(K28,K43,K49)</f>
        <v>570.06945859387997</v>
      </c>
      <c r="L55" s="15">
        <f>SUM(L28,L43,L49)</f>
        <v>561.40987208496597</v>
      </c>
      <c r="M55" s="15">
        <f>SUM(M28,M43,M49)</f>
        <v>568.065142165726</v>
      </c>
      <c r="N55" s="15">
        <f>SUM(N28,N43,N49)</f>
        <v>586.14750808741303</v>
      </c>
      <c r="O55" s="15">
        <f>SUM(O28,O43,O49)</f>
        <v>566.71041175284392</v>
      </c>
      <c r="P55" s="15">
        <v>577.5</v>
      </c>
      <c r="Q55" s="15">
        <v>663.08</v>
      </c>
      <c r="R55" s="15">
        <v>644.70000000000005</v>
      </c>
      <c r="S55" s="9">
        <v>863.18</v>
      </c>
      <c r="T55" s="9">
        <v>883.41</v>
      </c>
    </row>
    <row r="56" spans="1:83" ht="12.95" customHeight="1" x14ac:dyDescent="0.2">
      <c r="N56" s="9"/>
      <c r="O56" s="9"/>
      <c r="P56" s="9"/>
      <c r="Q56" s="9"/>
      <c r="R56" s="9"/>
      <c r="S56" s="9"/>
      <c r="T56" s="9"/>
    </row>
    <row r="57" spans="1:83" ht="12.95" customHeight="1" x14ac:dyDescent="0.25">
      <c r="B57" s="276" t="str">
        <f>VLOOKUP(131,Textbausteine_302[],Hilfsgrössen!$D$2,FALSE)</f>
        <v>1) Standards, méthodes et facteurs de conversion: protocole GHG, édition révisée (2004). Les facteurs de conversion proviennent de la banque de données du DEFRA (2021), du GLEC Framework ou de Mobiltool 2.1.</v>
      </c>
      <c r="N57" s="9"/>
      <c r="O57" s="9"/>
      <c r="P57" s="9"/>
      <c r="Q57" s="9"/>
      <c r="R57" s="9"/>
      <c r="S57" s="9"/>
      <c r="T57" s="9"/>
    </row>
    <row r="58" spans="1:83" ht="12.95" customHeight="1" x14ac:dyDescent="0.25">
      <c r="B58" s="277" t="str">
        <f>VLOOKUP(132,Textbausteine_302[],Hilfsgrössen!$D$2,FALSE)</f>
        <v>2) Courant vert certifié «naturemade star»</v>
      </c>
      <c r="N58" s="9"/>
      <c r="O58" s="9"/>
      <c r="P58" s="9"/>
      <c r="Q58" s="9"/>
      <c r="R58" s="9"/>
      <c r="S58" s="9"/>
      <c r="T58" s="9"/>
    </row>
    <row r="59" spans="1:83" ht="12.95" customHeight="1" x14ac:dyDescent="0.25">
      <c r="B59" s="277" t="str">
        <f>VLOOKUP(133,Textbausteine_302[],Hilfsgrössen!$D$2,FALSE)</f>
        <v>3) Électricité produite à partir d’énergies renouvelables provenant du pays où a lieu la consommation d’électricité. Lorsqu’elle n’achète pas d’électricité renouvelable relevant du service universel, elle achète des certificats d’origine. En 2022, une partie des besoins en électricité a été exceptionnellement couverte par de l’électricité européenne issue de sources renouvelables car, en raison de la sécheresse estivale, l’électricité issue de sources renouvelables avec garantie d’origine suisse n’était plus disponible.</v>
      </c>
      <c r="N59" s="9"/>
      <c r="O59" s="9"/>
      <c r="P59" s="9"/>
      <c r="Q59" s="9"/>
      <c r="R59" s="9"/>
      <c r="S59" s="9"/>
      <c r="T59" s="9"/>
    </row>
    <row r="60" spans="1:83" ht="12.95" customHeight="1" x14ac:dyDescent="0.25">
      <c r="B60" s="276" t="str">
        <f>VLOOKUP(135,Textbausteine_302[],Hilfsgrössen!$D$2,FALSE)</f>
        <v>4) Les données concernant les sociétés du groupe acquises seront saisies rétroactivement pour 2021 et les années ultérieures, car l’année 2021 fait office d’année de référence pour les objectifs à l’horizon 2030-2040.</v>
      </c>
      <c r="N60" s="9"/>
      <c r="O60" s="9"/>
      <c r="P60" s="9"/>
      <c r="Q60" s="9"/>
      <c r="R60" s="9"/>
      <c r="S60" s="9"/>
      <c r="T60" s="9"/>
    </row>
    <row r="61" spans="1:83" ht="12.95" customHeight="1" x14ac:dyDescent="0.25">
      <c r="B61" s="276" t="str">
        <f>VLOOKUP(136,Textbausteine_302[],Hilfsgrössen!$D$2,FALSE)</f>
        <v>5) Pour la consommation d’électricité des sociétés acquises, aucune garantie d’origine (GO) ne sera acquise pour les exercices précédents. Par conséquent, la part d’électricité renouvelable dans les carburants et combustibles d’origine fossile pour les années saisies après coup n’est pas égale à 100%, bien que les besoins en électricité au sein de la Poste aient été couverts exclusivement à partir d’énergies renouvelables durant l’exercice concerné.</v>
      </c>
      <c r="N61" s="9"/>
      <c r="O61" s="9"/>
      <c r="P61" s="9"/>
      <c r="Q61" s="9"/>
      <c r="R61" s="9"/>
      <c r="S61" s="9"/>
      <c r="T61" s="9"/>
    </row>
    <row r="62" spans="1:83" ht="12.95" customHeight="1" x14ac:dyDescent="0.2">
      <c r="E62" s="11"/>
      <c r="N62" s="9"/>
      <c r="O62" s="9"/>
      <c r="P62" s="9"/>
      <c r="Q62" s="9"/>
      <c r="R62" s="9"/>
      <c r="S62" s="9"/>
      <c r="T62" s="9"/>
    </row>
    <row r="63" spans="1:83" ht="12.95" customHeight="1" x14ac:dyDescent="0.2">
      <c r="N63" s="9"/>
      <c r="O63" s="9"/>
      <c r="P63" s="9"/>
      <c r="Q63" s="9"/>
      <c r="R63" s="9"/>
      <c r="S63" s="9"/>
      <c r="T63" s="9"/>
    </row>
    <row r="64" spans="1:83" s="6" customFormat="1" ht="12.95" customHeight="1" x14ac:dyDescent="0.2">
      <c r="A64" s="120" t="s">
        <v>27</v>
      </c>
      <c r="B64" s="401" t="str">
        <f>$C$8</f>
        <v>Autres indicateurs énergétiques</v>
      </c>
      <c r="C64" s="401"/>
      <c r="D64" s="6" t="str">
        <f>VLOOKUP(32,Textbausteine_Menu[],Hilfsgrössen!$D$2,FALSE)</f>
        <v>Unité</v>
      </c>
      <c r="E64" s="69" t="str">
        <f>VLOOKUP(33,Textbausteine_Menu[],Hilfsgrössen!$D$2,FALSE)</f>
        <v>Notes</v>
      </c>
      <c r="F64" s="69" t="str">
        <f>VLOOKUP(34,Textbausteine_Menu[],Hilfsgrössen!$D$2,FALSE)</f>
        <v>GRI</v>
      </c>
      <c r="G64" s="34"/>
      <c r="H64" s="28">
        <v>2010</v>
      </c>
      <c r="I64" s="28">
        <v>2011</v>
      </c>
      <c r="J64" s="28">
        <v>2012</v>
      </c>
      <c r="K64" s="28">
        <v>2013</v>
      </c>
      <c r="L64" s="28">
        <v>2014</v>
      </c>
      <c r="M64" s="28">
        <v>2015</v>
      </c>
      <c r="N64" s="28">
        <v>2016</v>
      </c>
      <c r="O64" s="28">
        <v>2017</v>
      </c>
      <c r="P64" s="28">
        <v>2018</v>
      </c>
      <c r="Q64" s="74">
        <v>2019</v>
      </c>
      <c r="R64" s="28">
        <v>2020</v>
      </c>
      <c r="S64" s="28">
        <v>2021</v>
      </c>
      <c r="T64" s="28">
        <v>2022</v>
      </c>
      <c r="U64" s="28"/>
      <c r="V64" s="28"/>
      <c r="W64" s="28"/>
      <c r="X64" s="28"/>
      <c r="Y64" s="28"/>
      <c r="Z64" s="28"/>
      <c r="AA64" s="28"/>
      <c r="AB64" s="28"/>
      <c r="AC64" s="28"/>
      <c r="AD64" s="28"/>
      <c r="AE64" s="28"/>
      <c r="AF64" s="28"/>
      <c r="AG64" s="28"/>
      <c r="AH64" s="28"/>
      <c r="AI64" s="28"/>
      <c r="AJ64" s="28"/>
      <c r="AK64" s="28"/>
      <c r="AL64" s="28"/>
      <c r="AM64" s="28"/>
      <c r="AN64" s="28"/>
      <c r="AO64" s="28"/>
      <c r="AP64" s="28"/>
      <c r="AQ64" s="28"/>
      <c r="AR64" s="28"/>
      <c r="AS64" s="28"/>
      <c r="AT64" s="28"/>
      <c r="AU64" s="28"/>
      <c r="AV64" s="28"/>
      <c r="AW64" s="28"/>
      <c r="AX64" s="28"/>
      <c r="AY64" s="28"/>
      <c r="AZ64" s="28"/>
      <c r="BA64" s="28"/>
      <c r="BB64" s="28"/>
      <c r="BC64" s="28"/>
      <c r="BD64" s="28"/>
      <c r="BE64" s="28"/>
      <c r="BF64" s="28"/>
      <c r="BG64" s="28"/>
      <c r="BH64" s="28"/>
      <c r="BI64" s="28"/>
      <c r="BJ64" s="28"/>
      <c r="BK64" s="28"/>
      <c r="BL64" s="28"/>
      <c r="BM64" s="28"/>
      <c r="BN64" s="28"/>
      <c r="BO64" s="28"/>
      <c r="BP64" s="28"/>
      <c r="BQ64" s="28"/>
      <c r="BR64" s="28"/>
      <c r="BS64" s="28"/>
      <c r="BT64" s="28"/>
      <c r="BU64" s="28"/>
      <c r="BV64" s="28"/>
      <c r="BW64" s="28"/>
      <c r="BX64" s="28"/>
      <c r="BY64" s="28"/>
      <c r="BZ64" s="28"/>
      <c r="CA64" s="28"/>
      <c r="CB64" s="28"/>
      <c r="CC64" s="28"/>
      <c r="CD64" s="28"/>
      <c r="CE64" s="28"/>
    </row>
    <row r="65" spans="1:83" s="6" customFormat="1" ht="12.95" customHeight="1" x14ac:dyDescent="0.2">
      <c r="A65" s="66"/>
      <c r="B65" s="401"/>
      <c r="C65" s="401"/>
      <c r="E65" s="110"/>
      <c r="F65" s="110"/>
      <c r="G65" s="35"/>
      <c r="H65" s="9"/>
      <c r="I65" s="9"/>
      <c r="J65" s="9"/>
      <c r="K65" s="9"/>
      <c r="L65" s="9"/>
      <c r="M65" s="9"/>
      <c r="N65" s="9"/>
      <c r="O65" s="9"/>
      <c r="P65" s="9"/>
      <c r="Q65" s="9"/>
      <c r="R65" s="9"/>
      <c r="S65" s="9"/>
      <c r="T65" s="9"/>
      <c r="U65" s="9"/>
      <c r="V65" s="9"/>
      <c r="W65" s="9"/>
      <c r="X65" s="9"/>
      <c r="Y65" s="9"/>
      <c r="Z65" s="9"/>
      <c r="AA65" s="9"/>
      <c r="AB65" s="9"/>
      <c r="AC65" s="9"/>
      <c r="AD65" s="9"/>
      <c r="AE65" s="9"/>
      <c r="AF65" s="9"/>
      <c r="AG65" s="9"/>
      <c r="AH65" s="9"/>
      <c r="AI65" s="9"/>
      <c r="AJ65" s="9"/>
      <c r="AK65" s="9"/>
      <c r="AL65" s="9"/>
      <c r="AM65" s="9"/>
      <c r="AN65" s="9"/>
      <c r="AO65" s="9"/>
      <c r="AP65" s="9"/>
      <c r="AQ65" s="9"/>
      <c r="AR65" s="9"/>
      <c r="AS65" s="9"/>
      <c r="AT65" s="9"/>
      <c r="AU65" s="9"/>
      <c r="AV65" s="9"/>
      <c r="AW65" s="9"/>
      <c r="AX65" s="9"/>
      <c r="AY65" s="9"/>
      <c r="AZ65" s="9"/>
      <c r="BA65" s="9"/>
      <c r="BB65" s="9"/>
      <c r="BC65" s="9"/>
      <c r="BD65" s="9"/>
      <c r="BE65" s="9"/>
      <c r="BF65" s="9"/>
      <c r="BG65" s="9"/>
      <c r="BH65" s="9"/>
      <c r="BI65" s="9"/>
      <c r="BJ65" s="9"/>
      <c r="BK65" s="9"/>
      <c r="BL65" s="9"/>
      <c r="BM65" s="9"/>
      <c r="BN65" s="9"/>
      <c r="BO65" s="9"/>
      <c r="BP65" s="9"/>
      <c r="BQ65" s="9"/>
      <c r="BR65" s="9"/>
      <c r="BS65" s="9"/>
      <c r="BT65" s="9"/>
      <c r="BU65" s="9"/>
      <c r="BV65" s="9"/>
      <c r="BW65" s="9"/>
      <c r="BX65" s="9"/>
      <c r="BY65" s="9"/>
      <c r="BZ65" s="9"/>
      <c r="CA65" s="9"/>
      <c r="CB65" s="9"/>
      <c r="CC65" s="9"/>
      <c r="CD65" s="9"/>
      <c r="CE65" s="9"/>
    </row>
    <row r="66" spans="1:83" ht="12.95" customHeight="1" x14ac:dyDescent="0.2">
      <c r="B66" s="2"/>
      <c r="E66" s="110"/>
      <c r="F66" s="110"/>
      <c r="G66" s="35"/>
      <c r="N66" s="9"/>
      <c r="O66" s="9"/>
      <c r="P66" s="9"/>
      <c r="Q66" s="9"/>
      <c r="R66" s="9"/>
      <c r="S66" s="9"/>
      <c r="T66" s="9"/>
    </row>
    <row r="67" spans="1:83" ht="12.95" customHeight="1" x14ac:dyDescent="0.2">
      <c r="B67" s="2" t="str">
        <f>VLOOKUP(36,Textbausteine_Menu[],Hilfsgrössen!$D$2,FALSE)</f>
        <v>Groupe</v>
      </c>
      <c r="C67" s="2"/>
      <c r="D67" s="2"/>
      <c r="E67" s="110"/>
      <c r="F67" s="110"/>
      <c r="G67" s="35"/>
    </row>
    <row r="68" spans="1:83" ht="12.95" customHeight="1" x14ac:dyDescent="0.2">
      <c r="C68" s="253" t="str">
        <f>VLOOKUP(81,Textbausteine_302[],Hilfsgrössen!$D$2,FALSE)</f>
        <v>Amélioration de l'efficacité énergétique depuis 2006</v>
      </c>
      <c r="D68" s="16" t="str">
        <f>VLOOKUP(12,Textbausteine_302[],Hilfsgrössen!$D$2,FALSE)</f>
        <v>%</v>
      </c>
      <c r="E68" s="110">
        <v>1</v>
      </c>
      <c r="F68" s="110" t="s">
        <v>122</v>
      </c>
      <c r="G68" s="35"/>
      <c r="H68" s="9">
        <v>5.2588002770916509</v>
      </c>
      <c r="I68" s="9">
        <v>7.4980953636902088</v>
      </c>
      <c r="J68" s="9">
        <v>10.752343471570532</v>
      </c>
      <c r="K68" s="9">
        <v>18.936471731041141</v>
      </c>
      <c r="L68" s="9">
        <v>21.035332139468849</v>
      </c>
      <c r="M68" s="9">
        <v>23.396948930687923</v>
      </c>
      <c r="N68" s="11">
        <v>25.568649342807056</v>
      </c>
      <c r="O68" s="11">
        <v>29.609811998684098</v>
      </c>
      <c r="P68" s="11">
        <v>26.2</v>
      </c>
      <c r="Q68" s="11">
        <v>34.1</v>
      </c>
      <c r="R68" s="11">
        <v>29.2</v>
      </c>
      <c r="S68" s="9" t="s">
        <v>29</v>
      </c>
      <c r="T68" s="9" t="s">
        <v>29</v>
      </c>
    </row>
    <row r="69" spans="1:83" ht="12.95" customHeight="1" x14ac:dyDescent="0.2">
      <c r="C69" s="16" t="str">
        <f>VLOOKUP(82,Textbausteine_302[],Hilfsgrössen!$D$2,FALSE)</f>
        <v>Achat de certificats d’origine pour l’électricité produite à partir d’énergies renouvelables</v>
      </c>
      <c r="D69" s="16" t="str">
        <f>VLOOKUP(11,Textbausteine_302[],Hilfsgrössen!$D$2,FALSE)</f>
        <v>GWh</v>
      </c>
      <c r="E69" s="11">
        <v>2</v>
      </c>
      <c r="F69" s="110" t="s">
        <v>122</v>
      </c>
      <c r="G69" s="35"/>
      <c r="H69" s="9">
        <v>200.00000399999999</v>
      </c>
      <c r="I69" s="9">
        <v>150.00000600000001</v>
      </c>
      <c r="J69" s="9">
        <v>130.00000600000001</v>
      </c>
      <c r="K69" s="9">
        <v>156.00000600000001</v>
      </c>
      <c r="L69" s="9">
        <v>158.00000600000001</v>
      </c>
      <c r="M69" s="9">
        <v>151.18600599999999</v>
      </c>
      <c r="N69" s="11">
        <v>139.81400600000001</v>
      </c>
      <c r="O69" s="11">
        <v>140.00000700000001</v>
      </c>
      <c r="P69" s="11">
        <v>135</v>
      </c>
      <c r="Q69" s="11">
        <v>131.80000000000001</v>
      </c>
      <c r="R69" s="11">
        <v>93</v>
      </c>
      <c r="S69" s="268">
        <v>48</v>
      </c>
      <c r="T69" s="268">
        <v>83.9</v>
      </c>
    </row>
    <row r="70" spans="1:83" ht="12.95" customHeight="1" x14ac:dyDescent="0.25">
      <c r="C70" s="16" t="str">
        <f>VLOOKUP(83,Textbausteine_302[],Hilfsgrössen!$D$2,FALSE)</f>
        <v>Achat de garanties d'origine pour l'électricité verte certifiée</v>
      </c>
      <c r="D70" s="16" t="str">
        <f>VLOOKUP(11,Textbausteine_302[],Hilfsgrössen!$D$2,FALSE)</f>
        <v>GWh</v>
      </c>
      <c r="E70" s="9">
        <v>2</v>
      </c>
      <c r="F70" s="110" t="s">
        <v>122</v>
      </c>
      <c r="G70" s="36"/>
      <c r="H70" s="9">
        <v>0.6</v>
      </c>
      <c r="I70" s="9">
        <v>0.6</v>
      </c>
      <c r="J70" s="9">
        <v>1.3</v>
      </c>
      <c r="K70" s="9">
        <v>8.3000000000000007</v>
      </c>
      <c r="L70" s="9">
        <v>8.3149999999999995</v>
      </c>
      <c r="M70" s="9">
        <v>8.4789999999999992</v>
      </c>
      <c r="N70" s="11">
        <v>15.95</v>
      </c>
      <c r="O70" s="11">
        <v>16.147041999999999</v>
      </c>
      <c r="P70" s="11">
        <v>16</v>
      </c>
      <c r="Q70" s="11">
        <v>13.8</v>
      </c>
      <c r="R70" s="11">
        <v>28</v>
      </c>
      <c r="S70" s="9">
        <v>26</v>
      </c>
      <c r="T70" s="9">
        <v>15.6</v>
      </c>
    </row>
    <row r="71" spans="1:83" ht="12.95" customHeight="1" x14ac:dyDescent="0.2">
      <c r="C71" s="16" t="str">
        <f>VLOOKUP(84,Textbausteine_302[],Hilfsgrössen!$D$2,FALSE)</f>
        <v>Achat de garanties d'origine pour le biogaz certifié</v>
      </c>
      <c r="D71" s="16" t="str">
        <f>VLOOKUP(11,Textbausteine_302[],Hilfsgrössen!$D$2,FALSE)</f>
        <v>GWh</v>
      </c>
      <c r="E71" s="9">
        <v>3</v>
      </c>
      <c r="F71" s="110" t="s">
        <v>122</v>
      </c>
      <c r="H71" s="9">
        <v>0</v>
      </c>
      <c r="I71" s="9">
        <v>5.13</v>
      </c>
      <c r="J71" s="9">
        <v>5.5717499999999998</v>
      </c>
      <c r="K71" s="9">
        <v>4.0897500000000004</v>
      </c>
      <c r="L71" s="9">
        <v>5.5266890000000002</v>
      </c>
      <c r="M71" s="9">
        <v>4.8260779999999999</v>
      </c>
      <c r="N71" s="11">
        <v>3.3096169999999998</v>
      </c>
      <c r="O71" s="11">
        <v>2.8334139999999999</v>
      </c>
      <c r="P71" s="11">
        <v>2.2999999999999998</v>
      </c>
      <c r="Q71" s="11">
        <v>1.83</v>
      </c>
      <c r="R71" s="11">
        <v>1.93</v>
      </c>
      <c r="S71" s="11">
        <v>0.04</v>
      </c>
      <c r="T71" s="11" t="s">
        <v>29</v>
      </c>
    </row>
    <row r="73" spans="1:83" ht="12.75" customHeight="1" x14ac:dyDescent="0.25">
      <c r="B73" s="276" t="str">
        <f>VLOOKUP(141,Textbausteine_302[],Hilfsgrössen!$D$2,FALSE)</f>
        <v>1) L’augmentation de l’efficacité énergétique à l’échelle du groupe n’est plus mesurée depuis 2021.</v>
      </c>
      <c r="E73" s="28"/>
      <c r="F73" s="28"/>
    </row>
    <row r="74" spans="1:83" ht="12.95" customHeight="1" x14ac:dyDescent="0.25">
      <c r="B74" s="276" t="str">
        <f>VLOOKUP(142,Textbausteine_302[],Hilfsgrössen!$D$2,FALSE)</f>
        <v>2) La Poste s’assure qu’elle couvre l’intégralité de ses besoins en électricité en ayant recours à des énergies renouvelables. Lorsqu’elle n’achète pas d’électricité renouvelable relevant du service universel ou n’en produit pas elle-même, elle achète des certificats d’origine. En 2022, une partie des besoins en électricité a été exceptionnellement couverte par de l’électricité européenne issue de sources renouvelables car, en raison de la sécheresse estivale, l’électricité issue de sources renouvelables avec garantie d’origine suisse n’était plus disponible.</v>
      </c>
      <c r="C74" s="273"/>
      <c r="E74" s="28"/>
      <c r="F74" s="28"/>
      <c r="G74" s="33"/>
    </row>
    <row r="75" spans="1:83" ht="12.95" customHeight="1" x14ac:dyDescent="0.25">
      <c r="B75" s="266" t="str">
        <f>VLOOKUP(143,Textbausteine_302[],Hilfsgrössen!$D$2,FALSE)</f>
        <v>3) Certificats d’origine de la consommation de GNV pour les déplacements professionnels internes à la Poste en Suisse.</v>
      </c>
      <c r="E75" s="11"/>
      <c r="N75" s="9"/>
      <c r="O75" s="9"/>
      <c r="P75" s="9"/>
      <c r="Q75" s="9"/>
      <c r="R75" s="9"/>
      <c r="S75" s="9"/>
      <c r="T75" s="9"/>
    </row>
    <row r="76" spans="1:83" ht="12.95" customHeight="1" x14ac:dyDescent="0.2">
      <c r="E76" s="11"/>
      <c r="N76" s="9"/>
      <c r="O76" s="9"/>
      <c r="P76" s="9"/>
      <c r="Q76" s="9"/>
      <c r="R76" s="9"/>
      <c r="S76" s="9"/>
      <c r="T76" s="9"/>
    </row>
    <row r="77" spans="1:83" ht="12.95" customHeight="1" x14ac:dyDescent="0.2">
      <c r="B77" s="2" t="str">
        <f>VLOOKUP(45,Textbausteine_Menu[],Hilfsgrössen!$D$2,FALSE)</f>
        <v>Services logistiques</v>
      </c>
      <c r="C77" s="113"/>
      <c r="E77" s="11"/>
      <c r="N77" s="9"/>
      <c r="O77" s="9"/>
      <c r="P77" s="9"/>
      <c r="Q77" s="9"/>
      <c r="R77" s="9"/>
      <c r="S77" s="9"/>
      <c r="T77" s="9"/>
    </row>
    <row r="78" spans="1:83" ht="12.95" customHeight="1" x14ac:dyDescent="0.2">
      <c r="B78" s="2"/>
      <c r="C78" s="4" t="str">
        <f>VLOOKUP(148,Textbausteine_302[],Hilfsgrössen!$D$2,FALSE)</f>
        <v>Mix énergétique pour la propulsion du véhicule</v>
      </c>
      <c r="E78" s="11"/>
      <c r="N78" s="9"/>
      <c r="O78" s="9"/>
      <c r="P78" s="9"/>
      <c r="Q78" s="9"/>
      <c r="R78" s="9"/>
      <c r="S78" s="9"/>
      <c r="T78" s="9"/>
    </row>
    <row r="79" spans="1:83" ht="12.95" customHeight="1" x14ac:dyDescent="0.2">
      <c r="C79" s="116" t="str">
        <f>VLOOKUP(34,Textbausteine_302[],Hilfsgrössen!$D$2,FALSE)</f>
        <v>Diesel (au sein de la Poste)</v>
      </c>
      <c r="D79" s="16" t="str">
        <f>VLOOKUP(12,Textbausteine_302[],Hilfsgrössen!$D$2,FALSE)</f>
        <v>%</v>
      </c>
      <c r="E79" s="11">
        <v>1</v>
      </c>
      <c r="F79" s="9" t="s">
        <v>119</v>
      </c>
      <c r="H79" s="9" t="s">
        <v>29</v>
      </c>
      <c r="I79" s="9" t="s">
        <v>29</v>
      </c>
      <c r="J79" s="9" t="s">
        <v>29</v>
      </c>
      <c r="K79" s="9" t="s">
        <v>29</v>
      </c>
      <c r="L79" s="9" t="s">
        <v>29</v>
      </c>
      <c r="M79" s="9" t="s">
        <v>29</v>
      </c>
      <c r="N79" s="9" t="s">
        <v>29</v>
      </c>
      <c r="O79" s="9" t="s">
        <v>29</v>
      </c>
      <c r="P79" s="9" t="s">
        <v>29</v>
      </c>
      <c r="Q79" s="9" t="s">
        <v>29</v>
      </c>
      <c r="R79" s="9" t="s">
        <v>29</v>
      </c>
      <c r="S79" s="9">
        <v>86.2</v>
      </c>
      <c r="T79" s="9">
        <v>89.3</v>
      </c>
    </row>
    <row r="80" spans="1:83" ht="12.95" customHeight="1" x14ac:dyDescent="0.2">
      <c r="C80" s="116" t="str">
        <f>VLOOKUP(36,Textbausteine_302[],Hilfsgrössen!$D$2,FALSE)</f>
        <v>Essence (au sein de la Poste)</v>
      </c>
      <c r="D80" s="16" t="str">
        <f>VLOOKUP(12,Textbausteine_302[],Hilfsgrössen!$D$2,FALSE)</f>
        <v>%</v>
      </c>
      <c r="E80" s="11">
        <v>1</v>
      </c>
      <c r="F80" s="9" t="s">
        <v>119</v>
      </c>
      <c r="H80" s="9" t="s">
        <v>29</v>
      </c>
      <c r="I80" s="9" t="s">
        <v>29</v>
      </c>
      <c r="J80" s="9" t="s">
        <v>29</v>
      </c>
      <c r="K80" s="9" t="s">
        <v>29</v>
      </c>
      <c r="L80" s="9" t="s">
        <v>29</v>
      </c>
      <c r="M80" s="9" t="s">
        <v>29</v>
      </c>
      <c r="N80" s="9" t="s">
        <v>29</v>
      </c>
      <c r="O80" s="9" t="s">
        <v>29</v>
      </c>
      <c r="P80" s="9" t="s">
        <v>29</v>
      </c>
      <c r="Q80" s="9" t="s">
        <v>29</v>
      </c>
      <c r="R80" s="9" t="s">
        <v>29</v>
      </c>
      <c r="S80" s="9">
        <v>10.5</v>
      </c>
      <c r="T80" s="9">
        <v>6.99</v>
      </c>
    </row>
    <row r="81" spans="2:20" ht="12.95" customHeight="1" x14ac:dyDescent="0.2">
      <c r="C81" s="116" t="str">
        <f>VLOOKUP(39,Textbausteine_302[],Hilfsgrössen!$D$2,FALSE)</f>
        <v>Electricité comme carburant (au sein de la Poste)</v>
      </c>
      <c r="D81" s="16" t="str">
        <f>VLOOKUP(12,Textbausteine_302[],Hilfsgrössen!$D$2,FALSE)</f>
        <v>%</v>
      </c>
      <c r="E81" s="75" t="s">
        <v>72</v>
      </c>
      <c r="F81" s="9" t="s">
        <v>119</v>
      </c>
      <c r="H81" s="9" t="s">
        <v>29</v>
      </c>
      <c r="I81" s="9" t="s">
        <v>29</v>
      </c>
      <c r="J81" s="9" t="s">
        <v>29</v>
      </c>
      <c r="K81" s="9" t="s">
        <v>29</v>
      </c>
      <c r="L81" s="9" t="s">
        <v>29</v>
      </c>
      <c r="M81" s="9" t="s">
        <v>29</v>
      </c>
      <c r="N81" s="9" t="s">
        <v>29</v>
      </c>
      <c r="O81" s="9" t="s">
        <v>29</v>
      </c>
      <c r="P81" s="9" t="s">
        <v>29</v>
      </c>
      <c r="Q81" s="9" t="s">
        <v>29</v>
      </c>
      <c r="R81" s="9" t="s">
        <v>29</v>
      </c>
      <c r="S81" s="11">
        <v>3.3</v>
      </c>
      <c r="T81" s="11">
        <v>3.72</v>
      </c>
    </row>
    <row r="82" spans="2:20" ht="12.95" customHeight="1" x14ac:dyDescent="0.2">
      <c r="E82" s="75"/>
      <c r="F82" s="75"/>
      <c r="N82" s="9"/>
      <c r="O82" s="9"/>
      <c r="P82" s="9"/>
      <c r="Q82" s="9"/>
      <c r="R82" s="9"/>
      <c r="S82" s="9"/>
      <c r="T82" s="9"/>
    </row>
    <row r="83" spans="2:20" ht="12.95" customHeight="1" x14ac:dyDescent="0.25">
      <c r="B83" s="276" t="str">
        <f>VLOOKUP(131,Textbausteine_302[],Hilfsgrössen!$D$2,FALSE)</f>
        <v>1) Standards, méthodes et facteurs de conversion: protocole GHG, édition révisée (2004). Les facteurs de conversion proviennent de la banque de données du DEFRA (2021), du GLEC Framework ou de Mobiltool 2.1.</v>
      </c>
      <c r="E83" s="75"/>
      <c r="F83" s="75"/>
      <c r="N83" s="9"/>
      <c r="O83" s="9"/>
      <c r="P83" s="9"/>
      <c r="Q83" s="9"/>
      <c r="R83" s="9"/>
      <c r="S83" s="9"/>
      <c r="T83" s="9"/>
    </row>
    <row r="84" spans="2:20" ht="12.95" customHeight="1" x14ac:dyDescent="0.25">
      <c r="B84" s="277" t="str">
        <f>VLOOKUP(132,Textbausteine_302[],Hilfsgrössen!$D$2,FALSE)</f>
        <v>2) Courant vert certifié «naturemade star»</v>
      </c>
      <c r="N84" s="9"/>
      <c r="O84" s="9"/>
      <c r="P84" s="9"/>
      <c r="Q84" s="9"/>
      <c r="R84" s="9"/>
      <c r="S84" s="9"/>
      <c r="T84" s="9"/>
    </row>
    <row r="85" spans="2:20" ht="12.95" customHeight="1" x14ac:dyDescent="0.2">
      <c r="N85" s="9"/>
      <c r="O85" s="9"/>
      <c r="P85" s="9"/>
      <c r="Q85" s="9"/>
      <c r="R85" s="9"/>
      <c r="S85" s="9"/>
      <c r="T85" s="9"/>
    </row>
    <row r="86" spans="2:20" ht="12.95" customHeight="1" x14ac:dyDescent="0.2">
      <c r="N86" s="75"/>
      <c r="O86" s="75"/>
      <c r="P86" s="75"/>
      <c r="Q86" s="75"/>
      <c r="R86" s="75"/>
      <c r="S86" s="9"/>
      <c r="T86" s="9"/>
    </row>
    <row r="87" spans="2:20" ht="12.95" customHeight="1" x14ac:dyDescent="0.2">
      <c r="N87" s="75"/>
      <c r="O87" s="75"/>
      <c r="P87" s="75"/>
      <c r="Q87" s="75"/>
      <c r="R87" s="75"/>
      <c r="S87" s="75"/>
      <c r="T87" s="75"/>
    </row>
    <row r="91" spans="2:20" ht="12.95" customHeight="1" x14ac:dyDescent="0.2">
      <c r="N91" s="9"/>
      <c r="O91" s="9"/>
      <c r="P91" s="9"/>
      <c r="Q91" s="9"/>
      <c r="R91" s="9"/>
      <c r="S91" s="9"/>
      <c r="T91" s="9"/>
    </row>
    <row r="92" spans="2:20" ht="12.95" customHeight="1" x14ac:dyDescent="0.2">
      <c r="N92" s="9"/>
      <c r="O92" s="9"/>
      <c r="P92" s="9"/>
      <c r="Q92" s="9"/>
      <c r="R92" s="9"/>
      <c r="S92" s="9"/>
      <c r="T92" s="9"/>
    </row>
    <row r="93" spans="2:20" ht="12.95" customHeight="1" x14ac:dyDescent="0.2">
      <c r="N93" s="9"/>
      <c r="O93" s="9"/>
      <c r="P93" s="9"/>
      <c r="Q93" s="9"/>
      <c r="R93" s="9"/>
      <c r="S93" s="9"/>
      <c r="T93" s="9"/>
    </row>
    <row r="94" spans="2:20" ht="12.95" customHeight="1" x14ac:dyDescent="0.2">
      <c r="N94" s="9"/>
      <c r="O94" s="9"/>
      <c r="P94" s="9"/>
      <c r="Q94" s="9"/>
      <c r="R94" s="9"/>
      <c r="S94" s="9"/>
      <c r="T94" s="9"/>
    </row>
    <row r="95" spans="2:20" ht="12.95" customHeight="1" x14ac:dyDescent="0.2">
      <c r="N95" s="9"/>
      <c r="O95" s="9"/>
      <c r="P95" s="9"/>
      <c r="Q95" s="9"/>
      <c r="R95" s="9"/>
      <c r="S95" s="9"/>
      <c r="T95" s="9"/>
    </row>
    <row r="96" spans="2:20" ht="12.95" customHeight="1" x14ac:dyDescent="0.2">
      <c r="N96" s="9"/>
      <c r="O96" s="9"/>
      <c r="P96" s="9"/>
      <c r="Q96" s="9"/>
      <c r="R96" s="9"/>
      <c r="S96" s="9"/>
      <c r="T96" s="9"/>
    </row>
    <row r="97" spans="7:20" ht="12.95" customHeight="1" x14ac:dyDescent="0.2">
      <c r="N97" s="9"/>
      <c r="O97" s="9"/>
      <c r="P97" s="9"/>
      <c r="Q97" s="9"/>
      <c r="R97" s="9"/>
      <c r="S97" s="9"/>
      <c r="T97" s="9"/>
    </row>
    <row r="98" spans="7:20" ht="12.95" customHeight="1" x14ac:dyDescent="0.2">
      <c r="N98" s="9"/>
      <c r="O98" s="9"/>
      <c r="P98" s="9"/>
      <c r="Q98" s="9"/>
      <c r="R98" s="9"/>
      <c r="S98" s="9"/>
      <c r="T98" s="9"/>
    </row>
    <row r="99" spans="7:20" ht="12.95" customHeight="1" x14ac:dyDescent="0.2">
      <c r="N99" s="9"/>
      <c r="O99" s="9"/>
      <c r="P99" s="9"/>
      <c r="Q99" s="9"/>
      <c r="R99" s="9"/>
      <c r="S99" s="9"/>
      <c r="T99" s="9"/>
    </row>
    <row r="100" spans="7:20" ht="12.95" customHeight="1" x14ac:dyDescent="0.2">
      <c r="N100" s="9"/>
      <c r="O100" s="9"/>
      <c r="P100" s="9"/>
      <c r="Q100" s="9"/>
      <c r="R100" s="9"/>
      <c r="S100" s="9"/>
      <c r="T100" s="9"/>
    </row>
    <row r="101" spans="7:20" ht="12.95" customHeight="1" x14ac:dyDescent="0.2">
      <c r="N101" s="9"/>
      <c r="O101" s="9"/>
      <c r="P101" s="9"/>
      <c r="Q101" s="9"/>
      <c r="R101" s="9"/>
      <c r="S101" s="9"/>
      <c r="T101" s="9"/>
    </row>
    <row r="102" spans="7:20" ht="12.95" customHeight="1" x14ac:dyDescent="0.2">
      <c r="N102" s="9"/>
      <c r="O102" s="9"/>
      <c r="P102" s="9"/>
      <c r="Q102" s="9"/>
      <c r="R102" s="9"/>
      <c r="S102" s="9"/>
      <c r="T102" s="9"/>
    </row>
    <row r="103" spans="7:20" ht="12.95" customHeight="1" x14ac:dyDescent="0.2">
      <c r="N103" s="9"/>
      <c r="O103" s="9"/>
      <c r="P103" s="9"/>
      <c r="Q103" s="9"/>
      <c r="R103" s="9"/>
      <c r="S103" s="9"/>
      <c r="T103" s="9"/>
    </row>
    <row r="104" spans="7:20" ht="12.95" customHeight="1" x14ac:dyDescent="0.2">
      <c r="N104" s="9"/>
      <c r="O104" s="9"/>
      <c r="P104" s="9"/>
      <c r="Q104" s="9"/>
      <c r="R104" s="9"/>
      <c r="S104" s="9"/>
      <c r="T104" s="9"/>
    </row>
    <row r="105" spans="7:20" ht="12.95" customHeight="1" x14ac:dyDescent="0.2">
      <c r="N105" s="9"/>
      <c r="O105" s="9"/>
      <c r="P105" s="9"/>
      <c r="Q105" s="9"/>
      <c r="R105" s="9"/>
      <c r="S105" s="9"/>
      <c r="T105" s="9"/>
    </row>
    <row r="106" spans="7:20" ht="12.95" customHeight="1" x14ac:dyDescent="0.2">
      <c r="N106" s="9"/>
      <c r="O106" s="9"/>
      <c r="P106" s="9"/>
      <c r="Q106" s="9"/>
      <c r="R106" s="9"/>
      <c r="S106" s="9"/>
      <c r="T106" s="9"/>
    </row>
    <row r="107" spans="7:20" ht="12.95" customHeight="1" x14ac:dyDescent="0.2">
      <c r="N107" s="9"/>
      <c r="O107" s="9"/>
      <c r="P107" s="9"/>
      <c r="Q107" s="9"/>
      <c r="R107" s="9"/>
      <c r="S107" s="9"/>
      <c r="T107" s="9"/>
    </row>
    <row r="108" spans="7:20" ht="12.95" customHeight="1" x14ac:dyDescent="0.2">
      <c r="N108" s="9"/>
      <c r="O108" s="9"/>
      <c r="P108" s="9"/>
      <c r="Q108" s="9"/>
      <c r="R108" s="9"/>
      <c r="S108" s="9"/>
      <c r="T108" s="9"/>
    </row>
    <row r="112" spans="7:20" ht="12.95" customHeight="1" x14ac:dyDescent="0.2">
      <c r="G112" s="33"/>
    </row>
    <row r="113" spans="7:20" ht="12.95" customHeight="1" x14ac:dyDescent="0.2">
      <c r="G113" s="33"/>
    </row>
    <row r="115" spans="7:20" ht="12.95" customHeight="1" x14ac:dyDescent="0.2">
      <c r="G115" s="33"/>
      <c r="N115" s="75"/>
      <c r="O115" s="75"/>
      <c r="P115" s="75"/>
      <c r="Q115" s="75"/>
      <c r="R115" s="75"/>
      <c r="S115" s="75"/>
      <c r="T115" s="75"/>
    </row>
    <row r="116" spans="7:20" ht="12.95" customHeight="1" x14ac:dyDescent="0.2">
      <c r="N116" s="75"/>
      <c r="O116" s="75"/>
      <c r="P116" s="75"/>
      <c r="Q116" s="75"/>
      <c r="R116" s="75"/>
      <c r="S116" s="75"/>
      <c r="T116" s="75"/>
    </row>
    <row r="120" spans="7:20" ht="12.95" customHeight="1" x14ac:dyDescent="0.2">
      <c r="G120" s="37"/>
      <c r="N120" s="81"/>
      <c r="O120" s="81"/>
      <c r="P120" s="81"/>
      <c r="Q120" s="81"/>
      <c r="R120" s="81"/>
      <c r="S120" s="81"/>
      <c r="T120" s="81"/>
    </row>
    <row r="121" spans="7:20" ht="12.95" customHeight="1" x14ac:dyDescent="0.2">
      <c r="G121" s="37"/>
      <c r="N121" s="81"/>
      <c r="O121" s="81"/>
      <c r="P121" s="81"/>
      <c r="Q121" s="81"/>
      <c r="R121" s="81"/>
      <c r="S121" s="81"/>
      <c r="T121" s="81"/>
    </row>
    <row r="122" spans="7:20" ht="12.95" customHeight="1" x14ac:dyDescent="0.2">
      <c r="G122" s="37"/>
      <c r="N122" s="81"/>
      <c r="O122" s="81"/>
      <c r="P122" s="81"/>
      <c r="Q122" s="81"/>
      <c r="R122" s="81"/>
      <c r="S122" s="81"/>
      <c r="T122" s="81"/>
    </row>
    <row r="123" spans="7:20" ht="12.95" customHeight="1" x14ac:dyDescent="0.2">
      <c r="N123" s="81"/>
      <c r="O123" s="81"/>
      <c r="P123" s="81"/>
      <c r="Q123" s="81"/>
      <c r="R123" s="81"/>
      <c r="S123" s="81"/>
      <c r="T123" s="81"/>
    </row>
    <row r="124" spans="7:20" ht="12.95" customHeight="1" x14ac:dyDescent="0.2">
      <c r="N124" s="81"/>
      <c r="O124" s="81"/>
      <c r="P124" s="81"/>
      <c r="Q124" s="81"/>
      <c r="R124" s="81"/>
      <c r="S124" s="81"/>
      <c r="T124" s="81"/>
    </row>
    <row r="125" spans="7:20" ht="12.95" customHeight="1" x14ac:dyDescent="0.2">
      <c r="N125" s="81"/>
      <c r="O125" s="81"/>
      <c r="P125" s="81"/>
      <c r="Q125" s="81"/>
      <c r="R125" s="81"/>
      <c r="S125" s="81"/>
      <c r="T125" s="81"/>
    </row>
    <row r="126" spans="7:20" ht="12.95" customHeight="1" x14ac:dyDescent="0.2">
      <c r="N126" s="81"/>
      <c r="O126" s="81"/>
      <c r="P126" s="81"/>
      <c r="Q126" s="81"/>
      <c r="R126" s="81"/>
      <c r="S126" s="81"/>
      <c r="T126" s="81"/>
    </row>
    <row r="127" spans="7:20" ht="12.95" customHeight="1" x14ac:dyDescent="0.2">
      <c r="N127" s="81"/>
      <c r="O127" s="81"/>
      <c r="P127" s="81"/>
      <c r="Q127" s="81"/>
      <c r="R127" s="81"/>
      <c r="S127" s="81"/>
      <c r="T127" s="81"/>
    </row>
  </sheetData>
  <sheetProtection algorithmName="SHA-512" hashValue="UqHq6tV3ac/7CnJw/1xbgB/FX8wbf2E9HMMkbAlH6RM7GgsrjMw6BI3NVmRidkk3HgwkeCJnMRJfKKdLTES0hQ==" saltValue="PWqXy9pBjSrdKJtVJ7wseA==" spinCount="100000" sheet="1" objects="1" scenarios="1"/>
  <mergeCells count="5">
    <mergeCell ref="B64:C65"/>
    <mergeCell ref="B2:C2"/>
    <mergeCell ref="B3:C3"/>
    <mergeCell ref="B11:C12"/>
    <mergeCell ref="D2:E2"/>
  </mergeCells>
  <conditionalFormatting sqref="C72:D73 B1:D38 B39 D39 B40:D71 B73:B74 B75:D1048576">
    <cfRule type="expression" dxfId="895" priority="570">
      <formula>AND(B1&lt;&gt;"",NOT(_xlfn.ISFORMULA(B1)))</formula>
    </cfRule>
  </conditionalFormatting>
  <conditionalFormatting sqref="H25:P25 S68">
    <cfRule type="expression" dxfId="894" priority="565">
      <formula>AND($D25&lt;&gt;"",H$11&lt;&gt;"",H25="")</formula>
    </cfRule>
  </conditionalFormatting>
  <conditionalFormatting sqref="H25:P25">
    <cfRule type="expression" dxfId="893" priority="566">
      <formula>AND($A25="",ABS(H25)=0)</formula>
    </cfRule>
    <cfRule type="expression" dxfId="892" priority="567">
      <formula>AND($A25="",ABS(H25)&lt;100)</formula>
    </cfRule>
    <cfRule type="expression" dxfId="891" priority="568">
      <formula>AND($A25="",ABS(H25)&lt;10)</formula>
    </cfRule>
    <cfRule type="expression" dxfId="890" priority="569">
      <formula>AND($A25="",ABS(H25)&gt;=100)</formula>
    </cfRule>
  </conditionalFormatting>
  <conditionalFormatting sqref="H26:P28">
    <cfRule type="expression" dxfId="889" priority="554">
      <formula>AND($A1="",ABS(H1)&lt;10000)</formula>
    </cfRule>
  </conditionalFormatting>
  <conditionalFormatting sqref="H42:P43">
    <cfRule type="expression" dxfId="888" priority="553">
      <formula>AND($A1048569="",ABS(H1048569)&lt;1000)</formula>
    </cfRule>
  </conditionalFormatting>
  <conditionalFormatting sqref="H49:P49 H46:R47">
    <cfRule type="expression" dxfId="887" priority="552">
      <formula>AND($A1048560="",ABS(H1048560)&lt;1000)</formula>
    </cfRule>
  </conditionalFormatting>
  <conditionalFormatting sqref="H48:P48">
    <cfRule type="expression" dxfId="886" priority="546">
      <formula>AND($A68="",ABS(H68)&lt;100)</formula>
    </cfRule>
    <cfRule type="expression" dxfId="885" priority="547">
      <formula>AND($A68="",ABS(H68)&gt;=100)</formula>
    </cfRule>
  </conditionalFormatting>
  <conditionalFormatting sqref="H68:P70">
    <cfRule type="expression" dxfId="884" priority="545">
      <formula>AND($A1048560="",ABS(H1048560)&lt;1000)</formula>
    </cfRule>
  </conditionalFormatting>
  <conditionalFormatting sqref="H37:P37 H31:R32 H34:R35">
    <cfRule type="expression" dxfId="883" priority="723">
      <formula>AND($A1048560="",ABS(H1048560)&lt;1000)</formula>
    </cfRule>
  </conditionalFormatting>
  <conditionalFormatting sqref="S68">
    <cfRule type="expression" dxfId="882" priority="488">
      <formula>AND($A68="",ABS(S68)=0)</formula>
    </cfRule>
    <cfRule type="expression" dxfId="881" priority="489">
      <formula>AND($A68="",ABS(S68)&lt;100)</formula>
    </cfRule>
    <cfRule type="expression" dxfId="880" priority="490">
      <formula>AND($A68="",ABS(S68)&lt;10)</formula>
    </cfRule>
    <cfRule type="expression" dxfId="879" priority="491">
      <formula>AND($A68="",ABS(S68)&gt;=100)</formula>
    </cfRule>
  </conditionalFormatting>
  <conditionalFormatting sqref="S70">
    <cfRule type="expression" dxfId="878" priority="423">
      <formula>AND($D70&lt;&gt;"",S$11&lt;&gt;"",S70="")</formula>
    </cfRule>
  </conditionalFormatting>
  <conditionalFormatting sqref="S70">
    <cfRule type="expression" dxfId="877" priority="419">
      <formula>AND($A70="",ABS(S70)=0)</formula>
    </cfRule>
    <cfRule type="expression" dxfId="876" priority="420">
      <formula>AND($A70="",ABS(S70)&lt;100)</formula>
    </cfRule>
    <cfRule type="expression" dxfId="875" priority="421">
      <formula>AND($A70="",ABS(S70)&lt;10)</formula>
    </cfRule>
    <cfRule type="expression" dxfId="874" priority="422">
      <formula>AND($A70="",ABS(S70)&gt;=100)</formula>
    </cfRule>
  </conditionalFormatting>
  <conditionalFormatting sqref="S69">
    <cfRule type="expression" dxfId="873" priority="418">
      <formula>AND($D69&lt;&gt;"",S$11&lt;&gt;"",S69="")</formula>
    </cfRule>
  </conditionalFormatting>
  <conditionalFormatting sqref="S69">
    <cfRule type="expression" dxfId="872" priority="414">
      <formula>AND($A69="",ABS(S69)=0)</formula>
    </cfRule>
    <cfRule type="expression" dxfId="871" priority="415">
      <formula>AND($A69="",ABS(S69)&lt;100)</formula>
    </cfRule>
    <cfRule type="expression" dxfId="870" priority="416">
      <formula>AND($A69="",ABS(S69)&lt;10)</formula>
    </cfRule>
    <cfRule type="expression" dxfId="869" priority="417">
      <formula>AND($A69="",ABS(S69)&gt;=100)</formula>
    </cfRule>
  </conditionalFormatting>
  <conditionalFormatting sqref="Q25">
    <cfRule type="expression" dxfId="868" priority="409">
      <formula>AND($D25&lt;&gt;"",Q$11&lt;&gt;"",Q25="")</formula>
    </cfRule>
  </conditionalFormatting>
  <conditionalFormatting sqref="Q25">
    <cfRule type="expression" dxfId="867" priority="410">
      <formula>AND($A25="",ABS(Q25)=0)</formula>
    </cfRule>
    <cfRule type="expression" dxfId="866" priority="411">
      <formula>AND($A25="",ABS(Q25)&lt;100)</formula>
    </cfRule>
    <cfRule type="expression" dxfId="865" priority="412">
      <formula>AND($A25="",ABS(Q25)&lt;10)</formula>
    </cfRule>
    <cfRule type="expression" dxfId="864" priority="413">
      <formula>AND($A25="",ABS(Q25)&gt;=100)</formula>
    </cfRule>
  </conditionalFormatting>
  <conditionalFormatting sqref="Q26:Q28">
    <cfRule type="expression" dxfId="863" priority="408">
      <formula>AND($A1="",ABS(Q1)&lt;10000)</formula>
    </cfRule>
  </conditionalFormatting>
  <conditionalFormatting sqref="R25">
    <cfRule type="expression" dxfId="862" priority="403">
      <formula>AND($D25&lt;&gt;"",R$11&lt;&gt;"",R25="")</formula>
    </cfRule>
  </conditionalFormatting>
  <conditionalFormatting sqref="R25">
    <cfRule type="expression" dxfId="861" priority="404">
      <formula>AND($A25="",ABS(R25)=0)</formula>
    </cfRule>
    <cfRule type="expression" dxfId="860" priority="405">
      <formula>AND($A25="",ABS(R25)&lt;100)</formula>
    </cfRule>
    <cfRule type="expression" dxfId="859" priority="406">
      <formula>AND($A25="",ABS(R25)&lt;10)</formula>
    </cfRule>
    <cfRule type="expression" dxfId="858" priority="407">
      <formula>AND($A25="",ABS(R25)&gt;=100)</formula>
    </cfRule>
  </conditionalFormatting>
  <conditionalFormatting sqref="R26:R28">
    <cfRule type="expression" dxfId="857" priority="402">
      <formula>AND($A1="",ABS(R1)&lt;10000)</formula>
    </cfRule>
  </conditionalFormatting>
  <conditionalFormatting sqref="Q42:Q43">
    <cfRule type="expression" dxfId="856" priority="400">
      <formula>AND($A1048569="",ABS(Q1048569)&lt;1000)</formula>
    </cfRule>
  </conditionalFormatting>
  <conditionalFormatting sqref="Q37">
    <cfRule type="expression" dxfId="855" priority="401">
      <formula>AND($A1048566="",ABS(Q1048566)&lt;1000)</formula>
    </cfRule>
  </conditionalFormatting>
  <conditionalFormatting sqref="R42:R43">
    <cfRule type="expression" dxfId="854" priority="398">
      <formula>AND($A1048569="",ABS(R1048569)&lt;1000)</formula>
    </cfRule>
  </conditionalFormatting>
  <conditionalFormatting sqref="R37">
    <cfRule type="expression" dxfId="853" priority="399">
      <formula>AND($A1048566="",ABS(R1048566)&lt;1000)</formula>
    </cfRule>
  </conditionalFormatting>
  <conditionalFormatting sqref="Q49">
    <cfRule type="expression" dxfId="852" priority="397">
      <formula>AND($A1048563="",ABS(Q1048563)&lt;1000)</formula>
    </cfRule>
  </conditionalFormatting>
  <conditionalFormatting sqref="Q48">
    <cfRule type="expression" dxfId="851" priority="395">
      <formula>AND($A68="",ABS(Q68)&lt;100)</formula>
    </cfRule>
    <cfRule type="expression" dxfId="850" priority="396">
      <formula>AND($A68="",ABS(Q68)&gt;=100)</formula>
    </cfRule>
  </conditionalFormatting>
  <conditionalFormatting sqref="R49">
    <cfRule type="expression" dxfId="849" priority="394">
      <formula>AND($A1048563="",ABS(R1048563)&lt;1000)</formula>
    </cfRule>
  </conditionalFormatting>
  <conditionalFormatting sqref="R48">
    <cfRule type="expression" dxfId="848" priority="392">
      <formula>AND($A68="",ABS(R68)&lt;100)</formula>
    </cfRule>
    <cfRule type="expression" dxfId="847" priority="393">
      <formula>AND($A68="",ABS(R68)&gt;=100)</formula>
    </cfRule>
  </conditionalFormatting>
  <conditionalFormatting sqref="Q68:R70">
    <cfRule type="expression" dxfId="846" priority="391">
      <formula>AND($A1048560="",ABS(Q1048560)&lt;1000)</formula>
    </cfRule>
  </conditionalFormatting>
  <conditionalFormatting sqref="S45">
    <cfRule type="expression" dxfId="845" priority="382">
      <formula>AND($A1048559="",ABS(S1048559)&lt;1000)</formula>
    </cfRule>
  </conditionalFormatting>
  <conditionalFormatting sqref="S17 S21:S23 S19 S26:S27">
    <cfRule type="expression" dxfId="844" priority="201">
      <formula>AND($D17&lt;&gt;"",S$11&lt;&gt;"",S17="")</formula>
    </cfRule>
  </conditionalFormatting>
  <conditionalFormatting sqref="S17 S21:S23 S19 S26:S27">
    <cfRule type="expression" dxfId="843" priority="202">
      <formula>AND($A17="",ABS(S17)=0)</formula>
    </cfRule>
    <cfRule type="expression" dxfId="842" priority="203">
      <formula>AND($A17="",ABS(S17)&lt;100)</formula>
    </cfRule>
    <cfRule type="expression" dxfId="841" priority="204">
      <formula>AND($A17="",ABS(S17)&lt;10)</formula>
    </cfRule>
    <cfRule type="expression" dxfId="840" priority="205">
      <formula>AND($A17="",ABS(S17)&gt;=100)</formula>
    </cfRule>
  </conditionalFormatting>
  <conditionalFormatting sqref="S26:S27">
    <cfRule type="expression" dxfId="839" priority="200">
      <formula>AND($A1="",ABS(S1)&lt;10000)</formula>
    </cfRule>
  </conditionalFormatting>
  <conditionalFormatting sqref="S19">
    <cfRule type="expression" dxfId="838" priority="195">
      <formula>AND($D19&lt;&gt;"",S$11&lt;&gt;"",S19="")</formula>
    </cfRule>
  </conditionalFormatting>
  <conditionalFormatting sqref="S19">
    <cfRule type="expression" dxfId="837" priority="196">
      <formula>AND($A19="",ABS(S19)=0)</formula>
    </cfRule>
    <cfRule type="expression" dxfId="836" priority="197">
      <formula>AND($A19="",ABS(S19)&lt;100)</formula>
    </cfRule>
    <cfRule type="expression" dxfId="835" priority="198">
      <formula>AND($A19="",ABS(S19)&lt;10)</formula>
    </cfRule>
    <cfRule type="expression" dxfId="834" priority="199">
      <formula>AND($A19="",ABS(S19)&gt;=100)</formula>
    </cfRule>
  </conditionalFormatting>
  <conditionalFormatting sqref="S21">
    <cfRule type="expression" dxfId="833" priority="190">
      <formula>AND($D21&lt;&gt;"",S$11&lt;&gt;"",S21="")</formula>
    </cfRule>
  </conditionalFormatting>
  <conditionalFormatting sqref="S21">
    <cfRule type="expression" dxfId="832" priority="191">
      <formula>AND($A21="",ABS(S21)=0)</formula>
    </cfRule>
    <cfRule type="expression" dxfId="831" priority="192">
      <formula>AND($A21="",ABS(S21)&lt;100)</formula>
    </cfRule>
    <cfRule type="expression" dxfId="830" priority="193">
      <formula>AND($A21="",ABS(S21)&lt;10)</formula>
    </cfRule>
    <cfRule type="expression" dxfId="829" priority="194">
      <formula>AND($A21="",ABS(S21)&gt;=100)</formula>
    </cfRule>
  </conditionalFormatting>
  <conditionalFormatting sqref="S16">
    <cfRule type="expression" dxfId="828" priority="185">
      <formula>AND($D16&lt;&gt;"",S$11&lt;&gt;"",S16="")</formula>
    </cfRule>
  </conditionalFormatting>
  <conditionalFormatting sqref="S16">
    <cfRule type="expression" dxfId="827" priority="186">
      <formula>AND($A16="",ABS(S16)=0)</formula>
    </cfRule>
    <cfRule type="expression" dxfId="826" priority="187">
      <formula>AND($A16="",ABS(S16)&lt;100)</formula>
    </cfRule>
    <cfRule type="expression" dxfId="825" priority="188">
      <formula>AND($A16="",ABS(S16)&lt;10)</formula>
    </cfRule>
    <cfRule type="expression" dxfId="824" priority="189">
      <formula>AND($A16="",ABS(S16)&gt;=100)</formula>
    </cfRule>
  </conditionalFormatting>
  <conditionalFormatting sqref="S25">
    <cfRule type="expression" dxfId="823" priority="180">
      <formula>AND($D25&lt;&gt;"",S$11&lt;&gt;"",S25="")</formula>
    </cfRule>
  </conditionalFormatting>
  <conditionalFormatting sqref="S25">
    <cfRule type="expression" dxfId="822" priority="181">
      <formula>AND($A25="",ABS(S25)=0)</formula>
    </cfRule>
    <cfRule type="expression" dxfId="821" priority="182">
      <formula>AND($A25="",ABS(S25)&lt;100)</formula>
    </cfRule>
    <cfRule type="expression" dxfId="820" priority="183">
      <formula>AND($A25="",ABS(S25)&lt;10)</formula>
    </cfRule>
    <cfRule type="expression" dxfId="819" priority="184">
      <formula>AND($A25="",ABS(S25)&gt;=100)</formula>
    </cfRule>
  </conditionalFormatting>
  <conditionalFormatting sqref="S28">
    <cfRule type="expression" dxfId="818" priority="179">
      <formula>AND($A3="",ABS(S3)&lt;10000)</formula>
    </cfRule>
  </conditionalFormatting>
  <conditionalFormatting sqref="S34:S35 S37:S38 S41:S43">
    <cfRule type="expression" dxfId="817" priority="154">
      <formula>AND($D34&lt;&gt;"",S$11&lt;&gt;"",S34="")</formula>
    </cfRule>
  </conditionalFormatting>
  <conditionalFormatting sqref="S34:S35 S37:S38 S41:S43">
    <cfRule type="expression" dxfId="816" priority="155">
      <formula>AND($A34="",ABS(S34)=0)</formula>
    </cfRule>
    <cfRule type="expression" dxfId="815" priority="156">
      <formula>AND($A34="",ABS(S34)&lt;100)</formula>
    </cfRule>
    <cfRule type="expression" dxfId="814" priority="157">
      <formula>AND($A34="",ABS(S34)&lt;10)</formula>
    </cfRule>
    <cfRule type="expression" dxfId="813" priority="158">
      <formula>AND($A34="",ABS(S34)&gt;=100)</formula>
    </cfRule>
  </conditionalFormatting>
  <conditionalFormatting sqref="S38 S41">
    <cfRule type="expression" dxfId="812" priority="150">
      <formula>AND($A38="",ABS(S38)=0)</formula>
    </cfRule>
    <cfRule type="expression" dxfId="811" priority="151">
      <formula>AND($A38="",ABS(S38)&lt;100)</formula>
    </cfRule>
    <cfRule type="expression" dxfId="810" priority="152">
      <formula>AND($A38="",ABS(S38)&lt;10)</formula>
    </cfRule>
    <cfRule type="expression" dxfId="809" priority="153">
      <formula>AND($A38="",ABS(S38)&gt;=100)</formula>
    </cfRule>
  </conditionalFormatting>
  <conditionalFormatting sqref="S31">
    <cfRule type="expression" dxfId="808" priority="149">
      <formula>AND($A1048561="",ABS(S1048561)&lt;1000)</formula>
    </cfRule>
  </conditionalFormatting>
  <conditionalFormatting sqref="S32">
    <cfRule type="expression" dxfId="807" priority="148">
      <formula>AND($A1048562="",ABS(S1048562)&lt;1000)</formula>
    </cfRule>
  </conditionalFormatting>
  <conditionalFormatting sqref="S49">
    <cfRule type="expression" dxfId="806" priority="125">
      <formula>AND($D49&lt;&gt;"",S$11&lt;&gt;"",S49="")</formula>
    </cfRule>
  </conditionalFormatting>
  <conditionalFormatting sqref="S49">
    <cfRule type="expression" dxfId="805" priority="126">
      <formula>AND($A49="",ABS(S49)=0)</formula>
    </cfRule>
    <cfRule type="expression" dxfId="804" priority="127">
      <formula>AND($A49="",ABS(S49)&lt;100)</formula>
    </cfRule>
    <cfRule type="expression" dxfId="803" priority="128">
      <formula>AND($A49="",ABS(S49)&lt;10)</formula>
    </cfRule>
    <cfRule type="expression" dxfId="802" priority="129">
      <formula>AND($A49="",ABS(S49)&gt;=100)</formula>
    </cfRule>
  </conditionalFormatting>
  <conditionalFormatting sqref="S46">
    <cfRule type="expression" dxfId="801" priority="124">
      <formula>AND($A1048561="",ABS(S1048561)&lt;1000)</formula>
    </cfRule>
  </conditionalFormatting>
  <conditionalFormatting sqref="S47">
    <cfRule type="expression" dxfId="800" priority="122">
      <formula>AND($A67="",ABS(S67)&lt;100)</formula>
    </cfRule>
    <cfRule type="expression" dxfId="799" priority="123">
      <formula>AND($A67="",ABS(S67)&gt;=100)</formula>
    </cfRule>
  </conditionalFormatting>
  <conditionalFormatting sqref="S48">
    <cfRule type="expression" dxfId="798" priority="120">
      <formula>AND($A68="",ABS(S68)&lt;100)</formula>
    </cfRule>
    <cfRule type="expression" dxfId="797" priority="121">
      <formula>AND($A68="",ABS(S68)&gt;=100)</formula>
    </cfRule>
  </conditionalFormatting>
  <conditionalFormatting sqref="S52:S55">
    <cfRule type="expression" dxfId="796" priority="102">
      <formula>AND($D52&lt;&gt;"",S$11&lt;&gt;"",S52="")</formula>
    </cfRule>
  </conditionalFormatting>
  <conditionalFormatting sqref="S52:S55">
    <cfRule type="expression" dxfId="795" priority="103">
      <formula>AND($A52="",ABS(S52)=0)</formula>
    </cfRule>
    <cfRule type="expression" dxfId="794" priority="104">
      <formula>AND($A52="",ABS(S52)&lt;100)</formula>
    </cfRule>
    <cfRule type="expression" dxfId="793" priority="105">
      <formula>AND($A52="",ABS(S52)&lt;10)</formula>
    </cfRule>
    <cfRule type="expression" dxfId="792" priority="106">
      <formula>AND($A52="",ABS(S52)&gt;=100)</formula>
    </cfRule>
  </conditionalFormatting>
  <conditionalFormatting sqref="S52 S54">
    <cfRule type="expression" dxfId="791" priority="98">
      <formula>AND($A52="",ABS(S52)=0)</formula>
    </cfRule>
    <cfRule type="expression" dxfId="790" priority="99">
      <formula>AND($A52="",ABS(S52)&lt;100)</formula>
    </cfRule>
    <cfRule type="expression" dxfId="789" priority="100">
      <formula>AND($A52="",ABS(S52)&lt;10)</formula>
    </cfRule>
    <cfRule type="expression" dxfId="788" priority="101">
      <formula>AND($A52="",ABS(S52)&gt;=100)</formula>
    </cfRule>
  </conditionalFormatting>
  <conditionalFormatting sqref="T68">
    <cfRule type="expression" dxfId="787" priority="73">
      <formula>AND($D68&lt;&gt;"",T$11&lt;&gt;"",T68="")</formula>
    </cfRule>
  </conditionalFormatting>
  <conditionalFormatting sqref="T68">
    <cfRule type="expression" dxfId="786" priority="69">
      <formula>AND($A68="",ABS(T68)=0)</formula>
    </cfRule>
    <cfRule type="expression" dxfId="785" priority="70">
      <formula>AND($A68="",ABS(T68)&lt;100)</formula>
    </cfRule>
    <cfRule type="expression" dxfId="784" priority="71">
      <formula>AND($A68="",ABS(T68)&lt;10)</formula>
    </cfRule>
    <cfRule type="expression" dxfId="783" priority="72">
      <formula>AND($A68="",ABS(T68)&gt;=100)</formula>
    </cfRule>
  </conditionalFormatting>
  <conditionalFormatting sqref="T70">
    <cfRule type="expression" dxfId="782" priority="68">
      <formula>AND($D70&lt;&gt;"",T$11&lt;&gt;"",T70="")</formula>
    </cfRule>
  </conditionalFormatting>
  <conditionalFormatting sqref="T70">
    <cfRule type="expression" dxfId="781" priority="64">
      <formula>AND($A70="",ABS(T70)=0)</formula>
    </cfRule>
    <cfRule type="expression" dxfId="780" priority="65">
      <formula>AND($A70="",ABS(T70)&lt;100)</formula>
    </cfRule>
    <cfRule type="expression" dxfId="779" priority="66">
      <formula>AND($A70="",ABS(T70)&lt;10)</formula>
    </cfRule>
    <cfRule type="expression" dxfId="778" priority="67">
      <formula>AND($A70="",ABS(T70)&gt;=100)</formula>
    </cfRule>
  </conditionalFormatting>
  <conditionalFormatting sqref="T69">
    <cfRule type="expression" dxfId="777" priority="63">
      <formula>AND($D69&lt;&gt;"",T$11&lt;&gt;"",T69="")</formula>
    </cfRule>
  </conditionalFormatting>
  <conditionalFormatting sqref="T69">
    <cfRule type="expression" dxfId="776" priority="59">
      <formula>AND($A69="",ABS(T69)=0)</formula>
    </cfRule>
    <cfRule type="expression" dxfId="775" priority="60">
      <formula>AND($A69="",ABS(T69)&lt;100)</formula>
    </cfRule>
    <cfRule type="expression" dxfId="774" priority="61">
      <formula>AND($A69="",ABS(T69)&lt;10)</formula>
    </cfRule>
    <cfRule type="expression" dxfId="773" priority="62">
      <formula>AND($A69="",ABS(T69)&gt;=100)</formula>
    </cfRule>
  </conditionalFormatting>
  <conditionalFormatting sqref="T45">
    <cfRule type="expression" dxfId="772" priority="58">
      <formula>AND($A1048559="",ABS(T1048559)&lt;1000)</formula>
    </cfRule>
  </conditionalFormatting>
  <conditionalFormatting sqref="T17 T21:T23 T19 T26:T27">
    <cfRule type="expression" dxfId="771" priority="53">
      <formula>AND($D17&lt;&gt;"",T$11&lt;&gt;"",T17="")</formula>
    </cfRule>
  </conditionalFormatting>
  <conditionalFormatting sqref="T17 T21:T23 T19 T26:T27">
    <cfRule type="expression" dxfId="770" priority="54">
      <formula>AND($A17="",ABS(T17)=0)</formula>
    </cfRule>
    <cfRule type="expression" dxfId="769" priority="55">
      <formula>AND($A17="",ABS(T17)&lt;100)</formula>
    </cfRule>
    <cfRule type="expression" dxfId="768" priority="56">
      <formula>AND($A17="",ABS(T17)&lt;10)</formula>
    </cfRule>
    <cfRule type="expression" dxfId="767" priority="57">
      <formula>AND($A17="",ABS(T17)&gt;=100)</formula>
    </cfRule>
  </conditionalFormatting>
  <conditionalFormatting sqref="T26:T27">
    <cfRule type="expression" dxfId="766" priority="52">
      <formula>AND($A1="",ABS(T1)&lt;10000)</formula>
    </cfRule>
  </conditionalFormatting>
  <conditionalFormatting sqref="T19">
    <cfRule type="expression" dxfId="765" priority="47">
      <formula>AND($D19&lt;&gt;"",T$11&lt;&gt;"",T19="")</formula>
    </cfRule>
  </conditionalFormatting>
  <conditionalFormatting sqref="T19">
    <cfRule type="expression" dxfId="764" priority="48">
      <formula>AND($A19="",ABS(T19)=0)</formula>
    </cfRule>
    <cfRule type="expression" dxfId="763" priority="49">
      <formula>AND($A19="",ABS(T19)&lt;100)</formula>
    </cfRule>
    <cfRule type="expression" dxfId="762" priority="50">
      <formula>AND($A19="",ABS(T19)&lt;10)</formula>
    </cfRule>
    <cfRule type="expression" dxfId="761" priority="51">
      <formula>AND($A19="",ABS(T19)&gt;=100)</formula>
    </cfRule>
  </conditionalFormatting>
  <conditionalFormatting sqref="T21">
    <cfRule type="expression" dxfId="760" priority="42">
      <formula>AND($D21&lt;&gt;"",T$11&lt;&gt;"",T21="")</formula>
    </cfRule>
  </conditionalFormatting>
  <conditionalFormatting sqref="T21">
    <cfRule type="expression" dxfId="759" priority="43">
      <formula>AND($A21="",ABS(T21)=0)</formula>
    </cfRule>
    <cfRule type="expression" dxfId="758" priority="44">
      <formula>AND($A21="",ABS(T21)&lt;100)</formula>
    </cfRule>
    <cfRule type="expression" dxfId="757" priority="45">
      <formula>AND($A21="",ABS(T21)&lt;10)</formula>
    </cfRule>
    <cfRule type="expression" dxfId="756" priority="46">
      <formula>AND($A21="",ABS(T21)&gt;=100)</formula>
    </cfRule>
  </conditionalFormatting>
  <conditionalFormatting sqref="T16">
    <cfRule type="expression" dxfId="755" priority="37">
      <formula>AND($D16&lt;&gt;"",T$11&lt;&gt;"",T16="")</formula>
    </cfRule>
  </conditionalFormatting>
  <conditionalFormatting sqref="T16">
    <cfRule type="expression" dxfId="754" priority="38">
      <formula>AND($A16="",ABS(T16)=0)</formula>
    </cfRule>
    <cfRule type="expression" dxfId="753" priority="39">
      <formula>AND($A16="",ABS(T16)&lt;100)</formula>
    </cfRule>
    <cfRule type="expression" dxfId="752" priority="40">
      <formula>AND($A16="",ABS(T16)&lt;10)</formula>
    </cfRule>
    <cfRule type="expression" dxfId="751" priority="41">
      <formula>AND($A16="",ABS(T16)&gt;=100)</formula>
    </cfRule>
  </conditionalFormatting>
  <conditionalFormatting sqref="T25">
    <cfRule type="expression" dxfId="750" priority="32">
      <formula>AND($D25&lt;&gt;"",T$11&lt;&gt;"",T25="")</formula>
    </cfRule>
  </conditionalFormatting>
  <conditionalFormatting sqref="T25">
    <cfRule type="expression" dxfId="749" priority="33">
      <formula>AND($A25="",ABS(T25)=0)</formula>
    </cfRule>
    <cfRule type="expression" dxfId="748" priority="34">
      <formula>AND($A25="",ABS(T25)&lt;100)</formula>
    </cfRule>
    <cfRule type="expression" dxfId="747" priority="35">
      <formula>AND($A25="",ABS(T25)&lt;10)</formula>
    </cfRule>
    <cfRule type="expression" dxfId="746" priority="36">
      <formula>AND($A25="",ABS(T25)&gt;=100)</formula>
    </cfRule>
  </conditionalFormatting>
  <conditionalFormatting sqref="T28">
    <cfRule type="expression" dxfId="745" priority="31">
      <formula>AND($A3="",ABS(T3)&lt;10000)</formula>
    </cfRule>
  </conditionalFormatting>
  <conditionalFormatting sqref="T34:T35 T37:T38 T41:T43">
    <cfRule type="expression" dxfId="744" priority="26">
      <formula>AND($D34&lt;&gt;"",T$11&lt;&gt;"",T34="")</formula>
    </cfRule>
  </conditionalFormatting>
  <conditionalFormatting sqref="T34:T35 T37:T38 T41:T43">
    <cfRule type="expression" dxfId="743" priority="27">
      <formula>AND($A34="",ABS(T34)=0)</formula>
    </cfRule>
    <cfRule type="expression" dxfId="742" priority="28">
      <formula>AND($A34="",ABS(T34)&lt;100)</formula>
    </cfRule>
    <cfRule type="expression" dxfId="741" priority="29">
      <formula>AND($A34="",ABS(T34)&lt;10)</formula>
    </cfRule>
    <cfRule type="expression" dxfId="740" priority="30">
      <formula>AND($A34="",ABS(T34)&gt;=100)</formula>
    </cfRule>
  </conditionalFormatting>
  <conditionalFormatting sqref="T38 T41">
    <cfRule type="expression" dxfId="739" priority="22">
      <formula>AND($A38="",ABS(T38)=0)</formula>
    </cfRule>
    <cfRule type="expression" dxfId="738" priority="23">
      <formula>AND($A38="",ABS(T38)&lt;100)</formula>
    </cfRule>
    <cfRule type="expression" dxfId="737" priority="24">
      <formula>AND($A38="",ABS(T38)&lt;10)</formula>
    </cfRule>
    <cfRule type="expression" dxfId="736" priority="25">
      <formula>AND($A38="",ABS(T38)&gt;=100)</formula>
    </cfRule>
  </conditionalFormatting>
  <conditionalFormatting sqref="T31">
    <cfRule type="expression" dxfId="735" priority="21">
      <formula>AND($A1048561="",ABS(T1048561)&lt;1000)</formula>
    </cfRule>
  </conditionalFormatting>
  <conditionalFormatting sqref="T32">
    <cfRule type="expression" dxfId="734" priority="20">
      <formula>AND($A1048562="",ABS(T1048562)&lt;1000)</formula>
    </cfRule>
  </conditionalFormatting>
  <conditionalFormatting sqref="T49">
    <cfRule type="expression" dxfId="733" priority="15">
      <formula>AND($D49&lt;&gt;"",T$11&lt;&gt;"",T49="")</formula>
    </cfRule>
  </conditionalFormatting>
  <conditionalFormatting sqref="T49">
    <cfRule type="expression" dxfId="732" priority="16">
      <formula>AND($A49="",ABS(T49)=0)</formula>
    </cfRule>
    <cfRule type="expression" dxfId="731" priority="17">
      <formula>AND($A49="",ABS(T49)&lt;100)</formula>
    </cfRule>
    <cfRule type="expression" dxfId="730" priority="18">
      <formula>AND($A49="",ABS(T49)&lt;10)</formula>
    </cfRule>
    <cfRule type="expression" dxfId="729" priority="19">
      <formula>AND($A49="",ABS(T49)&gt;=100)</formula>
    </cfRule>
  </conditionalFormatting>
  <conditionalFormatting sqref="T46">
    <cfRule type="expression" dxfId="728" priority="14">
      <formula>AND($A1048561="",ABS(T1048561)&lt;1000)</formula>
    </cfRule>
  </conditionalFormatting>
  <conditionalFormatting sqref="T47">
    <cfRule type="expression" dxfId="727" priority="12">
      <formula>AND($A67="",ABS(T67)&lt;100)</formula>
    </cfRule>
    <cfRule type="expression" dxfId="726" priority="13">
      <formula>AND($A67="",ABS(T67)&gt;=100)</formula>
    </cfRule>
  </conditionalFormatting>
  <conditionalFormatting sqref="T48">
    <cfRule type="expression" dxfId="725" priority="10">
      <formula>AND($A68="",ABS(T68)&lt;100)</formula>
    </cfRule>
    <cfRule type="expression" dxfId="724" priority="11">
      <formula>AND($A68="",ABS(T68)&gt;=100)</formula>
    </cfRule>
  </conditionalFormatting>
  <conditionalFormatting sqref="T52:T55">
    <cfRule type="expression" dxfId="723" priority="5">
      <formula>AND($D52&lt;&gt;"",T$11&lt;&gt;"",T52="")</formula>
    </cfRule>
  </conditionalFormatting>
  <conditionalFormatting sqref="T52:T55">
    <cfRule type="expression" dxfId="722" priority="6">
      <formula>AND($A52="",ABS(T52)=0)</formula>
    </cfRule>
    <cfRule type="expression" dxfId="721" priority="7">
      <formula>AND($A52="",ABS(T52)&lt;100)</formula>
    </cfRule>
    <cfRule type="expression" dxfId="720" priority="8">
      <formula>AND($A52="",ABS(T52)&lt;10)</formula>
    </cfRule>
    <cfRule type="expression" dxfId="719" priority="9">
      <formula>AND($A52="",ABS(T52)&gt;=100)</formula>
    </cfRule>
  </conditionalFormatting>
  <conditionalFormatting sqref="T52 T54">
    <cfRule type="expression" dxfId="718" priority="1">
      <formula>AND($A52="",ABS(T52)=0)</formula>
    </cfRule>
    <cfRule type="expression" dxfId="717" priority="2">
      <formula>AND($A52="",ABS(T52)&lt;100)</formula>
    </cfRule>
    <cfRule type="expression" dxfId="716" priority="3">
      <formula>AND($A52="",ABS(T52)&lt;10)</formula>
    </cfRule>
    <cfRule type="expression" dxfId="715" priority="4">
      <formula>AND($A52="",ABS(T52)&gt;=100)</formula>
    </cfRule>
  </conditionalFormatting>
  <dataValidations count="2">
    <dataValidation type="list" allowBlank="1" showInputMessage="1" showErrorMessage="1" sqref="G2" xr:uid="{00000000-0002-0000-0500-000000000000}">
      <formula1>Sprache</formula1>
    </dataValidation>
    <dataValidation allowBlank="1" showInputMessage="1" showErrorMessage="1" sqref="F2" xr:uid="{E227921B-2937-49D5-B421-D9BD6A44B57D}"/>
  </dataValidations>
  <hyperlinks>
    <hyperlink ref="C7" location="GRI_302_1" display="GRI_302_1" xr:uid="{00000000-0004-0000-0500-000000000000}"/>
    <hyperlink ref="C8" location="GRI_302_2" display="GRI_302_2" xr:uid="{00000000-0004-0000-0500-000001000000}"/>
    <hyperlink ref="A11" location="GRI_302" display="Ó" xr:uid="{00000000-0004-0000-0500-000002000000}"/>
    <hyperlink ref="A64" location="GRI_302" display="Ó" xr:uid="{00000000-0004-0000-0500-000003000000}"/>
    <hyperlink ref="D2" location="Home" display="Home" xr:uid="{00000000-0004-0000-0500-000004000000}"/>
  </hyperlinks>
  <pageMargins left="0.7" right="0.7" top="0.78740157499999996" bottom="0.78740157499999996" header="0.3" footer="0.3"/>
  <pageSetup paperSize="9" orientation="portrait" r:id="rId1"/>
  <ignoredErrors>
    <ignoredError sqref="D18:D54" formula="1"/>
    <ignoredError sqref="E48 E25" twoDigitTextYear="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11">
    <tabColor rgb="FF006D68"/>
  </sheetPr>
  <dimension ref="A2:CE143"/>
  <sheetViews>
    <sheetView showGridLines="0" showRowColHeaders="0" zoomScaleNormal="100" workbookViewId="0">
      <pane xSplit="7" topLeftCell="H1" activePane="topRight" state="frozen"/>
      <selection activeCell="B73" sqref="B73"/>
      <selection pane="topRight" activeCell="B3" sqref="B3:C3"/>
    </sheetView>
  </sheetViews>
  <sheetFormatPr baseColWidth="10" defaultColWidth="10.85546875" defaultRowHeight="12.95" customHeight="1" x14ac:dyDescent="0.2"/>
  <cols>
    <col min="1" max="1" width="2.42578125" style="47" customWidth="1"/>
    <col min="2" max="2" width="2.42578125" style="1" customWidth="1"/>
    <col min="3" max="3" width="55.28515625" style="1" customWidth="1"/>
    <col min="4" max="4" width="19.85546875" style="1" customWidth="1"/>
    <col min="5" max="5" width="9.42578125" style="11" customWidth="1"/>
    <col min="6" max="6" width="14.140625" style="9" customWidth="1"/>
    <col min="7" max="7" width="2.42578125" style="34" customWidth="1"/>
    <col min="8" max="13" width="11.7109375" style="9" customWidth="1"/>
    <col min="14" max="20" width="11.7109375" style="11" customWidth="1"/>
    <col min="21" max="83" width="11.7109375" style="9" customWidth="1"/>
    <col min="84" max="16384" width="10.85546875" style="1"/>
  </cols>
  <sheetData>
    <row r="2" spans="1:83" s="89" customFormat="1" ht="26.1" customHeight="1" x14ac:dyDescent="0.2">
      <c r="A2" s="45"/>
      <c r="B2" s="406" t="str">
        <f>UPPER(RIGHT(Inhaltsverzeichnis!$C$22,LEN(Inhaltsverzeichnis!$C$22)-FIND(" – ",Inhaltsverzeichnis!$C$22,1)-2))</f>
        <v>EMISSIONS</v>
      </c>
      <c r="C2" s="406"/>
      <c r="D2" s="402" t="str">
        <f>VLOOKUP(35,Textbausteine_Menu[],Hilfsgrössen!$D$2,FALSE)</f>
        <v>retour à la table des matières</v>
      </c>
      <c r="E2" s="403"/>
      <c r="F2" s="83" t="s">
        <v>149</v>
      </c>
      <c r="G2" s="96"/>
      <c r="H2" s="27"/>
      <c r="I2" s="27"/>
      <c r="J2" s="27"/>
      <c r="K2" s="27"/>
      <c r="L2" s="27"/>
      <c r="M2" s="27"/>
      <c r="N2" s="71"/>
      <c r="O2" s="71"/>
      <c r="P2" s="71"/>
      <c r="Q2" s="71"/>
      <c r="R2" s="71"/>
      <c r="S2" s="71"/>
      <c r="T2" s="71"/>
      <c r="U2" s="67"/>
      <c r="V2" s="67"/>
      <c r="W2" s="67"/>
      <c r="X2" s="67"/>
      <c r="Y2" s="67"/>
      <c r="Z2" s="67"/>
      <c r="AA2" s="67"/>
      <c r="AB2" s="67"/>
      <c r="AC2" s="67"/>
      <c r="AD2" s="67"/>
      <c r="AE2" s="67"/>
      <c r="AF2" s="67"/>
      <c r="AG2" s="67"/>
      <c r="AH2" s="67"/>
      <c r="AI2" s="67"/>
      <c r="AJ2" s="67"/>
      <c r="AK2" s="67"/>
      <c r="AL2" s="67"/>
      <c r="AM2" s="67"/>
      <c r="AN2" s="67"/>
      <c r="AO2" s="67"/>
      <c r="AP2" s="67"/>
      <c r="AQ2" s="67"/>
      <c r="AR2" s="67"/>
      <c r="AS2" s="67"/>
      <c r="AT2" s="67"/>
      <c r="AU2" s="67"/>
      <c r="AV2" s="67"/>
      <c r="AW2" s="67"/>
      <c r="AX2" s="67"/>
      <c r="AY2" s="67"/>
      <c r="AZ2" s="67"/>
      <c r="BA2" s="67"/>
      <c r="BB2" s="67"/>
      <c r="BC2" s="67"/>
      <c r="BD2" s="67"/>
      <c r="BE2" s="67"/>
      <c r="BF2" s="67"/>
      <c r="BG2" s="67"/>
      <c r="BH2" s="67"/>
      <c r="BI2" s="67"/>
      <c r="BJ2" s="67"/>
      <c r="BK2" s="67"/>
      <c r="BL2" s="67"/>
      <c r="BM2" s="67"/>
      <c r="BN2" s="67"/>
      <c r="BO2" s="67"/>
      <c r="BP2" s="67"/>
      <c r="BQ2" s="67"/>
      <c r="BR2" s="67"/>
      <c r="BS2" s="67"/>
      <c r="BT2" s="67"/>
      <c r="BU2" s="67"/>
      <c r="BV2" s="67"/>
      <c r="BW2" s="67"/>
      <c r="BX2" s="67"/>
      <c r="BY2" s="67"/>
      <c r="BZ2" s="67"/>
      <c r="CA2" s="67"/>
      <c r="CB2" s="67"/>
      <c r="CC2" s="67"/>
      <c r="CD2" s="67"/>
      <c r="CE2" s="67"/>
    </row>
    <row r="3" spans="1:83" s="90" customFormat="1" ht="26.1" customHeight="1" x14ac:dyDescent="0.2">
      <c r="A3" s="46"/>
      <c r="B3" s="407" t="str">
        <f>UPPER("GRI "&amp;LEFT(Inhaltsverzeichnis!$C$22,3))</f>
        <v>GRI 305</v>
      </c>
      <c r="C3" s="407"/>
      <c r="E3" s="71"/>
      <c r="F3" s="27"/>
      <c r="G3" s="32"/>
      <c r="H3" s="27"/>
      <c r="I3" s="27"/>
      <c r="J3" s="27"/>
      <c r="K3" s="27"/>
      <c r="L3" s="27"/>
      <c r="M3" s="27"/>
      <c r="N3" s="71"/>
      <c r="O3" s="71"/>
      <c r="P3" s="71"/>
      <c r="Q3" s="71"/>
      <c r="R3" s="71"/>
      <c r="S3" s="71"/>
      <c r="T3" s="71"/>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c r="BA3" s="27"/>
      <c r="BB3" s="27"/>
      <c r="BC3" s="27"/>
      <c r="BD3" s="27"/>
      <c r="BE3" s="27"/>
      <c r="BF3" s="27"/>
      <c r="BG3" s="27"/>
      <c r="BH3" s="27"/>
      <c r="BI3" s="27"/>
      <c r="BJ3" s="27"/>
      <c r="BK3" s="27"/>
      <c r="BL3" s="27"/>
      <c r="BM3" s="27"/>
      <c r="BN3" s="27"/>
      <c r="BO3" s="27"/>
      <c r="BP3" s="27"/>
      <c r="BQ3" s="27"/>
      <c r="BR3" s="27"/>
      <c r="BS3" s="27"/>
      <c r="BT3" s="27"/>
      <c r="BU3" s="27"/>
      <c r="BV3" s="27"/>
      <c r="BW3" s="27"/>
      <c r="BX3" s="27"/>
      <c r="BY3" s="27"/>
      <c r="BZ3" s="27"/>
      <c r="CA3" s="27"/>
      <c r="CB3" s="27"/>
      <c r="CC3" s="27"/>
      <c r="CD3" s="27"/>
      <c r="CE3" s="27"/>
    </row>
    <row r="6" spans="1:83" s="6" customFormat="1" ht="12.95" customHeight="1" x14ac:dyDescent="0.2">
      <c r="A6" s="38"/>
      <c r="B6" s="6" t="str">
        <f>VLOOKUP(31,Textbausteine_Menu[],Hilfsgrössen!$D$2,FALSE)</f>
        <v>Divulgations</v>
      </c>
      <c r="E6" s="7"/>
      <c r="F6" s="28"/>
      <c r="G6" s="33"/>
      <c r="H6" s="9"/>
      <c r="I6" s="9"/>
      <c r="J6" s="9"/>
      <c r="K6" s="9"/>
      <c r="L6" s="9"/>
      <c r="M6" s="9"/>
      <c r="N6" s="11"/>
      <c r="O6" s="11"/>
      <c r="P6" s="11"/>
      <c r="Q6" s="11"/>
      <c r="R6" s="11"/>
      <c r="S6" s="11"/>
      <c r="T6" s="11"/>
      <c r="U6" s="28"/>
      <c r="V6" s="28"/>
      <c r="W6" s="28"/>
      <c r="X6" s="28"/>
      <c r="Y6" s="28"/>
      <c r="Z6" s="28"/>
      <c r="AA6" s="28"/>
      <c r="AB6" s="28"/>
      <c r="AC6" s="28"/>
      <c r="AD6" s="28"/>
      <c r="AE6" s="28"/>
      <c r="AF6" s="28"/>
      <c r="AG6" s="28"/>
      <c r="AH6" s="28"/>
      <c r="AI6" s="28"/>
      <c r="AJ6" s="28"/>
      <c r="AK6" s="28"/>
      <c r="AL6" s="28"/>
      <c r="AM6" s="28"/>
      <c r="AN6" s="28"/>
      <c r="AO6" s="28"/>
      <c r="AP6" s="28"/>
      <c r="AQ6" s="28"/>
      <c r="AR6" s="28"/>
      <c r="AS6" s="28"/>
      <c r="AT6" s="28"/>
      <c r="AU6" s="28"/>
      <c r="AV6" s="28"/>
      <c r="AW6" s="28"/>
      <c r="AX6" s="28"/>
      <c r="AY6" s="28"/>
      <c r="AZ6" s="28"/>
      <c r="BA6" s="28"/>
      <c r="BB6" s="28"/>
      <c r="BC6" s="28"/>
      <c r="BD6" s="28"/>
      <c r="BE6" s="28"/>
      <c r="BF6" s="28"/>
      <c r="BG6" s="28"/>
      <c r="BH6" s="28"/>
      <c r="BI6" s="28"/>
      <c r="BJ6" s="28"/>
      <c r="BK6" s="28"/>
      <c r="BL6" s="28"/>
      <c r="BM6" s="28"/>
      <c r="BN6" s="28"/>
      <c r="BO6" s="28"/>
      <c r="BP6" s="28"/>
      <c r="BQ6" s="28"/>
      <c r="BR6" s="28"/>
      <c r="BS6" s="28"/>
      <c r="BT6" s="28"/>
      <c r="BU6" s="28"/>
      <c r="BV6" s="28"/>
      <c r="BW6" s="28"/>
      <c r="BX6" s="28"/>
      <c r="BY6" s="28"/>
      <c r="BZ6" s="28"/>
      <c r="CA6" s="28"/>
      <c r="CB6" s="28"/>
      <c r="CC6" s="28"/>
      <c r="CD6" s="28"/>
      <c r="CE6" s="28"/>
    </row>
    <row r="7" spans="1:83" ht="12.95" customHeight="1" x14ac:dyDescent="0.2">
      <c r="B7" s="2"/>
      <c r="C7" s="5" t="str">
        <f>VLOOKUP(1,Textbausteine_305[],Hilfsgrössen!$D$2,FALSE)</f>
        <v>Emissions de gaz à effet de serre</v>
      </c>
      <c r="D7" s="4"/>
    </row>
    <row r="8" spans="1:83" ht="12.95" customHeight="1" x14ac:dyDescent="0.2">
      <c r="B8" s="2"/>
      <c r="C8" s="5" t="str">
        <f>VLOOKUP(2,Textbausteine_305[],Hilfsgrössen!$D$2,FALSE)</f>
        <v>Intensité de gaz à effet de serre</v>
      </c>
      <c r="D8" s="4"/>
    </row>
    <row r="9" spans="1:83" ht="12.95" customHeight="1" x14ac:dyDescent="0.2">
      <c r="B9" s="2"/>
      <c r="C9" s="5" t="str">
        <f>VLOOKUP(3,Textbausteine_305[],Hilfsgrössen!$D$2,FALSE)</f>
        <v>Emissions de gaz à effet de serre compensées</v>
      </c>
      <c r="D9" s="4"/>
    </row>
    <row r="10" spans="1:83" ht="12.95" customHeight="1" x14ac:dyDescent="0.2">
      <c r="B10" s="2"/>
      <c r="C10" s="5" t="str">
        <f>VLOOKUP(4,Textbausteine_305[],Hilfsgrössen!$D$2,FALSE)</f>
        <v>Autres indicateurs des gaz à effet de serre</v>
      </c>
      <c r="D10" s="4"/>
      <c r="E10" s="7"/>
      <c r="F10" s="28"/>
      <c r="H10" s="11"/>
      <c r="I10" s="11"/>
      <c r="J10" s="11"/>
      <c r="K10" s="11"/>
      <c r="L10" s="11"/>
      <c r="M10" s="11"/>
      <c r="U10" s="7"/>
      <c r="V10" s="7"/>
      <c r="W10" s="7"/>
      <c r="X10" s="7"/>
      <c r="Y10" s="7"/>
      <c r="Z10" s="28"/>
      <c r="AA10" s="28"/>
      <c r="AB10" s="28"/>
      <c r="AC10" s="28"/>
      <c r="AD10" s="28"/>
      <c r="AE10" s="28"/>
      <c r="AF10" s="28"/>
      <c r="AG10" s="28"/>
      <c r="AH10" s="28"/>
      <c r="AI10" s="28"/>
      <c r="AJ10" s="28"/>
      <c r="AK10" s="28"/>
      <c r="AL10" s="28"/>
      <c r="AM10" s="28"/>
      <c r="AN10" s="28"/>
      <c r="AO10" s="28"/>
      <c r="AP10" s="28"/>
      <c r="AQ10" s="28"/>
      <c r="AR10" s="28"/>
      <c r="AS10" s="28"/>
      <c r="AT10" s="28"/>
      <c r="AU10" s="28"/>
      <c r="AV10" s="28"/>
      <c r="AW10" s="28"/>
      <c r="AX10" s="28"/>
      <c r="AY10" s="28"/>
      <c r="AZ10" s="28"/>
      <c r="BA10" s="28"/>
      <c r="BB10" s="28"/>
      <c r="BC10" s="28"/>
      <c r="BD10" s="28"/>
      <c r="BE10" s="28"/>
      <c r="BF10" s="28"/>
      <c r="BG10" s="28"/>
      <c r="BH10" s="28"/>
      <c r="BI10" s="28"/>
      <c r="BJ10" s="28"/>
      <c r="BK10" s="28"/>
      <c r="BL10" s="28"/>
      <c r="BM10" s="28"/>
      <c r="BN10" s="28"/>
      <c r="BO10" s="28"/>
      <c r="BP10" s="28"/>
      <c r="BQ10" s="28"/>
      <c r="BR10" s="28"/>
      <c r="BS10" s="28"/>
      <c r="BT10" s="28"/>
      <c r="BU10" s="28"/>
      <c r="BV10" s="28"/>
      <c r="BW10" s="28"/>
      <c r="BX10" s="28"/>
      <c r="BY10" s="28"/>
      <c r="BZ10" s="28"/>
      <c r="CA10" s="28"/>
      <c r="CB10" s="28"/>
      <c r="CC10" s="28"/>
      <c r="CD10" s="28"/>
      <c r="CE10" s="28"/>
    </row>
    <row r="11" spans="1:83" ht="12.95" customHeight="1" x14ac:dyDescent="0.2">
      <c r="B11" s="2"/>
      <c r="C11" s="85" t="str">
        <f>VLOOKUP(5,Textbausteine_305[],Hilfsgrössen!$D$2,FALSE)</f>
        <v>Emissions de polluants atmosphériques</v>
      </c>
      <c r="D11" s="4"/>
      <c r="E11" s="7"/>
      <c r="F11" s="28"/>
      <c r="H11" s="72"/>
      <c r="I11" s="72"/>
      <c r="J11" s="72"/>
      <c r="K11" s="72"/>
      <c r="L11" s="72"/>
      <c r="M11" s="72"/>
      <c r="N11" s="74"/>
      <c r="O11" s="74"/>
      <c r="P11" s="74"/>
      <c r="Q11" s="74"/>
      <c r="R11" s="74"/>
      <c r="S11" s="74"/>
      <c r="T11" s="74"/>
      <c r="U11" s="74"/>
      <c r="V11" s="74"/>
      <c r="W11" s="74"/>
      <c r="X11" s="74"/>
      <c r="Y11" s="74"/>
      <c r="Z11" s="72"/>
      <c r="AA11" s="72"/>
      <c r="AB11" s="72"/>
      <c r="AC11" s="72"/>
      <c r="AD11" s="72"/>
      <c r="AE11" s="72"/>
      <c r="AF11" s="72"/>
      <c r="AG11" s="72"/>
      <c r="AH11" s="72"/>
      <c r="AI11" s="72"/>
      <c r="AJ11" s="72"/>
      <c r="AK11" s="72"/>
      <c r="AL11" s="72"/>
      <c r="AM11" s="72"/>
      <c r="AN11" s="72"/>
      <c r="AO11" s="72"/>
      <c r="AP11" s="72"/>
      <c r="AQ11" s="72"/>
      <c r="AR11" s="72"/>
      <c r="AS11" s="72"/>
      <c r="AT11" s="72"/>
      <c r="AU11" s="72"/>
      <c r="AV11" s="72"/>
      <c r="AW11" s="72"/>
      <c r="AX11" s="72"/>
      <c r="AY11" s="72"/>
      <c r="AZ11" s="72"/>
      <c r="BA11" s="72"/>
      <c r="BB11" s="72"/>
      <c r="BC11" s="72"/>
      <c r="BD11" s="72"/>
      <c r="BE11" s="72"/>
      <c r="BF11" s="72"/>
      <c r="BG11" s="72"/>
      <c r="BH11" s="72"/>
      <c r="BI11" s="72"/>
      <c r="BJ11" s="72"/>
      <c r="BK11" s="72"/>
      <c r="BL11" s="72"/>
      <c r="BM11" s="72"/>
      <c r="BN11" s="72"/>
      <c r="BO11" s="72"/>
      <c r="BP11" s="72"/>
      <c r="BQ11" s="72"/>
      <c r="BR11" s="72"/>
      <c r="BS11" s="72"/>
      <c r="BT11" s="72"/>
      <c r="BU11" s="72"/>
      <c r="BV11" s="72"/>
      <c r="BW11" s="72"/>
      <c r="BX11" s="72"/>
      <c r="BY11" s="72"/>
      <c r="BZ11" s="72"/>
      <c r="CA11" s="72"/>
      <c r="CB11" s="72"/>
      <c r="CC11" s="72"/>
      <c r="CD11" s="72"/>
      <c r="CE11" s="72"/>
    </row>
    <row r="12" spans="1:83" ht="12.95" customHeight="1" x14ac:dyDescent="0.2">
      <c r="B12" s="2"/>
      <c r="E12" s="303"/>
      <c r="G12" s="33"/>
    </row>
    <row r="13" spans="1:83" ht="12.95" customHeight="1" x14ac:dyDescent="0.2">
      <c r="B13" s="2"/>
      <c r="G13" s="33"/>
      <c r="H13" s="11"/>
      <c r="I13" s="11"/>
      <c r="L13" s="79"/>
      <c r="M13" s="79"/>
      <c r="U13" s="15"/>
      <c r="V13" s="15"/>
      <c r="W13" s="15"/>
      <c r="X13" s="15"/>
      <c r="Y13" s="15"/>
    </row>
    <row r="14" spans="1:83" s="6" customFormat="1" ht="15.75" customHeight="1" x14ac:dyDescent="0.2">
      <c r="A14" s="107" t="s">
        <v>27</v>
      </c>
      <c r="B14" s="401" t="str">
        <f>$C$7</f>
        <v>Emissions de gaz à effet de serre</v>
      </c>
      <c r="C14" s="401"/>
      <c r="D14" s="6" t="str">
        <f>VLOOKUP(32,Textbausteine_Menu[],Hilfsgrössen!$D$2,FALSE)</f>
        <v>Unité</v>
      </c>
      <c r="E14" s="7" t="str">
        <f>VLOOKUP(33,Textbausteine_Menu[],Hilfsgrössen!$D$2,FALSE)</f>
        <v>Notes</v>
      </c>
      <c r="F14" s="28" t="str">
        <f>VLOOKUP(34,Textbausteine_Menu[],Hilfsgrössen!$D$2,FALSE)</f>
        <v>GRI</v>
      </c>
      <c r="G14" s="34"/>
      <c r="H14" s="7">
        <v>2010</v>
      </c>
      <c r="I14" s="7">
        <v>2011</v>
      </c>
      <c r="J14" s="28">
        <v>2012</v>
      </c>
      <c r="K14" s="28">
        <v>2013</v>
      </c>
      <c r="L14" s="82">
        <v>2014</v>
      </c>
      <c r="M14" s="82">
        <v>2015</v>
      </c>
      <c r="N14" s="7">
        <v>2016</v>
      </c>
      <c r="O14" s="7">
        <v>2017</v>
      </c>
      <c r="P14" s="7">
        <v>2018</v>
      </c>
      <c r="Q14" s="7">
        <v>2019</v>
      </c>
      <c r="R14" s="7">
        <v>2020</v>
      </c>
      <c r="S14" s="7" t="s">
        <v>123</v>
      </c>
      <c r="T14" s="7">
        <v>2022</v>
      </c>
      <c r="U14" s="76"/>
      <c r="V14" s="76"/>
      <c r="W14" s="76"/>
      <c r="X14" s="76"/>
      <c r="Y14" s="76"/>
      <c r="Z14" s="28"/>
      <c r="AA14" s="28"/>
      <c r="AB14" s="28"/>
      <c r="AC14" s="28"/>
      <c r="AD14" s="28"/>
      <c r="AE14" s="28"/>
      <c r="AF14" s="28"/>
      <c r="AG14" s="28"/>
      <c r="AH14" s="28"/>
      <c r="AI14" s="28"/>
      <c r="AJ14" s="28"/>
      <c r="AK14" s="28"/>
      <c r="AL14" s="28"/>
      <c r="AM14" s="28"/>
      <c r="AN14" s="28"/>
      <c r="AO14" s="28"/>
      <c r="AP14" s="28"/>
      <c r="AQ14" s="28"/>
      <c r="AR14" s="28"/>
      <c r="AS14" s="28"/>
      <c r="AT14" s="28"/>
      <c r="AU14" s="28"/>
      <c r="AV14" s="28"/>
      <c r="AW14" s="28"/>
      <c r="AX14" s="28"/>
      <c r="AY14" s="28"/>
      <c r="AZ14" s="28"/>
      <c r="BA14" s="28"/>
      <c r="BB14" s="28"/>
      <c r="BC14" s="28"/>
      <c r="BD14" s="28"/>
      <c r="BE14" s="28"/>
      <c r="BF14" s="28"/>
      <c r="BG14" s="28"/>
      <c r="BH14" s="28"/>
      <c r="BI14" s="28"/>
      <c r="BJ14" s="28"/>
      <c r="BK14" s="28"/>
      <c r="BL14" s="28"/>
      <c r="BM14" s="28"/>
      <c r="BN14" s="28"/>
      <c r="BO14" s="28"/>
      <c r="BP14" s="28"/>
      <c r="BQ14" s="28"/>
      <c r="BR14" s="28"/>
      <c r="BS14" s="28"/>
      <c r="BT14" s="28"/>
      <c r="BU14" s="28"/>
      <c r="BV14" s="28"/>
      <c r="BW14" s="28"/>
      <c r="BX14" s="28"/>
      <c r="BY14" s="28"/>
      <c r="BZ14" s="28"/>
      <c r="CA14" s="28"/>
      <c r="CB14" s="28"/>
      <c r="CC14" s="28"/>
      <c r="CD14" s="28"/>
      <c r="CE14" s="28"/>
    </row>
    <row r="15" spans="1:83" s="6" customFormat="1" ht="12.95" customHeight="1" x14ac:dyDescent="0.2">
      <c r="A15" s="38"/>
      <c r="B15" s="401"/>
      <c r="C15" s="401"/>
      <c r="E15" s="11"/>
      <c r="F15" s="9"/>
      <c r="G15" s="34"/>
      <c r="H15" s="11"/>
      <c r="I15" s="11"/>
      <c r="J15" s="9"/>
      <c r="K15" s="9"/>
      <c r="L15" s="79"/>
      <c r="M15" s="79"/>
      <c r="N15" s="75"/>
      <c r="O15" s="75"/>
      <c r="P15" s="75"/>
      <c r="Q15" s="75"/>
      <c r="R15" s="75"/>
      <c r="S15" s="75"/>
      <c r="T15" s="75"/>
      <c r="U15" s="12"/>
      <c r="V15" s="12"/>
      <c r="W15" s="12"/>
      <c r="X15" s="12"/>
      <c r="Y15" s="9"/>
      <c r="Z15" s="9"/>
      <c r="AA15" s="9"/>
      <c r="AB15" s="9"/>
      <c r="AC15" s="9"/>
      <c r="AD15" s="9"/>
      <c r="AE15" s="9"/>
      <c r="AF15" s="9"/>
      <c r="AG15" s="9"/>
      <c r="AH15" s="9"/>
      <c r="AI15" s="9"/>
      <c r="AJ15" s="9"/>
      <c r="AK15" s="9"/>
      <c r="AL15" s="9"/>
      <c r="AM15" s="9"/>
      <c r="AN15" s="9"/>
      <c r="AO15" s="9"/>
      <c r="AP15" s="9"/>
      <c r="AQ15" s="9"/>
      <c r="AR15" s="9"/>
      <c r="AS15" s="9"/>
      <c r="AT15" s="9"/>
      <c r="AU15" s="9"/>
      <c r="AV15" s="9"/>
      <c r="AW15" s="9"/>
      <c r="AX15" s="9"/>
      <c r="AY15" s="9"/>
      <c r="AZ15" s="9"/>
      <c r="BA15" s="9"/>
      <c r="BB15" s="9"/>
      <c r="BC15" s="9"/>
      <c r="BD15" s="9"/>
      <c r="BE15" s="9"/>
      <c r="BF15" s="9"/>
      <c r="BG15" s="9"/>
      <c r="BH15" s="9"/>
      <c r="BI15" s="9"/>
      <c r="BJ15" s="9"/>
      <c r="BK15" s="9"/>
      <c r="BL15" s="9"/>
      <c r="BM15" s="9"/>
      <c r="BN15" s="9"/>
      <c r="BO15" s="9"/>
      <c r="BP15" s="9"/>
      <c r="BQ15" s="9"/>
      <c r="BR15" s="9"/>
      <c r="BS15" s="9"/>
      <c r="BT15" s="9"/>
      <c r="BU15" s="9"/>
      <c r="BV15" s="9"/>
      <c r="BW15" s="9"/>
      <c r="BX15" s="9"/>
      <c r="BY15" s="9"/>
      <c r="BZ15" s="9"/>
      <c r="CA15" s="9"/>
      <c r="CB15" s="9"/>
      <c r="CC15" s="9"/>
      <c r="CD15" s="9"/>
      <c r="CE15" s="9"/>
    </row>
    <row r="16" spans="1:83" ht="12.95" customHeight="1" x14ac:dyDescent="0.2">
      <c r="B16" s="2"/>
      <c r="H16" s="11"/>
      <c r="I16" s="11"/>
      <c r="L16" s="79"/>
      <c r="M16" s="79"/>
      <c r="N16" s="75"/>
      <c r="O16" s="75"/>
      <c r="P16" s="75"/>
      <c r="Q16" s="75"/>
      <c r="R16" s="75"/>
      <c r="S16" s="75"/>
      <c r="T16" s="75"/>
      <c r="U16" s="15"/>
      <c r="V16" s="15"/>
      <c r="W16" s="15"/>
      <c r="X16" s="15"/>
      <c r="Y16" s="15"/>
    </row>
    <row r="17" spans="2:25" ht="12.95" customHeight="1" x14ac:dyDescent="0.2">
      <c r="B17" s="2" t="str">
        <f>VLOOKUP(36,Textbausteine_Menu[],Hilfsgrössen!$D$2,FALSE)</f>
        <v>Groupe</v>
      </c>
      <c r="C17" s="2"/>
      <c r="H17" s="11"/>
      <c r="I17" s="11"/>
      <c r="J17" s="80"/>
      <c r="L17" s="79"/>
      <c r="M17" s="79"/>
      <c r="U17" s="15"/>
      <c r="V17" s="15"/>
      <c r="W17" s="15"/>
      <c r="X17" s="15"/>
    </row>
    <row r="18" spans="2:25" ht="12.95" customHeight="1" x14ac:dyDescent="0.2">
      <c r="C18" s="2" t="str">
        <f>VLOOKUP(31,Textbausteine_305[],Hilfsgrössen!$D$2,FALSE)</f>
        <v>Par processus</v>
      </c>
      <c r="H18" s="11"/>
      <c r="I18" s="11"/>
      <c r="L18" s="79"/>
      <c r="M18" s="79"/>
      <c r="N18" s="9"/>
      <c r="O18" s="9"/>
      <c r="P18" s="9"/>
      <c r="Q18" s="9"/>
      <c r="R18" s="9"/>
      <c r="S18" s="9"/>
      <c r="T18" s="9"/>
      <c r="U18" s="15"/>
      <c r="V18" s="15"/>
      <c r="W18" s="15"/>
      <c r="X18" s="15"/>
      <c r="Y18" s="15"/>
    </row>
    <row r="19" spans="2:25" ht="12.95" customHeight="1" x14ac:dyDescent="0.2">
      <c r="C19" s="17" t="str">
        <f>VLOOKUP(32,Textbausteine_305[],Hilfsgrössen!$D$2,FALSE)</f>
        <v>Fourniture de prestations</v>
      </c>
      <c r="D19" s="1" t="str">
        <f>VLOOKUP(11,Textbausteine_305[],Hilfsgrössen!$D$2,FALSE)</f>
        <v>Equivalent de tonnes de CO2</v>
      </c>
      <c r="E19" s="11">
        <v>2</v>
      </c>
      <c r="H19" s="11">
        <v>478253</v>
      </c>
      <c r="I19" s="11">
        <v>463248</v>
      </c>
      <c r="J19" s="9">
        <v>478020</v>
      </c>
      <c r="K19" s="9">
        <v>449174</v>
      </c>
      <c r="L19" s="9">
        <v>442202</v>
      </c>
      <c r="M19" s="79">
        <v>440728</v>
      </c>
      <c r="N19" s="9">
        <v>446151.36167582998</v>
      </c>
      <c r="O19" s="9">
        <v>436549.74852076999</v>
      </c>
      <c r="P19" s="9">
        <v>439954.81451882998</v>
      </c>
      <c r="Q19" s="185">
        <f>Q20+Q24</f>
        <v>439145.52999999997</v>
      </c>
      <c r="R19" s="185">
        <f>R20+R24</f>
        <v>428367.35000000003</v>
      </c>
      <c r="S19" s="185">
        <f>S20+S24</f>
        <v>476544.67672506138</v>
      </c>
      <c r="T19" s="185">
        <f>T20+T24</f>
        <v>484906.04250474088</v>
      </c>
      <c r="Y19" s="15"/>
    </row>
    <row r="20" spans="2:25" ht="12.95" customHeight="1" x14ac:dyDescent="0.2">
      <c r="C20" s="114" t="str">
        <f>VLOOKUP(33,Textbausteine_305[],Hilfsgrössen!$D$2,FALSE)</f>
        <v>Bâtiments</v>
      </c>
      <c r="D20" s="1" t="str">
        <f>VLOOKUP(11,Textbausteine_305[],Hilfsgrössen!$D$2,FALSE)</f>
        <v>Equivalent de tonnes de CO2</v>
      </c>
      <c r="E20" s="11">
        <v>2</v>
      </c>
      <c r="H20" s="9">
        <v>116701</v>
      </c>
      <c r="I20" s="9">
        <v>99636</v>
      </c>
      <c r="J20" s="9">
        <v>98712</v>
      </c>
      <c r="K20" s="9">
        <v>88695</v>
      </c>
      <c r="L20" s="9">
        <v>84265</v>
      </c>
      <c r="M20" s="9">
        <v>80863</v>
      </c>
      <c r="N20" s="9">
        <v>75302.539396716005</v>
      </c>
      <c r="O20" s="9">
        <f t="shared" ref="O20" si="0">SUM(O21:O23)</f>
        <v>74730</v>
      </c>
      <c r="P20" s="9">
        <v>74354.932472487999</v>
      </c>
      <c r="Q20" s="185">
        <f>SUM(Q21:Q23)</f>
        <v>40349.230000000003</v>
      </c>
      <c r="R20" s="185">
        <f>SUM(R21:R23)</f>
        <v>39983.64</v>
      </c>
      <c r="S20" s="185">
        <f>SUM(S21:S23)</f>
        <v>34253.486725061397</v>
      </c>
      <c r="T20" s="185">
        <f>SUM(T21:T23)</f>
        <v>32664.736647759433</v>
      </c>
    </row>
    <row r="21" spans="2:25" ht="12.95" customHeight="1" x14ac:dyDescent="0.2">
      <c r="C21" s="116" t="str">
        <f>VLOOKUP(34,Textbausteine_305[],Hilfsgrössen!$D$2,FALSE)</f>
        <v>Chaleur</v>
      </c>
      <c r="D21" s="1" t="str">
        <f>VLOOKUP(11,Textbausteine_305[],Hilfsgrössen!$D$2,FALSE)</f>
        <v>Equivalent de tonnes de CO2</v>
      </c>
      <c r="E21" s="11">
        <v>2</v>
      </c>
      <c r="H21" s="9">
        <v>54661</v>
      </c>
      <c r="I21" s="9">
        <v>46183</v>
      </c>
      <c r="J21" s="9">
        <v>44539</v>
      </c>
      <c r="K21" s="9">
        <v>39441</v>
      </c>
      <c r="L21" s="9">
        <v>33088</v>
      </c>
      <c r="M21" s="9">
        <v>31853</v>
      </c>
      <c r="N21" s="9">
        <v>30967.381685439999</v>
      </c>
      <c r="O21" s="9">
        <v>30661</v>
      </c>
      <c r="P21" s="9">
        <v>33938.287700442997</v>
      </c>
      <c r="Q21" s="185">
        <v>32688.83</v>
      </c>
      <c r="R21" s="185">
        <v>32035.7</v>
      </c>
      <c r="S21" s="185">
        <v>30611.925352028</v>
      </c>
      <c r="T21" s="185">
        <v>28495.345139541001</v>
      </c>
    </row>
    <row r="22" spans="2:25" ht="12.95" customHeight="1" x14ac:dyDescent="0.2">
      <c r="C22" s="116" t="str">
        <f>VLOOKUP(35,Textbausteine_305[],Hilfsgrössen!$D$2,FALSE)</f>
        <v>Electricité</v>
      </c>
      <c r="D22" s="1" t="str">
        <f>VLOOKUP(11,Textbausteine_305[],Hilfsgrössen!$D$2,FALSE)</f>
        <v>Equivalent de tonnes de CO2</v>
      </c>
      <c r="E22" s="11">
        <v>1</v>
      </c>
      <c r="H22" s="9">
        <v>40209</v>
      </c>
      <c r="I22" s="9">
        <v>31902</v>
      </c>
      <c r="J22" s="9">
        <v>32001</v>
      </c>
      <c r="K22" s="9">
        <v>30455</v>
      </c>
      <c r="L22" s="9">
        <v>32853</v>
      </c>
      <c r="M22" s="9">
        <v>31189</v>
      </c>
      <c r="N22" s="9">
        <v>28441.728036182001</v>
      </c>
      <c r="O22" s="9">
        <v>28430</v>
      </c>
      <c r="P22" s="9">
        <v>26768.113074828001</v>
      </c>
      <c r="Q22" s="185">
        <v>3204.76</v>
      </c>
      <c r="R22" s="185">
        <v>3349.67</v>
      </c>
      <c r="S22" s="185">
        <v>3064.1471730334001</v>
      </c>
      <c r="T22" s="185">
        <v>3181.1400856693999</v>
      </c>
    </row>
    <row r="23" spans="2:25" ht="12.95" customHeight="1" x14ac:dyDescent="0.2">
      <c r="C23" s="116" t="str">
        <f>VLOOKUP(36,Textbausteine_305[],Hilfsgrössen!$D$2,FALSE)</f>
        <v>Climatisation, ressources et déchets</v>
      </c>
      <c r="D23" s="1" t="str">
        <f>VLOOKUP(11,Textbausteine_305[],Hilfsgrössen!$D$2,FALSE)</f>
        <v>Equivalent de tonnes de CO2</v>
      </c>
      <c r="E23" s="11" t="s">
        <v>124</v>
      </c>
      <c r="H23" s="9">
        <v>21831</v>
      </c>
      <c r="I23" s="9">
        <v>21551</v>
      </c>
      <c r="J23" s="9">
        <v>22172</v>
      </c>
      <c r="K23" s="9">
        <v>18799</v>
      </c>
      <c r="L23" s="9">
        <v>18324</v>
      </c>
      <c r="M23" s="9">
        <v>17821</v>
      </c>
      <c r="N23" s="9">
        <v>15893.429675093999</v>
      </c>
      <c r="O23" s="9">
        <v>15639</v>
      </c>
      <c r="P23" s="9">
        <v>13648.531697216</v>
      </c>
      <c r="Q23" s="185">
        <v>4455.6400000000003</v>
      </c>
      <c r="R23" s="185">
        <v>4598.2699999999995</v>
      </c>
      <c r="S23" s="185">
        <f>267.6942+78.01+231.71</f>
        <v>577.41420000000005</v>
      </c>
      <c r="T23" s="185">
        <f>654.430821+70.804673797+263.01592775203</f>
        <v>988.25142254902994</v>
      </c>
    </row>
    <row r="24" spans="2:25" ht="12.95" customHeight="1" x14ac:dyDescent="0.2">
      <c r="C24" s="114" t="str">
        <f>VLOOKUP(37,Textbausteine_305[],Hilfsgrössen!$D$2,FALSE)</f>
        <v>Mobilité</v>
      </c>
      <c r="D24" s="1" t="str">
        <f>VLOOKUP(11,Textbausteine_305[],Hilfsgrössen!$D$2,FALSE)</f>
        <v>Equivalent de tonnes de CO2</v>
      </c>
      <c r="E24" s="11">
        <v>2</v>
      </c>
      <c r="H24" s="9">
        <v>361552</v>
      </c>
      <c r="I24" s="9">
        <v>363611</v>
      </c>
      <c r="J24" s="9">
        <v>379309</v>
      </c>
      <c r="K24" s="9">
        <v>360479.050086</v>
      </c>
      <c r="L24" s="9">
        <v>357936.04966800002</v>
      </c>
      <c r="M24" s="9">
        <v>359864.04543599999</v>
      </c>
      <c r="N24" s="9">
        <v>370848.82227910816</v>
      </c>
      <c r="O24" s="9">
        <f t="shared" ref="O24" si="1">SUM(O25,O26,O32,O33)</f>
        <v>361818.88903891662</v>
      </c>
      <c r="P24" s="9">
        <v>365599.88204633998</v>
      </c>
      <c r="Q24" s="9">
        <f>Q34+Q33+Q32+Q26+Q25</f>
        <v>398796.3</v>
      </c>
      <c r="R24" s="9">
        <f>R34+R33+R32+R26+R25</f>
        <v>388383.71</v>
      </c>
      <c r="S24" s="185">
        <f>S34+S33+S32+S26+S25</f>
        <v>442291.19</v>
      </c>
      <c r="T24" s="185">
        <f>T25+T26+T33+T34+T32</f>
        <v>452241.30585698143</v>
      </c>
    </row>
    <row r="25" spans="2:25" ht="12.95" customHeight="1" x14ac:dyDescent="0.2">
      <c r="C25" s="124" t="str">
        <f>VLOOKUP(38,Textbausteine_305[],Hilfsgrössen!$D$2,FALSE)</f>
        <v>Transport de voyageurs</v>
      </c>
      <c r="D25" s="1" t="str">
        <f>VLOOKUP(11,Textbausteine_305[],Hilfsgrössen!$D$2,FALSE)</f>
        <v>Equivalent de tonnes de CO2</v>
      </c>
      <c r="E25" s="11">
        <v>2</v>
      </c>
      <c r="H25" s="9">
        <v>145129</v>
      </c>
      <c r="I25" s="9">
        <v>150581</v>
      </c>
      <c r="J25" s="9">
        <v>157333</v>
      </c>
      <c r="K25" s="9">
        <v>166232</v>
      </c>
      <c r="L25" s="9">
        <v>167441</v>
      </c>
      <c r="M25" s="9">
        <v>169933</v>
      </c>
      <c r="N25" s="9">
        <v>179348.87068190001</v>
      </c>
      <c r="O25" s="9">
        <v>177817.08560113999</v>
      </c>
      <c r="P25" s="9">
        <v>180687.69761884</v>
      </c>
      <c r="Q25" s="9">
        <v>164446.60999999999</v>
      </c>
      <c r="R25" s="9">
        <v>156713.76999999999</v>
      </c>
      <c r="S25" s="185">
        <v>163773.76000000001</v>
      </c>
      <c r="T25" s="185">
        <v>165796.59022762999</v>
      </c>
    </row>
    <row r="26" spans="2:25" ht="12.95" customHeight="1" x14ac:dyDescent="0.2">
      <c r="C26" s="124" t="str">
        <f>VLOOKUP(39,Textbausteine_305[],Hilfsgrössen!$D$2,FALSE)</f>
        <v>Transport de marchandises</v>
      </c>
      <c r="D26" s="1" t="str">
        <f>VLOOKUP(11,Textbausteine_305[],Hilfsgrössen!$D$2,FALSE)</f>
        <v>Equivalent de tonnes de CO2</v>
      </c>
      <c r="E26" s="11">
        <v>2</v>
      </c>
      <c r="H26" s="9">
        <v>158386</v>
      </c>
      <c r="I26" s="9">
        <v>155349</v>
      </c>
      <c r="J26" s="9">
        <v>163650</v>
      </c>
      <c r="K26" s="9">
        <v>134655.050086</v>
      </c>
      <c r="L26" s="9">
        <v>128576.04966800001</v>
      </c>
      <c r="M26" s="9">
        <v>128391.045436</v>
      </c>
      <c r="N26" s="9">
        <v>132810.19582265901</v>
      </c>
      <c r="O26" s="9">
        <f>SUM(O27:O31)</f>
        <v>126530.2519180572</v>
      </c>
      <c r="P26" s="9">
        <v>128250.95168711001</v>
      </c>
      <c r="Q26" s="9">
        <f>SUM(Q27:Q31)</f>
        <v>158982.37</v>
      </c>
      <c r="R26" s="9">
        <f>SUM(R27:R31)</f>
        <v>165000.09000000003</v>
      </c>
      <c r="S26" s="185">
        <f>SUM(S27:S31)</f>
        <v>214113.22999999998</v>
      </c>
      <c r="T26" s="185">
        <f>SUM(T27:T31)</f>
        <v>216918.38448288242</v>
      </c>
    </row>
    <row r="27" spans="2:25" ht="12.95" customHeight="1" x14ac:dyDescent="0.2">
      <c r="C27" s="127" t="str">
        <f>VLOOKUP(40,Textbausteine_305[],Hilfsgrössen!$D$2,FALSE)</f>
        <v>Sites d'entreprise</v>
      </c>
      <c r="D27" s="1" t="str">
        <f>VLOOKUP(11,Textbausteine_305[],Hilfsgrössen!$D$2,FALSE)</f>
        <v>Equivalent de tonnes de CO2</v>
      </c>
      <c r="E27" s="11">
        <v>2</v>
      </c>
      <c r="H27" s="9">
        <v>623</v>
      </c>
      <c r="I27" s="9">
        <v>658</v>
      </c>
      <c r="J27" s="9">
        <v>665</v>
      </c>
      <c r="K27" s="9">
        <v>591</v>
      </c>
      <c r="L27" s="9">
        <v>673</v>
      </c>
      <c r="M27" s="9">
        <v>572</v>
      </c>
      <c r="N27" s="9">
        <v>589.93020036760004</v>
      </c>
      <c r="O27" s="9">
        <v>1041.5849523159</v>
      </c>
      <c r="P27" s="9">
        <v>820.06261596723004</v>
      </c>
      <c r="Q27" s="9">
        <v>1075.26</v>
      </c>
      <c r="R27" s="9">
        <v>1167.7</v>
      </c>
      <c r="S27" s="185">
        <v>1333.4</v>
      </c>
      <c r="T27" s="185">
        <v>1287.9465011164</v>
      </c>
    </row>
    <row r="28" spans="2:25" ht="12.95" customHeight="1" x14ac:dyDescent="0.2">
      <c r="C28" s="127" t="str">
        <f>VLOOKUP(41,Textbausteine_305[],Hilfsgrössen!$D$2,FALSE)</f>
        <v>Route</v>
      </c>
      <c r="D28" s="1" t="str">
        <f>VLOOKUP(11,Textbausteine_305[],Hilfsgrössen!$D$2,FALSE)</f>
        <v>Equivalent de tonnes de CO2</v>
      </c>
      <c r="E28" s="11">
        <v>2</v>
      </c>
      <c r="H28" s="9">
        <v>100078</v>
      </c>
      <c r="I28" s="9">
        <v>94364</v>
      </c>
      <c r="J28" s="9">
        <v>94257</v>
      </c>
      <c r="K28" s="9">
        <v>94686</v>
      </c>
      <c r="L28" s="9">
        <v>89603</v>
      </c>
      <c r="M28" s="9">
        <v>88652</v>
      </c>
      <c r="N28" s="9">
        <v>89117.372014599998</v>
      </c>
      <c r="O28" s="9">
        <v>88326.869325242995</v>
      </c>
      <c r="P28" s="9">
        <v>91709.252918305996</v>
      </c>
      <c r="Q28" s="9">
        <v>128807.94</v>
      </c>
      <c r="R28" s="9">
        <v>135777.85</v>
      </c>
      <c r="S28" s="9">
        <f>43556.56+119371.41</f>
        <v>162927.97</v>
      </c>
      <c r="T28" s="9">
        <f>116472.13335522+42444.187817852</f>
        <v>158916.32117307198</v>
      </c>
    </row>
    <row r="29" spans="2:25" ht="12.95" customHeight="1" x14ac:dyDescent="0.2">
      <c r="C29" s="127" t="str">
        <f>VLOOKUP(42,Textbausteine_305[],Hilfsgrössen!$D$2,FALSE)</f>
        <v>Rail</v>
      </c>
      <c r="D29" s="1" t="str">
        <f>VLOOKUP(11,Textbausteine_305[],Hilfsgrössen!$D$2,FALSE)</f>
        <v>Equivalent de tonnes de CO2</v>
      </c>
      <c r="E29" s="11">
        <v>2</v>
      </c>
      <c r="F29" s="11"/>
      <c r="H29" s="9">
        <v>1395</v>
      </c>
      <c r="I29" s="9">
        <v>1389</v>
      </c>
      <c r="J29" s="9">
        <v>1336</v>
      </c>
      <c r="K29" s="9">
        <v>1468</v>
      </c>
      <c r="L29" s="9">
        <v>1572</v>
      </c>
      <c r="M29" s="9">
        <v>1668</v>
      </c>
      <c r="N29" s="9">
        <v>1718.3006751521</v>
      </c>
      <c r="O29" s="9">
        <v>1487.9082858683</v>
      </c>
      <c r="P29" s="9">
        <v>1484.2324832917</v>
      </c>
      <c r="Q29" s="9">
        <v>1137.6199999999999</v>
      </c>
      <c r="R29" s="9">
        <v>1131.0999999999999</v>
      </c>
      <c r="S29" s="185">
        <v>1813.52</v>
      </c>
      <c r="T29" s="185">
        <v>1864.9075707861</v>
      </c>
    </row>
    <row r="30" spans="2:25" ht="12.95" customHeight="1" x14ac:dyDescent="0.2">
      <c r="C30" s="127" t="str">
        <f>VLOOKUP(43,Textbausteine_305[],Hilfsgrössen!$D$2,FALSE)</f>
        <v>Transport aérien</v>
      </c>
      <c r="D30" s="1" t="str">
        <f>VLOOKUP(11,Textbausteine_305[],Hilfsgrössen!$D$2,FALSE)</f>
        <v>Equivalent de tonnes de CO2</v>
      </c>
      <c r="E30" s="11">
        <v>2</v>
      </c>
      <c r="H30" s="9">
        <v>56290</v>
      </c>
      <c r="I30" s="9">
        <v>58938</v>
      </c>
      <c r="J30" s="9">
        <v>67392</v>
      </c>
      <c r="K30" s="9">
        <v>37910</v>
      </c>
      <c r="L30" s="9">
        <v>36728</v>
      </c>
      <c r="M30" s="9">
        <v>37499</v>
      </c>
      <c r="N30" s="9">
        <v>41384.555395039002</v>
      </c>
      <c r="O30" s="9">
        <v>35673.857104230003</v>
      </c>
      <c r="P30" s="9">
        <v>34237.374922645002</v>
      </c>
      <c r="Q30" s="9">
        <v>27248.06</v>
      </c>
      <c r="R30" s="9">
        <v>26138.6</v>
      </c>
      <c r="S30" s="185">
        <v>43895.53</v>
      </c>
      <c r="T30" s="185">
        <v>49700.220192068999</v>
      </c>
    </row>
    <row r="31" spans="2:25" ht="12.95" customHeight="1" x14ac:dyDescent="0.2">
      <c r="C31" s="127" t="str">
        <f>VLOOKUP(44,Textbausteine_305[],Hilfsgrössen!$D$2,FALSE)</f>
        <v>Transport naval</v>
      </c>
      <c r="D31" s="1" t="str">
        <f>VLOOKUP(11,Textbausteine_305[],Hilfsgrössen!$D$2,FALSE)</f>
        <v>Equivalent de tonnes de CO2</v>
      </c>
      <c r="E31" s="11">
        <v>2</v>
      </c>
      <c r="G31" s="267"/>
      <c r="H31" s="9">
        <v>0</v>
      </c>
      <c r="I31" s="9">
        <v>0</v>
      </c>
      <c r="J31" s="9">
        <v>0</v>
      </c>
      <c r="K31" s="9">
        <v>5.0085999999999999E-2</v>
      </c>
      <c r="L31" s="9">
        <v>4.9667999999999997E-2</v>
      </c>
      <c r="M31" s="9">
        <v>4.5435999999999997E-2</v>
      </c>
      <c r="N31" s="9">
        <v>3.7537500000001001E-2</v>
      </c>
      <c r="O31" s="9">
        <v>3.2250400000000998E-2</v>
      </c>
      <c r="P31" s="9">
        <v>2.8746899999999999E-2</v>
      </c>
      <c r="Q31" s="9">
        <v>713.49</v>
      </c>
      <c r="R31" s="9">
        <v>784.84</v>
      </c>
      <c r="S31" s="185">
        <v>4142.8100000000004</v>
      </c>
      <c r="T31" s="185">
        <v>5148.9890458389</v>
      </c>
    </row>
    <row r="32" spans="2:25" ht="12.95" customHeight="1" x14ac:dyDescent="0.2">
      <c r="C32" s="124" t="str">
        <f>VLOOKUP(45,Textbausteine_305[],Hilfsgrössen!$D$2,FALSE)</f>
        <v>Déplacements professionnels</v>
      </c>
      <c r="D32" s="1" t="str">
        <f>VLOOKUP(11,Textbausteine_305[],Hilfsgrössen!$D$2,FALSE)</f>
        <v>Equivalent de tonnes de CO2</v>
      </c>
      <c r="E32" s="11">
        <v>2</v>
      </c>
      <c r="H32" s="9">
        <v>5488</v>
      </c>
      <c r="I32" s="9">
        <v>5925</v>
      </c>
      <c r="J32" s="9">
        <v>6525</v>
      </c>
      <c r="K32" s="9">
        <v>5933</v>
      </c>
      <c r="L32" s="9">
        <v>6117</v>
      </c>
      <c r="M32" s="9">
        <v>6066</v>
      </c>
      <c r="N32" s="9">
        <v>5846.1645165734999</v>
      </c>
      <c r="O32" s="9">
        <v>5918.2438045294002</v>
      </c>
      <c r="P32" s="9">
        <v>6331.4974314842002</v>
      </c>
      <c r="Q32" s="9">
        <v>5322.44</v>
      </c>
      <c r="R32" s="9">
        <v>3745.07</v>
      </c>
      <c r="S32" s="9">
        <f>33125.39-S33</f>
        <v>2561.3299999999981</v>
      </c>
      <c r="T32" s="9">
        <f>37049.946542489-T33</f>
        <v>2452.0919661000007</v>
      </c>
    </row>
    <row r="33" spans="3:20" ht="12.95" customHeight="1" x14ac:dyDescent="0.2">
      <c r="C33" s="124" t="str">
        <f>VLOOKUP(46,Textbausteine_305[],Hilfsgrössen!$D$2,FALSE)</f>
        <v>Trafic pendulaire</v>
      </c>
      <c r="D33" s="1" t="str">
        <f>VLOOKUP(11,Textbausteine_305[],Hilfsgrössen!$D$2,FALSE)</f>
        <v>Equivalent de tonnes de CO2</v>
      </c>
      <c r="E33" s="11">
        <v>2</v>
      </c>
      <c r="F33" s="11"/>
      <c r="H33" s="9">
        <v>52549</v>
      </c>
      <c r="I33" s="9">
        <v>51756</v>
      </c>
      <c r="J33" s="9">
        <v>51801</v>
      </c>
      <c r="K33" s="9">
        <v>53659</v>
      </c>
      <c r="L33" s="9">
        <v>55802</v>
      </c>
      <c r="M33" s="9">
        <v>55474</v>
      </c>
      <c r="N33" s="9">
        <v>52843.591257975997</v>
      </c>
      <c r="O33" s="9">
        <v>51553.30771519</v>
      </c>
      <c r="P33" s="9">
        <v>50329.735308902003</v>
      </c>
      <c r="Q33" s="9">
        <v>45191.55</v>
      </c>
      <c r="R33" s="9">
        <v>38295.949999999997</v>
      </c>
      <c r="S33" s="185">
        <v>30564.06</v>
      </c>
      <c r="T33" s="185">
        <v>34597.854576389</v>
      </c>
    </row>
    <row r="34" spans="3:20" ht="12.95" customHeight="1" x14ac:dyDescent="0.2">
      <c r="C34" s="124" t="str">
        <f>VLOOKUP(75,Textbausteine_305[],Hilfsgrössen!$D$2,FALSE)</f>
        <v>Leasing de véhicules</v>
      </c>
      <c r="D34" s="1" t="str">
        <f>VLOOKUP(11,Textbausteine_305[],Hilfsgrössen!$D$2,FALSE)</f>
        <v>Equivalent de tonnes de CO2</v>
      </c>
      <c r="E34" s="11" t="s">
        <v>33</v>
      </c>
      <c r="F34" s="11"/>
      <c r="H34" s="9" t="s">
        <v>29</v>
      </c>
      <c r="I34" s="9" t="s">
        <v>29</v>
      </c>
      <c r="J34" s="9" t="s">
        <v>29</v>
      </c>
      <c r="K34" s="9" t="s">
        <v>29</v>
      </c>
      <c r="L34" s="9" t="s">
        <v>29</v>
      </c>
      <c r="M34" s="9" t="s">
        <v>29</v>
      </c>
      <c r="N34" s="9" t="s">
        <v>29</v>
      </c>
      <c r="O34" s="9" t="s">
        <v>29</v>
      </c>
      <c r="P34" s="9" t="s">
        <v>29</v>
      </c>
      <c r="Q34" s="9">
        <v>24853.33</v>
      </c>
      <c r="R34" s="9">
        <v>24628.83</v>
      </c>
      <c r="S34" s="185">
        <v>31278.81</v>
      </c>
      <c r="T34" s="185">
        <v>32476.384603980001</v>
      </c>
    </row>
    <row r="35" spans="3:20" ht="12.95" customHeight="1" x14ac:dyDescent="0.2">
      <c r="C35" s="260" t="str">
        <f>VLOOKUP(76,Textbausteine_305[],Hilfsgrössen!$D$2,FALSE)</f>
        <v>Vente de carburant</v>
      </c>
      <c r="D35" s="1" t="str">
        <f>VLOOKUP(11,Textbausteine_305[],Hilfsgrössen!$D$2,FALSE)</f>
        <v>Equivalent de tonnes de CO2</v>
      </c>
      <c r="E35" s="11" t="s">
        <v>125</v>
      </c>
      <c r="F35" s="11"/>
      <c r="H35" s="9" t="s">
        <v>29</v>
      </c>
      <c r="I35" s="9" t="s">
        <v>29</v>
      </c>
      <c r="J35" s="9" t="s">
        <v>29</v>
      </c>
      <c r="K35" s="9" t="s">
        <v>29</v>
      </c>
      <c r="L35" s="9" t="s">
        <v>29</v>
      </c>
      <c r="M35" s="9" t="s">
        <v>29</v>
      </c>
      <c r="N35" s="9" t="s">
        <v>29</v>
      </c>
      <c r="O35" s="9" t="s">
        <v>29</v>
      </c>
      <c r="P35" s="9" t="s">
        <v>29</v>
      </c>
      <c r="Q35" s="9" t="s">
        <v>29</v>
      </c>
      <c r="R35" s="9" t="s">
        <v>29</v>
      </c>
      <c r="S35" s="185">
        <v>29509.89</v>
      </c>
      <c r="T35" s="185">
        <v>28130.351876787001</v>
      </c>
    </row>
    <row r="36" spans="3:20" ht="12.95" customHeight="1" x14ac:dyDescent="0.2">
      <c r="C36" s="260" t="str">
        <f>VLOOKUP(77,Textbausteine_305[],Hilfsgrössen!$D$2,FALSE)</f>
        <v>PostShops</v>
      </c>
      <c r="D36" s="1" t="str">
        <f>VLOOKUP(11,Textbausteine_305[],Hilfsgrössen!$D$2,FALSE)</f>
        <v>Equivalent de tonnes de CO2</v>
      </c>
      <c r="E36" s="11" t="s">
        <v>125</v>
      </c>
      <c r="F36" s="11"/>
      <c r="H36" s="9" t="s">
        <v>29</v>
      </c>
      <c r="I36" s="9" t="s">
        <v>29</v>
      </c>
      <c r="J36" s="9" t="s">
        <v>29</v>
      </c>
      <c r="K36" s="9" t="s">
        <v>29</v>
      </c>
      <c r="L36" s="9" t="s">
        <v>29</v>
      </c>
      <c r="M36" s="9" t="s">
        <v>29</v>
      </c>
      <c r="N36" s="9" t="s">
        <v>29</v>
      </c>
      <c r="O36" s="9" t="s">
        <v>29</v>
      </c>
      <c r="P36" s="9" t="s">
        <v>29</v>
      </c>
      <c r="Q36" s="9" t="s">
        <v>29</v>
      </c>
      <c r="R36" s="9" t="s">
        <v>29</v>
      </c>
      <c r="S36" s="185">
        <v>1616.1</v>
      </c>
      <c r="T36" s="185">
        <v>1616.097</v>
      </c>
    </row>
    <row r="37" spans="3:20" ht="12.95" customHeight="1" x14ac:dyDescent="0.2">
      <c r="C37" s="260" t="str">
        <f>VLOOKUP(78,Textbausteine_305[],Hilfsgrössen!$D$2,FALSE)</f>
        <v>Investissements</v>
      </c>
      <c r="D37" s="1" t="str">
        <f>VLOOKUP(11,Textbausteine_305[],Hilfsgrössen!$D$2,FALSE)</f>
        <v>Equivalent de tonnes de CO2</v>
      </c>
      <c r="E37" s="11" t="s">
        <v>125</v>
      </c>
      <c r="F37" s="11"/>
      <c r="H37" s="9" t="s">
        <v>29</v>
      </c>
      <c r="I37" s="9" t="s">
        <v>29</v>
      </c>
      <c r="J37" s="9" t="s">
        <v>29</v>
      </c>
      <c r="K37" s="9" t="s">
        <v>29</v>
      </c>
      <c r="L37" s="9" t="s">
        <v>29</v>
      </c>
      <c r="M37" s="9" t="s">
        <v>29</v>
      </c>
      <c r="N37" s="9" t="s">
        <v>29</v>
      </c>
      <c r="O37" s="9" t="s">
        <v>29</v>
      </c>
      <c r="P37" s="9" t="s">
        <v>29</v>
      </c>
      <c r="Q37" s="9" t="s">
        <v>29</v>
      </c>
      <c r="R37" s="9" t="s">
        <v>29</v>
      </c>
      <c r="S37" s="185">
        <v>1393223</v>
      </c>
      <c r="T37" s="185">
        <v>1389646</v>
      </c>
    </row>
    <row r="38" spans="3:20" ht="12.95" customHeight="1" x14ac:dyDescent="0.2">
      <c r="C38" s="260" t="str">
        <f>VLOOKUP(79,Textbausteine_305[],Hilfsgrössen!$D$2,FALSE)</f>
        <v>Biens et services achetés</v>
      </c>
      <c r="D38" s="1" t="str">
        <f>VLOOKUP(11,Textbausteine_305[],Hilfsgrössen!$D$2,FALSE)</f>
        <v>Equivalent de tonnes de CO2</v>
      </c>
      <c r="E38" s="11" t="s">
        <v>125</v>
      </c>
      <c r="F38" s="11"/>
      <c r="H38" s="9" t="s">
        <v>29</v>
      </c>
      <c r="I38" s="9" t="s">
        <v>29</v>
      </c>
      <c r="J38" s="9" t="s">
        <v>29</v>
      </c>
      <c r="K38" s="9" t="s">
        <v>29</v>
      </c>
      <c r="L38" s="9" t="s">
        <v>29</v>
      </c>
      <c r="M38" s="9" t="s">
        <v>29</v>
      </c>
      <c r="N38" s="9" t="s">
        <v>29</v>
      </c>
      <c r="O38" s="9" t="s">
        <v>29</v>
      </c>
      <c r="P38" s="9" t="s">
        <v>29</v>
      </c>
      <c r="Q38" s="9" t="s">
        <v>29</v>
      </c>
      <c r="R38" s="9" t="s">
        <v>29</v>
      </c>
      <c r="S38" s="185">
        <v>120108.06</v>
      </c>
      <c r="T38" s="185">
        <v>128212.23252131999</v>
      </c>
    </row>
    <row r="39" spans="3:20" ht="12.95" customHeight="1" x14ac:dyDescent="0.2">
      <c r="C39" s="260" t="str">
        <f>VLOOKUP(80,Textbausteine_305[],Hilfsgrössen!$D$2,FALSE)</f>
        <v>Biens d’équipement</v>
      </c>
      <c r="D39" s="1" t="str">
        <f>VLOOKUP(11,Textbausteine_305[],Hilfsgrössen!$D$2,FALSE)</f>
        <v>Equivalent de tonnes de CO2</v>
      </c>
      <c r="E39" s="11" t="s">
        <v>125</v>
      </c>
      <c r="F39" s="11"/>
      <c r="H39" s="9" t="s">
        <v>29</v>
      </c>
      <c r="I39" s="9" t="s">
        <v>29</v>
      </c>
      <c r="J39" s="9" t="s">
        <v>29</v>
      </c>
      <c r="K39" s="9" t="s">
        <v>29</v>
      </c>
      <c r="L39" s="9" t="s">
        <v>29</v>
      </c>
      <c r="M39" s="9" t="s">
        <v>29</v>
      </c>
      <c r="N39" s="9" t="s">
        <v>29</v>
      </c>
      <c r="O39" s="9" t="s">
        <v>29</v>
      </c>
      <c r="P39" s="9" t="s">
        <v>29</v>
      </c>
      <c r="Q39" s="9" t="s">
        <v>29</v>
      </c>
      <c r="R39" s="9" t="s">
        <v>29</v>
      </c>
      <c r="S39" s="185">
        <v>78966.820000000007</v>
      </c>
      <c r="T39" s="185">
        <v>77017.528146286</v>
      </c>
    </row>
    <row r="40" spans="3:20" ht="12.95" customHeight="1" x14ac:dyDescent="0.2">
      <c r="C40" s="26"/>
      <c r="F40" s="11"/>
      <c r="N40" s="9"/>
      <c r="O40" s="9"/>
      <c r="P40" s="9"/>
      <c r="Q40" s="9"/>
      <c r="R40" s="9"/>
      <c r="S40" s="9"/>
      <c r="T40" s="9"/>
    </row>
    <row r="41" spans="3:20" ht="12.95" customHeight="1" x14ac:dyDescent="0.2">
      <c r="C41" s="113" t="str">
        <f>VLOOKUP(47,Textbausteine_305[],Hilfsgrössen!$D$2,FALSE)</f>
        <v>Par scope et source d'énergie</v>
      </c>
      <c r="G41" s="267"/>
      <c r="N41" s="9"/>
      <c r="O41" s="9"/>
      <c r="P41" s="9"/>
      <c r="Q41" s="9"/>
      <c r="R41" s="9"/>
      <c r="S41" s="9"/>
      <c r="T41" s="9"/>
    </row>
    <row r="42" spans="3:20" ht="12.95" customHeight="1" x14ac:dyDescent="0.2">
      <c r="C42" s="17" t="str">
        <f>VLOOKUP(48,Textbausteine_305[],Hilfsgrössen!$D$2,FALSE)</f>
        <v>Emissions de gaz à effet de serre (scopes 1−3)</v>
      </c>
      <c r="D42" s="1" t="str">
        <f>VLOOKUP(11,Textbausteine_305[],Hilfsgrössen!$D$2,FALSE)</f>
        <v>Equivalent de tonnes de CO2</v>
      </c>
      <c r="E42" s="11">
        <v>2</v>
      </c>
      <c r="G42" s="267"/>
      <c r="H42" s="9">
        <v>478253</v>
      </c>
      <c r="I42" s="9">
        <v>463248</v>
      </c>
      <c r="J42" s="9">
        <v>478020</v>
      </c>
      <c r="K42" s="9">
        <v>449174</v>
      </c>
      <c r="L42" s="9">
        <v>442202</v>
      </c>
      <c r="M42" s="9">
        <v>440728</v>
      </c>
      <c r="N42" s="9">
        <v>446151.36167582998</v>
      </c>
      <c r="O42" s="9">
        <v>436549.74852076999</v>
      </c>
      <c r="P42" s="9">
        <v>439954.81451875</v>
      </c>
      <c r="Q42" s="269">
        <f>Q43+Q55+Q60</f>
        <v>439145.56999999995</v>
      </c>
      <c r="R42" s="269">
        <f t="shared" ref="R42:S42" si="2">R43+R55+R60</f>
        <v>428367.35999999999</v>
      </c>
      <c r="S42" s="9">
        <f t="shared" si="2"/>
        <v>2099968.5261577312</v>
      </c>
      <c r="T42" s="9">
        <f>T43+T55+T60</f>
        <v>2109528.2520491248</v>
      </c>
    </row>
    <row r="43" spans="3:20" ht="12.95" customHeight="1" x14ac:dyDescent="0.2">
      <c r="C43" s="114" t="str">
        <f>VLOOKUP(49,Textbausteine_305[],Hilfsgrössen!$D$2,FALSE)</f>
        <v>Emissions directes de gaz à effet de serre (scope 1)</v>
      </c>
      <c r="D43" s="1" t="str">
        <f>VLOOKUP(11,Textbausteine_305[],Hilfsgrössen!$D$2,FALSE)</f>
        <v>Equivalent de tonnes de CO2</v>
      </c>
      <c r="E43" s="11">
        <v>2</v>
      </c>
      <c r="F43" s="11" t="s">
        <v>126</v>
      </c>
      <c r="H43" s="9">
        <f>SUM(H44,H48,H53)</f>
        <v>185849</v>
      </c>
      <c r="I43" s="9">
        <f t="shared" ref="I43:N43" si="3">SUM(I44,I48,I53)</f>
        <v>185453</v>
      </c>
      <c r="J43" s="9">
        <f t="shared" si="3"/>
        <v>192155</v>
      </c>
      <c r="K43" s="9">
        <f t="shared" si="3"/>
        <v>193196</v>
      </c>
      <c r="L43" s="9">
        <f t="shared" si="3"/>
        <v>189053</v>
      </c>
      <c r="M43" s="9">
        <f t="shared" si="3"/>
        <v>187641</v>
      </c>
      <c r="N43" s="9">
        <f t="shared" si="3"/>
        <v>192641.19787531687</v>
      </c>
      <c r="O43" s="9">
        <f t="shared" ref="O43" si="4">SUM(O44,O48,O53)</f>
        <v>188244.99781373318</v>
      </c>
      <c r="P43" s="9">
        <v>192395.71118894001</v>
      </c>
      <c r="Q43" s="269">
        <v>188832.76</v>
      </c>
      <c r="R43" s="269">
        <v>183435.6</v>
      </c>
      <c r="S43" s="268">
        <f>S44+S48+S53</f>
        <v>199551.71210798415</v>
      </c>
      <c r="T43" s="268">
        <f>T44+T48+T53</f>
        <v>200815.2890739844</v>
      </c>
    </row>
    <row r="44" spans="3:20" ht="12.95" customHeight="1" x14ac:dyDescent="0.2">
      <c r="C44" s="116" t="str">
        <f>VLOOKUP(50,Textbausteine_305[],Hilfsgrössen!$D$2,FALSE)</f>
        <v>Consommation de combustibles dans des sources stationnaires</v>
      </c>
      <c r="D44" s="1" t="str">
        <f>VLOOKUP(11,Textbausteine_305[],Hilfsgrössen!$D$2,FALSE)</f>
        <v>Equivalent de tonnes de CO2</v>
      </c>
      <c r="E44" s="11">
        <v>2</v>
      </c>
      <c r="F44" s="11" t="s">
        <v>126</v>
      </c>
      <c r="H44" s="9">
        <f>SUM(H45:H46)</f>
        <v>20126</v>
      </c>
      <c r="I44" s="9">
        <f t="shared" ref="I44:N44" si="5">SUM(I45:I46)</f>
        <v>17464</v>
      </c>
      <c r="J44" s="9">
        <f t="shared" si="5"/>
        <v>19103</v>
      </c>
      <c r="K44" s="9">
        <f t="shared" si="5"/>
        <v>15440</v>
      </c>
      <c r="L44" s="9">
        <f t="shared" si="5"/>
        <v>12813</v>
      </c>
      <c r="M44" s="9">
        <f t="shared" si="5"/>
        <v>11798</v>
      </c>
      <c r="N44" s="9">
        <f t="shared" si="5"/>
        <v>11006.4913754591</v>
      </c>
      <c r="O44" s="9">
        <f t="shared" ref="O44" si="6">SUM(O45:O46)</f>
        <v>10301.424542107599</v>
      </c>
      <c r="P44" s="9">
        <v>12156.375777379</v>
      </c>
      <c r="Q44" s="269">
        <f>Q45+Q46+Q47</f>
        <v>12353.21</v>
      </c>
      <c r="R44" s="269">
        <f>R45+R46+R47</f>
        <v>12086.41</v>
      </c>
      <c r="S44" s="9">
        <f>S45+S46+S47</f>
        <v>12798.5464480586</v>
      </c>
      <c r="T44" s="9">
        <f>T47+T46+T45</f>
        <v>10762.157736447887</v>
      </c>
    </row>
    <row r="45" spans="3:20" ht="12.95" customHeight="1" x14ac:dyDescent="0.2">
      <c r="C45" s="115" t="str">
        <f>VLOOKUP(51,Textbausteine_305[],Hilfsgrössen!$D$2,FALSE)</f>
        <v>Mazout</v>
      </c>
      <c r="D45" s="1" t="str">
        <f>VLOOKUP(11,Textbausteine_305[],Hilfsgrössen!$D$2,FALSE)</f>
        <v>Equivalent de tonnes de CO2</v>
      </c>
      <c r="E45" s="11">
        <v>2</v>
      </c>
      <c r="F45" s="11" t="s">
        <v>126</v>
      </c>
      <c r="G45" s="267"/>
      <c r="H45" s="9">
        <v>16214</v>
      </c>
      <c r="I45" s="9">
        <v>13558</v>
      </c>
      <c r="J45" s="9">
        <v>13894</v>
      </c>
      <c r="K45" s="9">
        <v>11623</v>
      </c>
      <c r="L45" s="9">
        <v>8904</v>
      </c>
      <c r="M45" s="9">
        <v>8177</v>
      </c>
      <c r="N45" s="9">
        <v>7550.8390116191003</v>
      </c>
      <c r="O45" s="9">
        <v>7442.7899666116</v>
      </c>
      <c r="P45" s="9">
        <v>6781.3074173688001</v>
      </c>
      <c r="Q45" s="269">
        <v>7097.38</v>
      </c>
      <c r="R45" s="269">
        <v>6427.23</v>
      </c>
      <c r="S45" s="9">
        <v>6626.6821529235003</v>
      </c>
      <c r="T45" s="9">
        <v>5047.1193929053998</v>
      </c>
    </row>
    <row r="46" spans="3:20" ht="12.95" customHeight="1" x14ac:dyDescent="0.2">
      <c r="C46" s="115" t="str">
        <f>VLOOKUP(52,Textbausteine_305[],Hilfsgrössen!$D$2,FALSE)</f>
        <v>Gaz naturel</v>
      </c>
      <c r="D46" s="1" t="str">
        <f>VLOOKUP(11,Textbausteine_305[],Hilfsgrössen!$D$2,FALSE)</f>
        <v>Equivalent de tonnes de CO2</v>
      </c>
      <c r="E46" s="11">
        <v>2</v>
      </c>
      <c r="F46" s="11" t="s">
        <v>126</v>
      </c>
      <c r="G46" s="267"/>
      <c r="H46" s="9">
        <v>3912</v>
      </c>
      <c r="I46" s="9">
        <v>3906</v>
      </c>
      <c r="J46" s="9">
        <v>5209</v>
      </c>
      <c r="K46" s="9">
        <v>3817</v>
      </c>
      <c r="L46" s="9">
        <v>3909</v>
      </c>
      <c r="M46" s="9">
        <v>3621</v>
      </c>
      <c r="N46" s="9">
        <v>3455.6523638399999</v>
      </c>
      <c r="O46" s="9">
        <v>2858.6345754959998</v>
      </c>
      <c r="P46" s="9">
        <v>5373.9050289119004</v>
      </c>
      <c r="Q46" s="269">
        <v>5245.1</v>
      </c>
      <c r="R46" s="269">
        <v>5647.77</v>
      </c>
      <c r="S46" s="9">
        <v>6158.5496848291996</v>
      </c>
      <c r="T46" s="9">
        <v>5689.9323303743004</v>
      </c>
    </row>
    <row r="47" spans="3:20" ht="12.95" customHeight="1" x14ac:dyDescent="0.2">
      <c r="C47" s="115" t="str">
        <f>VLOOKUP(53,Textbausteine_305[],Hilfsgrössen!$D$2,FALSE)</f>
        <v>Bois</v>
      </c>
      <c r="D47" s="1" t="str">
        <f>VLOOKUP(11,Textbausteine_305[],Hilfsgrössen!$D$2,FALSE)</f>
        <v>Equivalent de tonnes de CO2</v>
      </c>
      <c r="E47" s="11" t="s">
        <v>127</v>
      </c>
      <c r="F47" s="11" t="s">
        <v>126</v>
      </c>
      <c r="G47" s="267"/>
      <c r="H47" s="9" t="s">
        <v>29</v>
      </c>
      <c r="I47" s="9" t="s">
        <v>29</v>
      </c>
      <c r="J47" s="9" t="s">
        <v>29</v>
      </c>
      <c r="K47" s="9" t="s">
        <v>29</v>
      </c>
      <c r="L47" s="9" t="s">
        <v>29</v>
      </c>
      <c r="M47" s="9" t="s">
        <v>29</v>
      </c>
      <c r="N47" s="9" t="s">
        <v>29</v>
      </c>
      <c r="O47" s="9" t="s">
        <v>29</v>
      </c>
      <c r="P47" s="9">
        <v>1.16333109816</v>
      </c>
      <c r="Q47" s="269">
        <v>10.73</v>
      </c>
      <c r="R47" s="269">
        <v>11.41</v>
      </c>
      <c r="S47" s="9">
        <v>13.314610305898</v>
      </c>
      <c r="T47" s="9">
        <v>25.106013168187999</v>
      </c>
    </row>
    <row r="48" spans="3:20" ht="12.95" customHeight="1" x14ac:dyDescent="0.2">
      <c r="C48" s="116" t="str">
        <f>VLOOKUP(54,Textbausteine_305[],Hilfsgrössen!$D$2,FALSE)</f>
        <v>Consommation de combustibles dans des sources mobiles</v>
      </c>
      <c r="D48" s="1" t="str">
        <f>VLOOKUP(11,Textbausteine_305[],Hilfsgrössen!$D$2,FALSE)</f>
        <v>Equivalent de tonnes de CO2</v>
      </c>
      <c r="E48" s="11">
        <v>2</v>
      </c>
      <c r="F48" s="11" t="s">
        <v>126</v>
      </c>
      <c r="H48" s="9">
        <f>SUM(H49:H52)</f>
        <v>163272</v>
      </c>
      <c r="I48" s="9">
        <f t="shared" ref="I48:N48" si="7">SUM(I49:I52)</f>
        <v>165441</v>
      </c>
      <c r="J48" s="9">
        <f t="shared" si="7"/>
        <v>169622</v>
      </c>
      <c r="K48" s="9">
        <f t="shared" si="7"/>
        <v>174272</v>
      </c>
      <c r="L48" s="9">
        <f t="shared" si="7"/>
        <v>173201</v>
      </c>
      <c r="M48" s="9">
        <f t="shared" si="7"/>
        <v>172948</v>
      </c>
      <c r="N48" s="9">
        <f t="shared" si="7"/>
        <v>178396.75396665776</v>
      </c>
      <c r="O48" s="9">
        <f t="shared" ref="O48" si="8">SUM(O49:O52)</f>
        <v>175293.1393274256</v>
      </c>
      <c r="P48" s="9">
        <v>177232.56403437001</v>
      </c>
      <c r="Q48" s="269">
        <f>Q49+Q50+Q51</f>
        <v>171914.71999999997</v>
      </c>
      <c r="R48" s="269">
        <f t="shared" ref="R48" si="9">R49+R50+R51</f>
        <v>166733.84000000003</v>
      </c>
      <c r="S48" s="268">
        <f>S49+S50+S51</f>
        <v>182190.27145992554</v>
      </c>
      <c r="T48" s="268">
        <f>T49+T50+T51</f>
        <v>185277.70051653654</v>
      </c>
    </row>
    <row r="49" spans="3:20" ht="12.95" customHeight="1" x14ac:dyDescent="0.2">
      <c r="C49" s="115" t="str">
        <f>VLOOKUP(55,Textbausteine_305[],Hilfsgrössen!$D$2,FALSE)</f>
        <v>Diesel</v>
      </c>
      <c r="D49" s="1" t="str">
        <f>VLOOKUP(11,Textbausteine_305[],Hilfsgrössen!$D$2,FALSE)</f>
        <v>Equivalent de tonnes de CO2</v>
      </c>
      <c r="E49" s="11">
        <v>2</v>
      </c>
      <c r="F49" s="11" t="s">
        <v>126</v>
      </c>
      <c r="H49" s="9">
        <v>146619</v>
      </c>
      <c r="I49" s="9">
        <v>150819</v>
      </c>
      <c r="J49" s="9">
        <v>156985</v>
      </c>
      <c r="K49" s="9">
        <v>163944</v>
      </c>
      <c r="L49" s="9">
        <v>163663</v>
      </c>
      <c r="M49" s="9">
        <v>164237</v>
      </c>
      <c r="N49" s="9">
        <v>170963.39839305999</v>
      </c>
      <c r="O49" s="9">
        <v>168687.06480912</v>
      </c>
      <c r="P49" s="9">
        <v>171033.24489186</v>
      </c>
      <c r="Q49" s="269">
        <v>165645.51999999999</v>
      </c>
      <c r="R49" s="269">
        <v>160717.13</v>
      </c>
      <c r="S49" s="9">
        <v>175586.06787274001</v>
      </c>
      <c r="T49" s="9">
        <v>178693.10251331999</v>
      </c>
    </row>
    <row r="50" spans="3:20" ht="12.95" customHeight="1" x14ac:dyDescent="0.2">
      <c r="C50" s="115" t="str">
        <f>VLOOKUP(56,Textbausteine_305[],Hilfsgrössen!$D$2,FALSE)</f>
        <v>Essence</v>
      </c>
      <c r="D50" s="1" t="str">
        <f>VLOOKUP(11,Textbausteine_305[],Hilfsgrössen!$D$2,FALSE)</f>
        <v>Equivalent de tonnes de CO2</v>
      </c>
      <c r="E50" s="11">
        <v>2</v>
      </c>
      <c r="F50" s="11" t="s">
        <v>126</v>
      </c>
      <c r="H50" s="9">
        <v>13268</v>
      </c>
      <c r="I50" s="9">
        <v>11980</v>
      </c>
      <c r="J50" s="9">
        <v>11619</v>
      </c>
      <c r="K50" s="9">
        <v>9409</v>
      </c>
      <c r="L50" s="9">
        <v>8699</v>
      </c>
      <c r="M50" s="9">
        <v>7928</v>
      </c>
      <c r="N50" s="9">
        <v>7091.1867565030998</v>
      </c>
      <c r="O50" s="9">
        <v>6461.1271408374996</v>
      </c>
      <c r="P50" s="9">
        <v>6016.7192285075998</v>
      </c>
      <c r="Q50" s="269">
        <v>6148.4</v>
      </c>
      <c r="R50" s="269">
        <v>6004.48</v>
      </c>
      <c r="S50" s="9">
        <v>6600.8583103554001</v>
      </c>
      <c r="T50" s="9">
        <v>6507.8048952843001</v>
      </c>
    </row>
    <row r="51" spans="3:20" ht="12.95" customHeight="1" x14ac:dyDescent="0.2">
      <c r="C51" s="115" t="str">
        <f>VLOOKUP(57,Textbausteine_305[],Hilfsgrössen!$D$2,FALSE)</f>
        <v>Gaz naturel</v>
      </c>
      <c r="D51" s="1" t="str">
        <f>VLOOKUP(11,Textbausteine_305[],Hilfsgrössen!$D$2,FALSE)</f>
        <v>Equivalent de tonnes de CO2</v>
      </c>
      <c r="E51" s="11">
        <v>2</v>
      </c>
      <c r="F51" s="11" t="s">
        <v>126</v>
      </c>
      <c r="H51" s="9">
        <v>3385</v>
      </c>
      <c r="I51" s="9">
        <v>2642</v>
      </c>
      <c r="J51" s="9">
        <v>1018</v>
      </c>
      <c r="K51" s="9">
        <v>919</v>
      </c>
      <c r="L51" s="9">
        <v>839</v>
      </c>
      <c r="M51" s="9">
        <v>783</v>
      </c>
      <c r="N51" s="9">
        <v>342.16881709466003</v>
      </c>
      <c r="O51" s="9">
        <v>144.94737746812001</v>
      </c>
      <c r="P51" s="9">
        <v>182.59991399936001</v>
      </c>
      <c r="Q51" s="269">
        <v>120.8</v>
      </c>
      <c r="R51" s="269">
        <v>12.23</v>
      </c>
      <c r="S51" s="268">
        <v>3.34527683013</v>
      </c>
      <c r="T51" s="268">
        <v>76.793107932248006</v>
      </c>
    </row>
    <row r="52" spans="3:20" ht="12.95" customHeight="1" x14ac:dyDescent="0.2">
      <c r="C52" s="115" t="str">
        <f>VLOOKUP(58,Textbausteine_305[],Hilfsgrössen!$D$2,FALSE)</f>
        <v>Hydrogène</v>
      </c>
      <c r="D52" s="1" t="str">
        <f>VLOOKUP(11,Textbausteine_305[],Hilfsgrössen!$D$2,FALSE)</f>
        <v>Equivalent de tonnes de CO2</v>
      </c>
      <c r="E52" s="11">
        <v>2</v>
      </c>
      <c r="F52" s="11" t="s">
        <v>126</v>
      </c>
      <c r="H52" s="9" t="s">
        <v>29</v>
      </c>
      <c r="I52" s="9" t="s">
        <v>29</v>
      </c>
      <c r="J52" s="9" t="s">
        <v>29</v>
      </c>
      <c r="K52" s="9">
        <v>0</v>
      </c>
      <c r="L52" s="9">
        <v>0</v>
      </c>
      <c r="M52" s="9">
        <v>0</v>
      </c>
      <c r="N52" s="9">
        <v>0</v>
      </c>
      <c r="O52" s="9" t="s">
        <v>29</v>
      </c>
      <c r="P52" s="9" t="s">
        <v>29</v>
      </c>
      <c r="Q52" s="269" t="s">
        <v>29</v>
      </c>
      <c r="R52" s="269" t="s">
        <v>29</v>
      </c>
      <c r="S52" s="9" t="s">
        <v>29</v>
      </c>
      <c r="T52" s="9" t="s">
        <v>29</v>
      </c>
    </row>
    <row r="53" spans="3:20" ht="12.95" customHeight="1" x14ac:dyDescent="0.2">
      <c r="C53" s="116" t="str">
        <f>VLOOKUP(59,Textbausteine_305[],Hilfsgrössen!$D$2,FALSE)</f>
        <v>Emissions fugitives</v>
      </c>
      <c r="D53" s="1" t="str">
        <f>VLOOKUP(11,Textbausteine_305[],Hilfsgrössen!$D$2,FALSE)</f>
        <v>Equivalent de tonnes de CO2</v>
      </c>
      <c r="E53" s="11">
        <v>2</v>
      </c>
      <c r="F53" s="11" t="s">
        <v>126</v>
      </c>
      <c r="G53" s="267"/>
      <c r="H53" s="9">
        <f>SUM(H54)</f>
        <v>2451</v>
      </c>
      <c r="I53" s="9">
        <f t="shared" ref="I53:N53" si="10">SUM(I54)</f>
        <v>2548</v>
      </c>
      <c r="J53" s="9">
        <f t="shared" si="10"/>
        <v>3430</v>
      </c>
      <c r="K53" s="9">
        <f t="shared" si="10"/>
        <v>3484</v>
      </c>
      <c r="L53" s="9">
        <f t="shared" si="10"/>
        <v>3039</v>
      </c>
      <c r="M53" s="9">
        <f t="shared" si="10"/>
        <v>2895</v>
      </c>
      <c r="N53" s="9">
        <f t="shared" si="10"/>
        <v>3237.9525331999998</v>
      </c>
      <c r="O53" s="9">
        <f t="shared" ref="O53" si="11">SUM(O54)</f>
        <v>2650.4339442</v>
      </c>
      <c r="P53" s="9">
        <v>3006.7713772000002</v>
      </c>
      <c r="Q53" s="269">
        <f>Q54</f>
        <v>4564.82</v>
      </c>
      <c r="R53" s="269">
        <f t="shared" ref="R53" si="12">R54</f>
        <v>4615.34</v>
      </c>
      <c r="S53" s="9">
        <f>S54</f>
        <v>4562.8941999999997</v>
      </c>
      <c r="T53" s="9">
        <f>T54</f>
        <v>4775.4308209999999</v>
      </c>
    </row>
    <row r="54" spans="3:20" ht="12.95" customHeight="1" x14ac:dyDescent="0.2">
      <c r="C54" s="115" t="str">
        <f>VLOOKUP(60,Textbausteine_305[],Hilfsgrössen!$D$2,FALSE)</f>
        <v>Climatisation</v>
      </c>
      <c r="D54" s="1" t="str">
        <f>VLOOKUP(11,Textbausteine_305[],Hilfsgrössen!$D$2,FALSE)</f>
        <v>Equivalent de tonnes de CO2</v>
      </c>
      <c r="E54" s="11">
        <v>2</v>
      </c>
      <c r="F54" s="11" t="s">
        <v>126</v>
      </c>
      <c r="H54" s="9">
        <v>2451</v>
      </c>
      <c r="I54" s="9">
        <v>2548</v>
      </c>
      <c r="J54" s="9">
        <v>3430</v>
      </c>
      <c r="K54" s="9">
        <v>3484</v>
      </c>
      <c r="L54" s="9">
        <v>3039</v>
      </c>
      <c r="M54" s="9">
        <v>2895</v>
      </c>
      <c r="N54" s="9">
        <v>3237.9525331999998</v>
      </c>
      <c r="O54" s="9">
        <v>2650.4339442</v>
      </c>
      <c r="P54" s="9">
        <v>3006.7713772000002</v>
      </c>
      <c r="Q54" s="269">
        <v>4564.82</v>
      </c>
      <c r="R54" s="269">
        <v>4615.34</v>
      </c>
      <c r="S54" s="9">
        <v>4562.8941999999997</v>
      </c>
      <c r="T54" s="9">
        <v>4775.4308209999999</v>
      </c>
    </row>
    <row r="55" spans="3:20" ht="12.95" customHeight="1" x14ac:dyDescent="0.2">
      <c r="C55" s="114" t="str">
        <f>VLOOKUP(61,Textbausteine_305[],Hilfsgrössen!$D$2,FALSE)</f>
        <v>Emissions indirectes de gaz à effet de serre liées à l'énergie (scope 2)</v>
      </c>
      <c r="D55" s="1" t="str">
        <f>VLOOKUP(11,Textbausteine_305[],Hilfsgrössen!$D$2,FALSE)</f>
        <v>Equivalent de tonnes de CO2</v>
      </c>
      <c r="E55" s="11">
        <v>2</v>
      </c>
      <c r="F55" s="9" t="s">
        <v>128</v>
      </c>
      <c r="H55" s="9">
        <f>SUM(H56,H59)</f>
        <v>29629</v>
      </c>
      <c r="I55" s="9">
        <f t="shared" ref="I55:N55" si="13">SUM(I56,I59)</f>
        <v>22212</v>
      </c>
      <c r="J55" s="9">
        <f t="shared" si="13"/>
        <v>22623</v>
      </c>
      <c r="K55" s="9">
        <f t="shared" si="13"/>
        <v>21684</v>
      </c>
      <c r="L55" s="9">
        <f t="shared" si="13"/>
        <v>23332</v>
      </c>
      <c r="M55" s="9">
        <f t="shared" si="13"/>
        <v>22217</v>
      </c>
      <c r="N55" s="9">
        <f t="shared" si="13"/>
        <v>20147.061374623499</v>
      </c>
      <c r="O55" s="9">
        <f t="shared" ref="O55" si="14">SUM(O56,O59)</f>
        <v>20123.486884443701</v>
      </c>
      <c r="P55" s="9">
        <v>20188.436594316001</v>
      </c>
      <c r="Q55" s="269">
        <f>Q56+Q59</f>
        <v>2181.2999999999997</v>
      </c>
      <c r="R55" s="269">
        <f t="shared" ref="R55" si="15">R56+R59</f>
        <v>2358.3200000000002</v>
      </c>
      <c r="S55" s="9">
        <f>S56+S59</f>
        <v>2277.2605067484001</v>
      </c>
      <c r="T55" s="9">
        <f>T56+T59</f>
        <v>2163.5996043093</v>
      </c>
    </row>
    <row r="56" spans="3:20" ht="12.95" customHeight="1" x14ac:dyDescent="0.2">
      <c r="C56" s="116" t="str">
        <f>VLOOKUP(62,Textbausteine_305[],Hilfsgrössen!$D$2,FALSE)</f>
        <v>Electricité</v>
      </c>
      <c r="D56" s="1" t="str">
        <f>VLOOKUP(11,Textbausteine_305[],Hilfsgrössen!$D$2,FALSE)</f>
        <v>Equivalent de tonnes de CO2</v>
      </c>
      <c r="E56" s="11">
        <v>1</v>
      </c>
      <c r="F56" s="9" t="s">
        <v>128</v>
      </c>
      <c r="G56" s="267"/>
      <c r="H56" s="9">
        <f>H58</f>
        <v>27408</v>
      </c>
      <c r="I56" s="9">
        <f t="shared" ref="I56:N56" si="16">I58</f>
        <v>20619</v>
      </c>
      <c r="J56" s="9">
        <f t="shared" si="16"/>
        <v>20766</v>
      </c>
      <c r="K56" s="9">
        <f t="shared" si="16"/>
        <v>20037</v>
      </c>
      <c r="L56" s="9">
        <f t="shared" si="16"/>
        <v>21547</v>
      </c>
      <c r="M56" s="9">
        <f t="shared" si="16"/>
        <v>20348</v>
      </c>
      <c r="N56" s="9">
        <f t="shared" si="16"/>
        <v>18403.540674961001</v>
      </c>
      <c r="O56" s="9">
        <f t="shared" ref="O56" si="17">O58</f>
        <v>18532.772471717999</v>
      </c>
      <c r="P56" s="9">
        <v>17734.697146113998</v>
      </c>
      <c r="Q56" s="269">
        <v>108.43</v>
      </c>
      <c r="R56" s="269">
        <v>108.65</v>
      </c>
      <c r="S56" s="9">
        <v>0</v>
      </c>
      <c r="T56" s="9">
        <f>T58</f>
        <v>0</v>
      </c>
    </row>
    <row r="57" spans="3:20" ht="12.95" customHeight="1" x14ac:dyDescent="0.2">
      <c r="C57" s="115" t="str">
        <f>VLOOKUP(63,Textbausteine_305[],Hilfsgrössen!$D$2,FALSE)</f>
        <v>Emissions basées sur les sites</v>
      </c>
      <c r="D57" s="16" t="str">
        <f>VLOOKUP(11,Textbausteine_305[],Hilfsgrössen!$D$2,FALSE)</f>
        <v>Equivalent de tonnes de CO2</v>
      </c>
      <c r="E57" s="11">
        <v>2</v>
      </c>
      <c r="F57" s="9" t="s">
        <v>128</v>
      </c>
      <c r="H57" s="9">
        <f>H58/0.95</f>
        <v>28850.526315789473</v>
      </c>
      <c r="I57" s="9">
        <f>I58/0.95</f>
        <v>21704.21052631579</v>
      </c>
      <c r="J57" s="9">
        <f>J58/0.95</f>
        <v>21858.947368421053</v>
      </c>
      <c r="K57" s="9">
        <f t="shared" ref="K57" si="18">K58/0.95</f>
        <v>21091.578947368424</v>
      </c>
      <c r="L57" s="9">
        <f>L58/0.95</f>
        <v>22681.05263157895</v>
      </c>
      <c r="M57" s="9">
        <f>M58/0.95</f>
        <v>21418.947368421053</v>
      </c>
      <c r="N57" s="9">
        <f>N58/0.9</f>
        <v>20448.378527734447</v>
      </c>
      <c r="O57" s="9">
        <f>O58/0.9</f>
        <v>20591.969413019997</v>
      </c>
      <c r="P57" s="9">
        <v>19265.297593883999</v>
      </c>
      <c r="Q57" s="269">
        <v>16684.38</v>
      </c>
      <c r="R57" s="269">
        <v>15779.5</v>
      </c>
      <c r="S57" s="9">
        <v>13415.619095532007</v>
      </c>
      <c r="T57" s="9">
        <v>13378.248154818464</v>
      </c>
    </row>
    <row r="58" spans="3:20" ht="12.95" customHeight="1" x14ac:dyDescent="0.2">
      <c r="C58" s="115" t="str">
        <f>VLOOKUP(64,Textbausteine_305[],Hilfsgrössen!$D$2,FALSE)</f>
        <v>Emissions basées sur le marché</v>
      </c>
      <c r="D58" s="1" t="str">
        <f>VLOOKUP(11,Textbausteine_305[],Hilfsgrössen!$D$2,FALSE)</f>
        <v>Equivalent de tonnes de CO2</v>
      </c>
      <c r="E58" s="11">
        <v>2</v>
      </c>
      <c r="F58" s="9" t="s">
        <v>128</v>
      </c>
      <c r="H58" s="9">
        <v>27408</v>
      </c>
      <c r="I58" s="9">
        <v>20619</v>
      </c>
      <c r="J58" s="9">
        <v>20766</v>
      </c>
      <c r="K58" s="9">
        <v>20037</v>
      </c>
      <c r="L58" s="9">
        <v>21547</v>
      </c>
      <c r="M58" s="9">
        <v>20348</v>
      </c>
      <c r="N58" s="9">
        <v>18403.540674961001</v>
      </c>
      <c r="O58" s="9">
        <v>18532.772471717999</v>
      </c>
      <c r="P58" s="9">
        <v>17734.697146113998</v>
      </c>
      <c r="Q58" s="9">
        <v>108.43</v>
      </c>
      <c r="R58" s="9">
        <v>108.65</v>
      </c>
      <c r="S58" s="9">
        <v>0</v>
      </c>
      <c r="T58" s="9">
        <v>0</v>
      </c>
    </row>
    <row r="59" spans="3:20" ht="12.95" customHeight="1" x14ac:dyDescent="0.2">
      <c r="C59" s="116" t="str">
        <f>VLOOKUP(65,Textbausteine_305[],Hilfsgrössen!$D$2,FALSE)</f>
        <v>Chaleur à distance</v>
      </c>
      <c r="D59" s="1" t="str">
        <f>VLOOKUP(11,Textbausteine_305[],Hilfsgrössen!$D$2,FALSE)</f>
        <v>Equivalent de tonnes de CO2</v>
      </c>
      <c r="E59" s="11">
        <v>2</v>
      </c>
      <c r="F59" s="9" t="s">
        <v>128</v>
      </c>
      <c r="H59" s="9">
        <v>2221</v>
      </c>
      <c r="I59" s="9">
        <v>1593</v>
      </c>
      <c r="J59" s="9">
        <v>1857</v>
      </c>
      <c r="K59" s="9">
        <v>1647</v>
      </c>
      <c r="L59" s="9">
        <v>1785</v>
      </c>
      <c r="M59" s="9">
        <v>1869</v>
      </c>
      <c r="N59" s="9">
        <v>1743.5206996625</v>
      </c>
      <c r="O59" s="9">
        <v>1590.7144127257</v>
      </c>
      <c r="P59" s="9">
        <v>2453.7394482013001</v>
      </c>
      <c r="Q59" s="269">
        <v>2072.87</v>
      </c>
      <c r="R59" s="269">
        <v>2249.67</v>
      </c>
      <c r="S59" s="9">
        <v>2277.2605067484001</v>
      </c>
      <c r="T59" s="9">
        <v>2163.5996043093</v>
      </c>
    </row>
    <row r="60" spans="3:20" ht="12.95" customHeight="1" x14ac:dyDescent="0.2">
      <c r="C60" s="114" t="str">
        <f>VLOOKUP(66,Textbausteine_305[],Hilfsgrössen!$D$2,FALSE)</f>
        <v>Autres émissions indirectes importantes de gaz à effet de serre (scope 3)</v>
      </c>
      <c r="D60" s="1" t="str">
        <f>VLOOKUP(11,Textbausteine_305[],Hilfsgrössen!$D$2,FALSE)</f>
        <v>Equivalent de tonnes de CO2</v>
      </c>
      <c r="E60" s="11">
        <v>2</v>
      </c>
      <c r="F60" s="9" t="s">
        <v>129</v>
      </c>
      <c r="H60" s="9">
        <f>SUM(H61:H68)</f>
        <v>262780</v>
      </c>
      <c r="I60" s="9">
        <f t="shared" ref="I60:N60" si="19">SUM(I61:I68)</f>
        <v>255588</v>
      </c>
      <c r="J60" s="9">
        <f t="shared" si="19"/>
        <v>263248</v>
      </c>
      <c r="K60" s="9">
        <f t="shared" si="19"/>
        <v>234297</v>
      </c>
      <c r="L60" s="9">
        <f t="shared" si="19"/>
        <v>229821</v>
      </c>
      <c r="M60" s="9">
        <f t="shared" si="19"/>
        <v>230873</v>
      </c>
      <c r="N60" s="9">
        <f t="shared" si="19"/>
        <v>233366.53409199772</v>
      </c>
      <c r="O60" s="9">
        <f t="shared" ref="O60" si="20">SUM(O61:O68)</f>
        <v>228181.89127211153</v>
      </c>
      <c r="P60" s="9">
        <v>227370.66673549</v>
      </c>
      <c r="Q60" s="269">
        <f>SUM(Q61:Q68)</f>
        <v>248131.50999999998</v>
      </c>
      <c r="R60" s="269">
        <f>SUM(R61:R68)</f>
        <v>242573.43999999997</v>
      </c>
      <c r="S60" s="9">
        <f>SUM(S61:S71)</f>
        <v>1898139.5535429989</v>
      </c>
      <c r="T60" s="9">
        <f>SUM(T61:T71)</f>
        <v>1906549.3633708311</v>
      </c>
    </row>
    <row r="61" spans="3:20" ht="12.95" customHeight="1" x14ac:dyDescent="0.2">
      <c r="C61" s="116" t="str">
        <f>VLOOKUP(67,Textbausteine_305[],Hilfsgrössen!$D$2,FALSE)</f>
        <v>Biens et services achetés (scope 3.1)</v>
      </c>
      <c r="D61" s="1" t="str">
        <f>VLOOKUP(11,Textbausteine_305[],Hilfsgrössen!$D$2,FALSE)</f>
        <v>Equivalent de tonnes de CO2</v>
      </c>
      <c r="E61" s="11" t="s">
        <v>130</v>
      </c>
      <c r="F61" s="9" t="s">
        <v>129</v>
      </c>
      <c r="H61" s="9">
        <v>11561</v>
      </c>
      <c r="I61" s="9">
        <v>11429</v>
      </c>
      <c r="J61" s="9">
        <v>11273</v>
      </c>
      <c r="K61" s="9">
        <v>8109</v>
      </c>
      <c r="L61" s="9">
        <v>7935</v>
      </c>
      <c r="M61" s="9">
        <v>7751</v>
      </c>
      <c r="N61" s="9">
        <v>5846.7021988427996</v>
      </c>
      <c r="O61" s="9">
        <v>6468.4043745774998</v>
      </c>
      <c r="P61" s="9">
        <v>4590.3196405556</v>
      </c>
      <c r="Q61" s="269">
        <v>3871.41</v>
      </c>
      <c r="R61" s="269">
        <v>4067.73</v>
      </c>
      <c r="S61" s="9">
        <v>120186.0702704</v>
      </c>
      <c r="T61" s="9">
        <v>128283.03719511</v>
      </c>
    </row>
    <row r="62" spans="3:20" ht="12.95" customHeight="1" x14ac:dyDescent="0.2">
      <c r="C62" s="128" t="str">
        <f>VLOOKUP(84,Textbausteine_305[],Hilfsgrössen!$D$2,FALSE)</f>
        <v>Biens d’équipement (scope 3.2)</v>
      </c>
      <c r="D62" s="1" t="str">
        <f>VLOOKUP(11,Textbausteine_305[],Hilfsgrössen!$D$2,FALSE)</f>
        <v>Equivalent de tonnes de CO2</v>
      </c>
      <c r="E62" s="11" t="s">
        <v>130</v>
      </c>
      <c r="F62" s="9" t="s">
        <v>129</v>
      </c>
      <c r="H62" s="9">
        <v>51104</v>
      </c>
      <c r="I62" s="9">
        <v>50138</v>
      </c>
      <c r="J62" s="9">
        <v>51217</v>
      </c>
      <c r="K62" s="9">
        <v>50269</v>
      </c>
      <c r="L62" s="9">
        <v>50583</v>
      </c>
      <c r="M62" s="9">
        <v>49794</v>
      </c>
      <c r="N62" s="9">
        <v>49424.781135725003</v>
      </c>
      <c r="O62" s="9">
        <v>48210.135412317999</v>
      </c>
      <c r="P62" s="9">
        <v>46142.779632666003</v>
      </c>
      <c r="Q62" s="269">
        <v>45175.75</v>
      </c>
      <c r="R62" s="269">
        <v>43907.85</v>
      </c>
      <c r="S62" s="9">
        <v>78966.817234339993</v>
      </c>
      <c r="T62" s="9">
        <v>77017.528146286</v>
      </c>
    </row>
    <row r="63" spans="3:20" ht="12.95" customHeight="1" x14ac:dyDescent="0.2">
      <c r="C63" s="128" t="str">
        <f>VLOOKUP(68,Textbausteine_305[],Hilfsgrössen!$D$2,FALSE)</f>
        <v>Activités liées aux combustibles et à l’énergie (scope 3.3)</v>
      </c>
      <c r="D63" s="1" t="str">
        <f>VLOOKUP(11,Textbausteine_305[],Hilfsgrössen!$D$2,FALSE)</f>
        <v>Equivalent de tonnes de CO2</v>
      </c>
      <c r="E63" s="11">
        <v>2</v>
      </c>
      <c r="F63" s="9" t="s">
        <v>129</v>
      </c>
      <c r="H63" s="9">
        <v>110601</v>
      </c>
      <c r="I63" s="9">
        <v>109666</v>
      </c>
      <c r="J63" s="9">
        <v>120287</v>
      </c>
      <c r="K63" s="9">
        <v>94302</v>
      </c>
      <c r="L63" s="9">
        <v>91031</v>
      </c>
      <c r="M63" s="9">
        <v>93550</v>
      </c>
      <c r="N63" s="9">
        <v>100730.06248808201</v>
      </c>
      <c r="O63" s="9">
        <v>96907.918669915001</v>
      </c>
      <c r="P63" s="9">
        <v>99011.316827989998</v>
      </c>
      <c r="Q63" s="269">
        <v>123595.42</v>
      </c>
      <c r="R63" s="269">
        <v>128970.99</v>
      </c>
      <c r="S63" s="15">
        <v>47831.189594720003</v>
      </c>
      <c r="T63" s="15">
        <v>48071.019746746999</v>
      </c>
    </row>
    <row r="64" spans="3:20" ht="12.95" customHeight="1" x14ac:dyDescent="0.2">
      <c r="C64" s="128" t="str">
        <f>VLOOKUP(69,Textbausteine_305[],Hilfsgrössen!$D$2,FALSE)</f>
        <v>Transport et tri en amont (scope 3.4)</v>
      </c>
      <c r="D64" s="1" t="str">
        <f>VLOOKUP(11,Textbausteine_305[],Hilfsgrössen!$D$2,FALSE)</f>
        <v>Equivalent de tonnes de CO2</v>
      </c>
      <c r="E64" s="11">
        <v>2</v>
      </c>
      <c r="F64" s="9" t="s">
        <v>129</v>
      </c>
      <c r="H64" s="9">
        <v>9353</v>
      </c>
      <c r="I64" s="9">
        <v>9170</v>
      </c>
      <c r="J64" s="9">
        <v>9320</v>
      </c>
      <c r="K64" s="9">
        <v>9129</v>
      </c>
      <c r="L64" s="9">
        <v>9243</v>
      </c>
      <c r="M64" s="9">
        <v>9158</v>
      </c>
      <c r="N64" s="9">
        <v>9047.3568552236993</v>
      </c>
      <c r="O64" s="9">
        <v>8813.1983539383</v>
      </c>
      <c r="P64" s="9">
        <v>8568.5426310463008</v>
      </c>
      <c r="Q64" s="269">
        <v>333.85</v>
      </c>
      <c r="R64" s="269">
        <v>276.7</v>
      </c>
      <c r="S64" s="15">
        <v>169223.25801826999</v>
      </c>
      <c r="T64" s="15">
        <v>173186.2482267</v>
      </c>
    </row>
    <row r="65" spans="2:83" ht="12.95" customHeight="1" x14ac:dyDescent="0.2">
      <c r="C65" s="128" t="str">
        <f>VLOOKUP(70,Textbausteine_305[],Hilfsgrössen!$D$2,FALSE)</f>
        <v>Déchets (scope 3.5)</v>
      </c>
      <c r="D65" s="1" t="str">
        <f>VLOOKUP(11,Textbausteine_305[],Hilfsgrössen!$D$2,FALSE)</f>
        <v>Equivalent de tonnes de CO2</v>
      </c>
      <c r="E65" s="11">
        <v>2</v>
      </c>
      <c r="F65" s="9" t="s">
        <v>129</v>
      </c>
      <c r="H65" s="9">
        <v>399</v>
      </c>
      <c r="I65" s="9">
        <v>630</v>
      </c>
      <c r="J65" s="9">
        <v>624</v>
      </c>
      <c r="K65" s="9">
        <v>429</v>
      </c>
      <c r="L65" s="9">
        <v>488</v>
      </c>
      <c r="M65" s="9">
        <v>530</v>
      </c>
      <c r="N65" s="9">
        <v>595.11857555518998</v>
      </c>
      <c r="O65" s="9">
        <v>750.00902377274997</v>
      </c>
      <c r="P65" s="9">
        <v>1189.5965480719999</v>
      </c>
      <c r="Q65" s="269">
        <v>900.08</v>
      </c>
      <c r="R65" s="269">
        <v>285.70999999999998</v>
      </c>
      <c r="S65" s="15">
        <v>231.70834140791999</v>
      </c>
      <c r="T65" s="15">
        <v>263.01592775203</v>
      </c>
    </row>
    <row r="66" spans="2:83" ht="12.95" customHeight="1" x14ac:dyDescent="0.2">
      <c r="C66" s="128" t="str">
        <f>VLOOKUP(71,Textbausteine_305[],Hilfsgrössen!$D$2,FALSE)</f>
        <v>Voyages d’affaires (scope 3.6)</v>
      </c>
      <c r="D66" s="1" t="str">
        <f>VLOOKUP(11,Textbausteine_305[],Hilfsgrössen!$D$2,FALSE)</f>
        <v>Equivalent de tonnes de CO2</v>
      </c>
      <c r="E66" s="11">
        <v>2</v>
      </c>
      <c r="F66" s="9" t="s">
        <v>129</v>
      </c>
      <c r="H66" s="9">
        <v>52549</v>
      </c>
      <c r="I66" s="9">
        <v>51756</v>
      </c>
      <c r="J66" s="9">
        <v>51801</v>
      </c>
      <c r="K66" s="9">
        <v>53659</v>
      </c>
      <c r="L66" s="9">
        <v>55802</v>
      </c>
      <c r="M66" s="9">
        <v>55474</v>
      </c>
      <c r="N66" s="9">
        <v>52843.591257975997</v>
      </c>
      <c r="O66" s="9">
        <v>51553.30771519</v>
      </c>
      <c r="P66" s="9">
        <v>50329.735308902003</v>
      </c>
      <c r="Q66" s="269">
        <v>45191.55</v>
      </c>
      <c r="R66" s="269">
        <v>38295.949999999997</v>
      </c>
      <c r="S66" s="15">
        <v>49.509237137913999</v>
      </c>
      <c r="T66" s="15">
        <v>180.74181590324</v>
      </c>
    </row>
    <row r="67" spans="2:83" ht="12.95" customHeight="1" x14ac:dyDescent="0.2">
      <c r="C67" s="128" t="str">
        <f>VLOOKUP(72,Textbausteine_305[],Hilfsgrössen!$D$2,FALSE)</f>
        <v>Trafic pendulaire des employés (scope 3.7)</v>
      </c>
      <c r="D67" s="1" t="str">
        <f>VLOOKUP(11,Textbausteine_305[],Hilfsgrössen!$D$2,FALSE)</f>
        <v>Equivalent de tonnes de CO2</v>
      </c>
      <c r="E67" s="11">
        <v>2</v>
      </c>
      <c r="F67" s="9" t="s">
        <v>129</v>
      </c>
      <c r="H67" s="9">
        <v>27213</v>
      </c>
      <c r="I67" s="9">
        <v>22799</v>
      </c>
      <c r="J67" s="9">
        <v>18726</v>
      </c>
      <c r="K67" s="9">
        <v>18400</v>
      </c>
      <c r="L67" s="9">
        <v>14739</v>
      </c>
      <c r="M67" s="9">
        <v>14616</v>
      </c>
      <c r="N67" s="9">
        <v>14878.921580593</v>
      </c>
      <c r="O67" s="9">
        <v>15478.9177224</v>
      </c>
      <c r="P67" s="9">
        <v>14467.12846645</v>
      </c>
      <c r="Q67" s="269">
        <v>14529.86</v>
      </c>
      <c r="R67" s="269">
        <v>13968.46</v>
      </c>
      <c r="S67" s="15">
        <v>30564.064917852</v>
      </c>
      <c r="T67" s="15">
        <v>34597.854576389</v>
      </c>
    </row>
    <row r="68" spans="2:83" ht="12.95" customHeight="1" x14ac:dyDescent="0.2">
      <c r="C68" s="128" t="str">
        <f>VLOOKUP(73,Textbausteine_305[],Hilfsgrössen!$D$2,FALSE)</f>
        <v>Immobilisations corporelles louées ou prises en leasing à la société mère (scope 3.8)</v>
      </c>
      <c r="D68" s="1" t="str">
        <f>VLOOKUP(11,Textbausteine_305[],Hilfsgrössen!$D$2,FALSE)</f>
        <v>Equivalent de tonnes de CO2</v>
      </c>
      <c r="E68" s="11">
        <v>2</v>
      </c>
      <c r="F68" s="9" t="s">
        <v>129</v>
      </c>
      <c r="H68" s="9" t="s">
        <v>29</v>
      </c>
      <c r="I68" s="9" t="s">
        <v>29</v>
      </c>
      <c r="J68" s="9" t="s">
        <v>29</v>
      </c>
      <c r="K68" s="9" t="s">
        <v>29</v>
      </c>
      <c r="L68" s="9" t="s">
        <v>29</v>
      </c>
      <c r="M68" s="9" t="s">
        <v>29</v>
      </c>
      <c r="N68" s="9" t="s">
        <v>29</v>
      </c>
      <c r="O68" s="9" t="s">
        <v>29</v>
      </c>
      <c r="P68" s="9">
        <v>3071.2476798115999</v>
      </c>
      <c r="Q68" s="269">
        <v>14533.59</v>
      </c>
      <c r="R68" s="269">
        <v>12800.05</v>
      </c>
      <c r="S68" s="15">
        <v>11768.044097561</v>
      </c>
      <c r="T68" s="15">
        <v>12274.864572412</v>
      </c>
    </row>
    <row r="69" spans="2:83" ht="12.95" customHeight="1" x14ac:dyDescent="0.2">
      <c r="C69" s="128" t="str">
        <f>VLOOKUP(85,Textbausteine_305[],Hilfsgrössen!$D$2,FALSE)</f>
        <v>Utilisation des produits vendus (scope 3.11)</v>
      </c>
      <c r="D69" s="1" t="str">
        <f>VLOOKUP(11,Textbausteine_305[],Hilfsgrössen!$D$2,FALSE)</f>
        <v>Equivalent de tonnes de CO2</v>
      </c>
      <c r="E69" s="11" t="s">
        <v>125</v>
      </c>
      <c r="F69" s="9" t="s">
        <v>129</v>
      </c>
      <c r="H69" s="9" t="s">
        <v>29</v>
      </c>
      <c r="I69" s="9" t="s">
        <v>29</v>
      </c>
      <c r="J69" s="9" t="s">
        <v>29</v>
      </c>
      <c r="K69" s="9" t="s">
        <v>29</v>
      </c>
      <c r="L69" s="9" t="s">
        <v>29</v>
      </c>
      <c r="M69" s="9" t="s">
        <v>29</v>
      </c>
      <c r="N69" s="9" t="s">
        <v>29</v>
      </c>
      <c r="O69" s="9" t="s">
        <v>29</v>
      </c>
      <c r="P69" s="9" t="s">
        <v>29</v>
      </c>
      <c r="Q69" s="9" t="s">
        <v>29</v>
      </c>
      <c r="R69" s="9" t="s">
        <v>29</v>
      </c>
      <c r="S69" s="181">
        <v>31125.984987626998</v>
      </c>
      <c r="T69" s="181">
        <v>29746.448876786999</v>
      </c>
    </row>
    <row r="70" spans="2:83" ht="12.95" customHeight="1" x14ac:dyDescent="0.2">
      <c r="C70" s="128" t="str">
        <f>VLOOKUP(74,Textbausteine_305[],Hilfsgrössen!$D$2,FALSE)</f>
        <v>Immobilisations corporelles louées ou cédées en leasing (scope 3.13)</v>
      </c>
      <c r="D70" s="1" t="str">
        <f>VLOOKUP(11,Textbausteine_305[],Hilfsgrössen!$D$2,FALSE)</f>
        <v>Equivalent de tonnes de CO2</v>
      </c>
      <c r="E70" s="11" t="s">
        <v>127</v>
      </c>
      <c r="F70" s="9" t="s">
        <v>129</v>
      </c>
      <c r="H70" s="9" t="s">
        <v>29</v>
      </c>
      <c r="I70" s="9" t="s">
        <v>29</v>
      </c>
      <c r="J70" s="9" t="s">
        <v>29</v>
      </c>
      <c r="K70" s="9" t="s">
        <v>29</v>
      </c>
      <c r="L70" s="9" t="s">
        <v>29</v>
      </c>
      <c r="M70" s="9" t="s">
        <v>29</v>
      </c>
      <c r="N70" s="9" t="s">
        <v>29</v>
      </c>
      <c r="O70" s="9" t="s">
        <v>29</v>
      </c>
      <c r="P70" s="9" t="s">
        <v>29</v>
      </c>
      <c r="Q70" s="9" t="s">
        <v>29</v>
      </c>
      <c r="R70" s="9" t="s">
        <v>29</v>
      </c>
      <c r="S70" s="181">
        <v>14969.906843683</v>
      </c>
      <c r="T70" s="181">
        <v>13282.604286745</v>
      </c>
    </row>
    <row r="71" spans="2:83" ht="12.95" customHeight="1" x14ac:dyDescent="0.2">
      <c r="C71" s="128" t="str">
        <f>VLOOKUP(86,Textbausteine_305[],Hilfsgrössen!$D$2,FALSE)</f>
        <v>Investissements (scope 3.15)</v>
      </c>
      <c r="D71" s="1" t="str">
        <f>VLOOKUP(11,Textbausteine_305[],Hilfsgrössen!$D$2,FALSE)</f>
        <v>Equivalent de tonnes de CO2</v>
      </c>
      <c r="E71" s="11" t="s">
        <v>131</v>
      </c>
      <c r="F71" s="9" t="s">
        <v>129</v>
      </c>
      <c r="H71" s="9" t="s">
        <v>29</v>
      </c>
      <c r="I71" s="9" t="s">
        <v>29</v>
      </c>
      <c r="J71" s="9" t="s">
        <v>29</v>
      </c>
      <c r="K71" s="9" t="s">
        <v>29</v>
      </c>
      <c r="L71" s="9" t="s">
        <v>29</v>
      </c>
      <c r="M71" s="9" t="s">
        <v>29</v>
      </c>
      <c r="N71" s="9" t="s">
        <v>29</v>
      </c>
      <c r="O71" s="9" t="s">
        <v>29</v>
      </c>
      <c r="P71" s="9" t="s">
        <v>29</v>
      </c>
      <c r="Q71" s="9" t="s">
        <v>29</v>
      </c>
      <c r="R71" s="9" t="s">
        <v>29</v>
      </c>
      <c r="S71" s="181">
        <v>1393223</v>
      </c>
      <c r="T71" s="181">
        <v>1389646</v>
      </c>
    </row>
    <row r="72" spans="2:83" ht="12.95" customHeight="1" x14ac:dyDescent="0.2">
      <c r="N72" s="9"/>
      <c r="O72" s="9"/>
      <c r="P72" s="9"/>
      <c r="Q72" s="9"/>
      <c r="R72" s="28"/>
      <c r="S72" s="28"/>
      <c r="T72" s="28"/>
    </row>
    <row r="73" spans="2:83" ht="12.95" customHeight="1" x14ac:dyDescent="0.25">
      <c r="B73" s="18" t="str">
        <f>VLOOKUP(147,Textbausteine_305[],Hilfsgrössen!$D$2,FALSE)</f>
        <v xml:space="preserve">1) L’électricité renouvelable et certifiée «naturemade star» portée au bilan des émissions de gaz à effet de serre du scope 2 est comptabilisée sans impact sur le climat. </v>
      </c>
      <c r="E73" s="29"/>
      <c r="F73" s="29"/>
      <c r="H73" s="28"/>
      <c r="I73" s="28"/>
      <c r="J73" s="28"/>
      <c r="K73" s="28"/>
      <c r="L73" s="28"/>
      <c r="M73" s="28"/>
      <c r="N73" s="28"/>
      <c r="O73" s="28"/>
      <c r="P73" s="28"/>
      <c r="Q73" s="28"/>
      <c r="R73" s="28"/>
      <c r="S73" s="28"/>
      <c r="T73" s="28"/>
      <c r="U73" s="28"/>
      <c r="V73" s="28"/>
      <c r="W73" s="28"/>
      <c r="X73" s="28"/>
      <c r="Y73" s="28"/>
      <c r="Z73" s="28"/>
      <c r="AA73" s="28"/>
      <c r="AB73" s="28"/>
      <c r="AC73" s="28"/>
      <c r="AD73" s="28"/>
      <c r="AE73" s="28"/>
      <c r="AF73" s="28"/>
      <c r="AG73" s="28"/>
      <c r="AH73" s="28"/>
      <c r="AI73" s="28"/>
      <c r="AJ73" s="28"/>
      <c r="AK73" s="28"/>
      <c r="AL73" s="28"/>
      <c r="AM73" s="28"/>
      <c r="AN73" s="28"/>
      <c r="AO73" s="28"/>
      <c r="AP73" s="28"/>
      <c r="AQ73" s="28"/>
      <c r="AR73" s="28"/>
      <c r="AS73" s="28"/>
      <c r="AT73" s="28"/>
      <c r="AU73" s="28"/>
      <c r="AV73" s="28"/>
      <c r="AW73" s="28"/>
      <c r="AX73" s="28"/>
      <c r="AY73" s="28"/>
      <c r="AZ73" s="28"/>
      <c r="BA73" s="28"/>
      <c r="BB73" s="28"/>
      <c r="BC73" s="28"/>
      <c r="BD73" s="28"/>
      <c r="BE73" s="28"/>
      <c r="BF73" s="28"/>
      <c r="BG73" s="28"/>
      <c r="BH73" s="28"/>
      <c r="BI73" s="28"/>
      <c r="BJ73" s="28"/>
      <c r="BK73" s="28"/>
      <c r="BL73" s="28"/>
      <c r="BM73" s="28"/>
      <c r="BN73" s="28"/>
      <c r="BO73" s="28"/>
      <c r="BP73" s="28"/>
      <c r="BQ73" s="28"/>
      <c r="BR73" s="28"/>
      <c r="BS73" s="28"/>
      <c r="BT73" s="28"/>
      <c r="BU73" s="28"/>
      <c r="BV73" s="28"/>
      <c r="BW73" s="28"/>
      <c r="BX73" s="28"/>
      <c r="BY73" s="28"/>
      <c r="BZ73" s="28"/>
      <c r="CA73" s="28"/>
      <c r="CB73" s="28"/>
      <c r="CC73" s="28"/>
      <c r="CD73" s="28"/>
      <c r="CE73" s="28"/>
    </row>
    <row r="74" spans="2:83" ht="12.95" customHeight="1" x14ac:dyDescent="0.25">
      <c r="B74" s="18" t="str">
        <f>VLOOKUP(148,Textbausteine_305[],Hilfsgrössen!$D$2,FALSE)</f>
        <v>2) Standards, méthodes et facteurs d’émission: protocole GHG, édition révisée (2004), ISO 14064–1. L’approche du contrôle financier (Financial Control Approach) a été choisie comme approche de consolidation. Les facteurs d’émission proviennent de la banque de données du DEFRA (2021) ou de l’AIE (2021).</v>
      </c>
      <c r="E74" s="29"/>
      <c r="F74" s="29"/>
      <c r="N74" s="9"/>
      <c r="O74" s="9"/>
      <c r="P74" s="9"/>
      <c r="Q74" s="9"/>
      <c r="R74" s="9"/>
      <c r="S74" s="9"/>
      <c r="T74" s="9"/>
    </row>
    <row r="75" spans="2:83" ht="12.95" customHeight="1" x14ac:dyDescent="0.25">
      <c r="B75" s="18" t="str">
        <f>VLOOKUP(149,Textbausteine_305[],Hilfsgrössen!$D$2,FALSE)</f>
        <v>3) L’année 2021 fait office de référence pour les objectifs climatiques à l’horizon 2030 et 2040. C’est la raison pour laquelle les valeurs correspondantes sont recalculées en cas d’acquisitions ou de ventes de sociétés du groupe, ou en cas de modifications de la qualité des données.</v>
      </c>
      <c r="E75" s="29"/>
      <c r="F75" s="29"/>
      <c r="G75" s="35"/>
      <c r="N75" s="9"/>
      <c r="O75" s="9"/>
      <c r="P75" s="9"/>
      <c r="Q75" s="9"/>
      <c r="R75" s="9"/>
      <c r="S75" s="9"/>
      <c r="T75" s="9"/>
    </row>
    <row r="76" spans="2:83" ht="12.95" customHeight="1" x14ac:dyDescent="0.25">
      <c r="B76" s="18" t="str">
        <f>VLOOKUP(150,Textbausteine_305[],Hilfsgrössen!$D$2,FALSE)</f>
        <v>4) Données collectées à partir de 2018</v>
      </c>
      <c r="E76" s="29"/>
      <c r="F76" s="29"/>
      <c r="G76" s="35"/>
    </row>
    <row r="77" spans="2:83" ht="12.95" customHeight="1" x14ac:dyDescent="0.25">
      <c r="B77" s="18" t="str">
        <f>VLOOKUP(151,Textbausteine_305[],Hilfsgrössen!$D$2,FALSE)</f>
        <v>5) Données collectées à partir de 2019</v>
      </c>
      <c r="E77" s="30"/>
      <c r="F77" s="30"/>
      <c r="G77" s="35"/>
    </row>
    <row r="78" spans="2:83" ht="12.95" customHeight="1" x14ac:dyDescent="0.25">
      <c r="B78" s="18" t="str">
        <f>VLOOKUP(152,Textbausteine_305[],Hilfsgrössen!$D$2,FALSE)</f>
        <v xml:space="preserve">6) Les émissions des obligations d’entreprises financées ont été collectées pour la première fois en 2022, puis rétroactivement pour 2021. Le degré de couverture est de 81%. Les émissions des scopes 1 et 2 des entreprises dans lesquelles des investissements ont été réalisés sont prises en compte. En raison de la volatilité du volume d’investissement et des fluctuations des émissions des entreprises, la valeur des émissions peut varier considérablement d’une année à l’autre. Pour plus d’informations, voir la publication sur les risques financiers liés au climat sur le site de PostFinance. </v>
      </c>
      <c r="E78" s="30"/>
      <c r="F78" s="30"/>
      <c r="G78" s="35"/>
    </row>
    <row r="79" spans="2:83" ht="12.95" customHeight="1" x14ac:dyDescent="0.25">
      <c r="B79" s="18" t="str">
        <f>VLOOKUP(153,Textbausteine_305[],Hilfsgrössen!$D$2,FALSE)</f>
        <v>7) Données collectées à partir de 2021</v>
      </c>
      <c r="E79" s="30"/>
      <c r="F79" s="30"/>
      <c r="G79" s="35"/>
    </row>
    <row r="80" spans="2:83" ht="12.95" customHeight="1" x14ac:dyDescent="0.25">
      <c r="B80" s="18" t="str">
        <f>VLOOKUP(154,Textbausteine_305[],Hilfsgrössen!$D$2,FALSE)</f>
        <v>8) Les émissions des biens et services achetés ont été calculées pour la première fois en 2022 au moyen de facteurs d’émission par groupe de produits (données secondaires) et ont été saisies rétroactivement pour 2021. Avec l’évolution prévisible de la base de données (p. ex. données primaires), les émissions sont recalculées régulièrement et les éventuelles approximations imputables à une qualité ou à une disponibilité restreinte des données au moment du calcul initial sont corrigées.</v>
      </c>
      <c r="E80" s="30"/>
      <c r="F80" s="30"/>
      <c r="G80" s="35"/>
    </row>
    <row r="81" spans="1:83" ht="12.95" customHeight="1" x14ac:dyDescent="0.25">
      <c r="B81" s="18" t="str">
        <f>VLOOKUP(155,Textbausteine_305[],Hilfsgrössen!$D$2,FALSE)</f>
        <v>9) Papier pour photocopies et produits imprimés saisis à partir de 2021 sous «Biens et services achetés»</v>
      </c>
      <c r="E81" s="30"/>
      <c r="F81" s="30"/>
      <c r="G81" s="35"/>
    </row>
    <row r="82" spans="1:83" ht="12.95" customHeight="1" x14ac:dyDescent="0.25">
      <c r="B82" s="18"/>
      <c r="E82" s="30"/>
      <c r="F82" s="30"/>
      <c r="G82" s="35"/>
    </row>
    <row r="83" spans="1:83" ht="12.95" customHeight="1" x14ac:dyDescent="0.2">
      <c r="G83" s="35"/>
    </row>
    <row r="84" spans="1:83" s="6" customFormat="1" ht="12.95" customHeight="1" x14ac:dyDescent="0.25">
      <c r="A84" s="107" t="s">
        <v>27</v>
      </c>
      <c r="B84" s="401" t="str">
        <f>$C$8</f>
        <v>Intensité de gaz à effet de serre</v>
      </c>
      <c r="C84" s="401"/>
      <c r="D84" s="6" t="str">
        <f>VLOOKUP(32,Textbausteine_Menu[],Hilfsgrössen!$D$2,FALSE)</f>
        <v>Unité</v>
      </c>
      <c r="E84" s="7" t="str">
        <f>VLOOKUP(33,Textbausteine_Menu[],Hilfsgrössen!$D$2,FALSE)</f>
        <v>Notes</v>
      </c>
      <c r="F84" s="28" t="str">
        <f>VLOOKUP(34,Textbausteine_Menu[],Hilfsgrössen!$D$2,FALSE)</f>
        <v>GRI</v>
      </c>
      <c r="G84" s="36"/>
      <c r="H84" s="28">
        <v>2010</v>
      </c>
      <c r="I84" s="28">
        <v>2011</v>
      </c>
      <c r="J84" s="28">
        <v>2012</v>
      </c>
      <c r="K84" s="28">
        <v>2013</v>
      </c>
      <c r="L84" s="28">
        <v>2014</v>
      </c>
      <c r="M84" s="28">
        <v>2015</v>
      </c>
      <c r="N84" s="7">
        <v>2016</v>
      </c>
      <c r="O84" s="7">
        <v>2017</v>
      </c>
      <c r="P84" s="7">
        <v>2018</v>
      </c>
      <c r="Q84" s="7">
        <v>2019</v>
      </c>
      <c r="R84" s="7">
        <v>2020</v>
      </c>
      <c r="S84" s="7">
        <v>2021</v>
      </c>
      <c r="T84" s="7">
        <v>2022</v>
      </c>
      <c r="U84" s="28"/>
      <c r="V84" s="28"/>
      <c r="W84" s="28"/>
      <c r="X84" s="28"/>
      <c r="Y84" s="28"/>
      <c r="Z84" s="28"/>
      <c r="AA84" s="28"/>
      <c r="AB84" s="28"/>
      <c r="AC84" s="28"/>
      <c r="AD84" s="28"/>
      <c r="AE84" s="28"/>
      <c r="AF84" s="28"/>
      <c r="AG84" s="28"/>
      <c r="AH84" s="28"/>
      <c r="AI84" s="28"/>
      <c r="AJ84" s="28"/>
      <c r="AK84" s="28"/>
      <c r="AL84" s="28"/>
      <c r="AM84" s="28"/>
      <c r="AN84" s="28"/>
      <c r="AO84" s="28"/>
      <c r="AP84" s="28"/>
      <c r="AQ84" s="28"/>
      <c r="AR84" s="28"/>
      <c r="AS84" s="28"/>
      <c r="AT84" s="28"/>
      <c r="AU84" s="28"/>
      <c r="AV84" s="28"/>
      <c r="AW84" s="28"/>
      <c r="AX84" s="28"/>
      <c r="AY84" s="28"/>
      <c r="AZ84" s="28"/>
      <c r="BA84" s="28"/>
      <c r="BB84" s="28"/>
      <c r="BC84" s="28"/>
      <c r="BD84" s="28"/>
      <c r="BE84" s="28"/>
      <c r="BF84" s="28"/>
      <c r="BG84" s="28"/>
      <c r="BH84" s="28"/>
      <c r="BI84" s="28"/>
      <c r="BJ84" s="28"/>
      <c r="BK84" s="28"/>
      <c r="BL84" s="28"/>
      <c r="BM84" s="28"/>
      <c r="BN84" s="28"/>
      <c r="BO84" s="28"/>
      <c r="BP84" s="28"/>
      <c r="BQ84" s="28"/>
      <c r="BR84" s="28"/>
      <c r="BS84" s="28"/>
      <c r="BT84" s="28"/>
      <c r="BU84" s="28"/>
      <c r="BV84" s="28"/>
      <c r="BW84" s="28"/>
      <c r="BX84" s="28"/>
      <c r="BY84" s="28"/>
      <c r="BZ84" s="28"/>
      <c r="CA84" s="28"/>
      <c r="CB84" s="28"/>
      <c r="CC84" s="28"/>
      <c r="CD84" s="28"/>
      <c r="CE84" s="28"/>
    </row>
    <row r="85" spans="1:83" s="6" customFormat="1" ht="12.95" customHeight="1" x14ac:dyDescent="0.2">
      <c r="A85" s="38"/>
      <c r="B85" s="401"/>
      <c r="C85" s="401"/>
      <c r="E85" s="11"/>
      <c r="F85" s="9"/>
      <c r="G85" s="34"/>
      <c r="H85" s="9"/>
      <c r="I85" s="9"/>
      <c r="J85" s="9"/>
      <c r="K85" s="9"/>
      <c r="L85" s="9"/>
      <c r="M85" s="9"/>
      <c r="N85" s="11"/>
      <c r="O85" s="11"/>
      <c r="P85" s="11"/>
      <c r="Q85" s="11"/>
      <c r="R85" s="11"/>
      <c r="S85" s="11"/>
      <c r="T85" s="11"/>
      <c r="U85" s="9"/>
      <c r="V85" s="9"/>
      <c r="W85" s="9"/>
      <c r="X85" s="9"/>
      <c r="Y85" s="9"/>
      <c r="Z85" s="9"/>
      <c r="AA85" s="9"/>
      <c r="AB85" s="9"/>
      <c r="AC85" s="9"/>
      <c r="AD85" s="9"/>
      <c r="AE85" s="9"/>
      <c r="AF85" s="9"/>
      <c r="AG85" s="9"/>
      <c r="AH85" s="9"/>
      <c r="AI85" s="9"/>
      <c r="AJ85" s="9"/>
      <c r="AK85" s="9"/>
      <c r="AL85" s="9"/>
      <c r="AM85" s="9"/>
      <c r="AN85" s="9"/>
      <c r="AO85" s="9"/>
      <c r="AP85" s="9"/>
      <c r="AQ85" s="9"/>
      <c r="AR85" s="9"/>
      <c r="AS85" s="9"/>
      <c r="AT85" s="9"/>
      <c r="AU85" s="9"/>
      <c r="AV85" s="9"/>
      <c r="AW85" s="9"/>
      <c r="AX85" s="9"/>
      <c r="AY85" s="9"/>
      <c r="AZ85" s="9"/>
      <c r="BA85" s="9"/>
      <c r="BB85" s="9"/>
      <c r="BC85" s="9"/>
      <c r="BD85" s="9"/>
      <c r="BE85" s="9"/>
      <c r="BF85" s="9"/>
      <c r="BG85" s="9"/>
      <c r="BH85" s="9"/>
      <c r="BI85" s="9"/>
      <c r="BJ85" s="9"/>
      <c r="BK85" s="9"/>
      <c r="BL85" s="9"/>
      <c r="BM85" s="9"/>
      <c r="BN85" s="9"/>
      <c r="BO85" s="9"/>
      <c r="BP85" s="9"/>
      <c r="BQ85" s="9"/>
      <c r="BR85" s="9"/>
      <c r="BS85" s="9"/>
      <c r="BT85" s="9"/>
      <c r="BU85" s="9"/>
      <c r="BV85" s="9"/>
      <c r="BW85" s="9"/>
      <c r="BX85" s="9"/>
      <c r="BY85" s="9"/>
      <c r="BZ85" s="9"/>
      <c r="CA85" s="9"/>
      <c r="CB85" s="9"/>
      <c r="CC85" s="9"/>
      <c r="CD85" s="9"/>
      <c r="CE85" s="9"/>
    </row>
    <row r="86" spans="1:83" ht="12.95" customHeight="1" x14ac:dyDescent="0.2">
      <c r="B86" s="2"/>
      <c r="E86" s="7"/>
      <c r="F86" s="28"/>
    </row>
    <row r="87" spans="1:83" ht="12.95" customHeight="1" x14ac:dyDescent="0.2">
      <c r="B87" s="2" t="str">
        <f>VLOOKUP(36,Textbausteine_Menu[],Hilfsgrössen!$D$2,FALSE)</f>
        <v>Groupe</v>
      </c>
      <c r="C87" s="2"/>
      <c r="E87" s="7"/>
      <c r="F87" s="28"/>
    </row>
    <row r="88" spans="1:83" ht="12.95" customHeight="1" x14ac:dyDescent="0.2">
      <c r="C88" s="1" t="str">
        <f>VLOOKUP(82,Textbausteine_305[],Hilfsgrössen!$D$2,FALSE)</f>
        <v>Intensité en CO2 des produits d’exploitation (scopes 1 et 2)</v>
      </c>
      <c r="D88" s="1" t="str">
        <f>VLOOKUP(12,Textbausteine_305[],Hilfsgrössen!$D$2,FALSE)</f>
        <v>Equivalent de tonnes de CO2 par million de CHF</v>
      </c>
      <c r="E88" s="11" t="s">
        <v>72</v>
      </c>
      <c r="F88" s="9" t="s">
        <v>132</v>
      </c>
      <c r="G88" s="33"/>
      <c r="H88" s="185">
        <v>54.745077838827839</v>
      </c>
      <c r="I88" s="185">
        <v>53.872310733806259</v>
      </c>
      <c r="J88" s="185">
        <v>55.739272388059703</v>
      </c>
      <c r="K88" s="185">
        <v>52.381807580174929</v>
      </c>
      <c r="L88" s="185">
        <v>52.825468880659422</v>
      </c>
      <c r="M88" s="185">
        <v>53.590466926070036</v>
      </c>
      <c r="N88" s="186">
        <v>54.488441826554713</v>
      </c>
      <c r="O88" s="186">
        <v>54.135633497119294</v>
      </c>
      <c r="P88" s="186">
        <v>60.649960644988973</v>
      </c>
      <c r="Q88" s="186">
        <v>58.977092633928571</v>
      </c>
      <c r="R88" s="186">
        <v>57.896980436631686</v>
      </c>
      <c r="S88" s="186">
        <v>66.404606659880756</v>
      </c>
      <c r="T88" s="186">
        <v>29.593073141608645</v>
      </c>
    </row>
    <row r="89" spans="1:83" ht="12.95" customHeight="1" x14ac:dyDescent="0.2">
      <c r="C89" s="1" t="str">
        <f>VLOOKUP(88,Textbausteine_305[],Hilfsgrössen!$D$2,FALSE)</f>
        <v>Intensité en CO2 des produits d’exploitation (scope 3)</v>
      </c>
      <c r="D89" s="1" t="str">
        <f>VLOOKUP(12,Textbausteine_305[],Hilfsgrössen!$D$2,FALSE)</f>
        <v>Equivalent de tonnes de CO2 par million de CHF</v>
      </c>
      <c r="E89" s="11" t="s">
        <v>72</v>
      </c>
      <c r="F89" s="9" t="s">
        <v>132</v>
      </c>
      <c r="G89" s="33"/>
      <c r="H89" s="9" t="s">
        <v>29</v>
      </c>
      <c r="I89" s="9" t="s">
        <v>29</v>
      </c>
      <c r="J89" s="9" t="s">
        <v>29</v>
      </c>
      <c r="K89" s="9" t="s">
        <v>29</v>
      </c>
      <c r="L89" s="9" t="s">
        <v>29</v>
      </c>
      <c r="M89" s="9" t="s">
        <v>29</v>
      </c>
      <c r="N89" s="9" t="s">
        <v>29</v>
      </c>
      <c r="O89" s="9" t="s">
        <v>29</v>
      </c>
      <c r="P89" s="9" t="s">
        <v>29</v>
      </c>
      <c r="Q89" s="9" t="s">
        <v>29</v>
      </c>
      <c r="R89" s="9" t="s">
        <v>29</v>
      </c>
      <c r="S89" s="9" t="s">
        <v>29</v>
      </c>
      <c r="T89" s="9">
        <v>277.96316713381412</v>
      </c>
    </row>
    <row r="90" spans="1:83" ht="12.95" customHeight="1" x14ac:dyDescent="0.2">
      <c r="C90" s="1" t="str">
        <f>VLOOKUP(83,Textbausteine_305[],Hilfsgrössen!$D$2,FALSE)</f>
        <v>Intensité en CO2 des postes de travail (scopes 1 et 2)</v>
      </c>
      <c r="D90" s="1" t="str">
        <f>VLOOKUP(13,Textbausteine_305[],Hilfsgrössen!$D$2,FALSE)</f>
        <v xml:space="preserve">Equivalent de tonnes de CO2 par unité de personnel </v>
      </c>
      <c r="E90" s="11" t="s">
        <v>72</v>
      </c>
      <c r="F90" s="9" t="s">
        <v>132</v>
      </c>
      <c r="H90" s="185">
        <v>10.6</v>
      </c>
      <c r="I90" s="185">
        <v>10.4</v>
      </c>
      <c r="J90" s="185">
        <v>10.7</v>
      </c>
      <c r="K90" s="185">
        <v>10.199999999999999</v>
      </c>
      <c r="L90" s="185">
        <v>9.9</v>
      </c>
      <c r="M90" s="185">
        <v>9.99</v>
      </c>
      <c r="N90" s="187">
        <v>10.261708102292999</v>
      </c>
      <c r="O90" s="187">
        <v>10.297000000000001</v>
      </c>
      <c r="P90" s="187">
        <v>11.017600283450616</v>
      </c>
      <c r="Q90" s="187">
        <v>10.656612049407613</v>
      </c>
      <c r="R90" s="187">
        <v>10.448087697306146</v>
      </c>
      <c r="S90" s="187">
        <v>11.375659625348744</v>
      </c>
      <c r="T90" s="187">
        <v>5.9573517456648775</v>
      </c>
    </row>
    <row r="91" spans="1:83" ht="12.95" customHeight="1" x14ac:dyDescent="0.2">
      <c r="C91" s="1" t="str">
        <f>VLOOKUP(89,Textbausteine_305[],Hilfsgrössen!$D$2,FALSE)</f>
        <v>Intensité en CO2 des postes de travail (scope 3)</v>
      </c>
      <c r="D91" s="1" t="str">
        <f>VLOOKUP(13,Textbausteine_305[],Hilfsgrössen!$D$2,FALSE)</f>
        <v xml:space="preserve">Equivalent de tonnes de CO2 par unité de personnel </v>
      </c>
      <c r="E91" s="11" t="s">
        <v>72</v>
      </c>
      <c r="F91" s="9" t="s">
        <v>132</v>
      </c>
      <c r="G91" s="33"/>
      <c r="H91" s="9" t="s">
        <v>29</v>
      </c>
      <c r="I91" s="9" t="s">
        <v>29</v>
      </c>
      <c r="J91" s="9" t="s">
        <v>29</v>
      </c>
      <c r="K91" s="9" t="s">
        <v>29</v>
      </c>
      <c r="L91" s="9" t="s">
        <v>29</v>
      </c>
      <c r="M91" s="9" t="s">
        <v>29</v>
      </c>
      <c r="N91" s="9" t="s">
        <v>29</v>
      </c>
      <c r="O91" s="9" t="s">
        <v>29</v>
      </c>
      <c r="P91" s="9" t="s">
        <v>29</v>
      </c>
      <c r="Q91" s="9" t="s">
        <v>29</v>
      </c>
      <c r="R91" s="9" t="s">
        <v>29</v>
      </c>
      <c r="S91" s="9" t="s">
        <v>29</v>
      </c>
      <c r="T91" s="9">
        <v>55.956485189329392</v>
      </c>
    </row>
    <row r="92" spans="1:83" ht="12.95" customHeight="1" x14ac:dyDescent="0.2">
      <c r="C92" s="273"/>
      <c r="D92" s="273"/>
      <c r="E92" s="274"/>
      <c r="F92" s="274"/>
      <c r="H92" s="185"/>
      <c r="I92" s="185"/>
      <c r="J92" s="185"/>
      <c r="K92" s="185"/>
      <c r="L92" s="185"/>
      <c r="M92" s="185"/>
      <c r="N92" s="187"/>
      <c r="O92" s="187"/>
      <c r="P92" s="187"/>
      <c r="Q92" s="187"/>
      <c r="R92" s="187"/>
      <c r="S92" s="187"/>
      <c r="T92" s="187"/>
    </row>
    <row r="93" spans="1:83" ht="12.95" customHeight="1" x14ac:dyDescent="0.25">
      <c r="B93" s="275" t="str">
        <f>VLOOKUP(125,Textbausteine_305[],Hilfsgrössen!$D$2,FALSE)</f>
        <v>1) Pas de modifications rétroactives, car la valeur ajoutée, les produits d’exploitation et les postes de travail ne sont pas modifiés rétroactivement (p. ex. lors d’acquisitions)</v>
      </c>
      <c r="C93" s="113"/>
      <c r="D93" s="16"/>
      <c r="G93" s="33"/>
      <c r="N93" s="9"/>
      <c r="O93" s="9"/>
      <c r="P93" s="9"/>
      <c r="Q93" s="9"/>
      <c r="R93" s="9"/>
      <c r="S93" s="9"/>
      <c r="T93" s="9"/>
    </row>
    <row r="94" spans="1:83" s="366" customFormat="1" ht="12.95" customHeight="1" x14ac:dyDescent="0.25">
      <c r="A94" s="47"/>
      <c r="B94" s="275" t="str">
        <f>VLOOKUP(126,Textbausteine_305[],Hilfsgrössen!$D$2,FALSE)</f>
        <v xml:space="preserve">2) À partir de 2022, les intensités en équivalent CO2 seront rapportées séparément: scopes 1 et 2 (dans l’exploitation propre) et scope 3 (dans le reste de la chaîne de création de valeur). </v>
      </c>
      <c r="C94" s="299"/>
      <c r="E94" s="367"/>
      <c r="F94" s="367"/>
      <c r="G94" s="368"/>
      <c r="H94" s="367"/>
      <c r="I94" s="367"/>
      <c r="J94" s="367"/>
      <c r="K94" s="367"/>
      <c r="L94" s="367"/>
      <c r="M94" s="367"/>
      <c r="N94" s="367"/>
      <c r="O94" s="367"/>
      <c r="P94" s="367"/>
      <c r="Q94" s="367"/>
      <c r="R94" s="367"/>
      <c r="S94" s="367"/>
      <c r="T94" s="367"/>
      <c r="U94" s="367"/>
      <c r="V94" s="367"/>
      <c r="W94" s="367"/>
      <c r="X94" s="367"/>
      <c r="Y94" s="367"/>
      <c r="Z94" s="367"/>
      <c r="AA94" s="367"/>
      <c r="AB94" s="367"/>
      <c r="AC94" s="367"/>
      <c r="AD94" s="367"/>
      <c r="AE94" s="367"/>
      <c r="AF94" s="367"/>
      <c r="AG94" s="367"/>
      <c r="AH94" s="367"/>
      <c r="AI94" s="367"/>
      <c r="AJ94" s="367"/>
      <c r="AK94" s="367"/>
      <c r="AL94" s="367"/>
      <c r="AM94" s="367"/>
      <c r="AN94" s="367"/>
      <c r="AO94" s="367"/>
      <c r="AP94" s="367"/>
      <c r="AQ94" s="367"/>
      <c r="AR94" s="367"/>
      <c r="AS94" s="367"/>
      <c r="AT94" s="367"/>
      <c r="AU94" s="367"/>
      <c r="AV94" s="367"/>
      <c r="AW94" s="367"/>
      <c r="AX94" s="367"/>
      <c r="AY94" s="367"/>
      <c r="AZ94" s="367"/>
      <c r="BA94" s="367"/>
      <c r="BB94" s="367"/>
      <c r="BC94" s="367"/>
      <c r="BD94" s="367"/>
      <c r="BE94" s="367"/>
      <c r="BF94" s="367"/>
      <c r="BG94" s="367"/>
      <c r="BH94" s="367"/>
      <c r="BI94" s="367"/>
      <c r="BJ94" s="367"/>
      <c r="BK94" s="367"/>
      <c r="BL94" s="367"/>
      <c r="BM94" s="367"/>
      <c r="BN94" s="367"/>
      <c r="BO94" s="367"/>
      <c r="BP94" s="367"/>
      <c r="BQ94" s="367"/>
      <c r="BR94" s="367"/>
      <c r="BS94" s="367"/>
      <c r="BT94" s="367"/>
      <c r="BU94" s="367"/>
      <c r="BV94" s="367"/>
      <c r="BW94" s="367"/>
      <c r="BX94" s="367"/>
      <c r="BY94" s="367"/>
      <c r="BZ94" s="367"/>
      <c r="CA94" s="367"/>
      <c r="CB94" s="367"/>
      <c r="CC94" s="367"/>
      <c r="CD94" s="367"/>
      <c r="CE94" s="367"/>
    </row>
    <row r="95" spans="1:83" ht="12.95" customHeight="1" x14ac:dyDescent="0.25">
      <c r="B95" s="275"/>
      <c r="C95" s="113"/>
      <c r="D95" s="16"/>
      <c r="N95" s="9"/>
      <c r="O95" s="9"/>
      <c r="P95" s="9"/>
      <c r="Q95" s="9"/>
      <c r="R95" s="9"/>
      <c r="S95" s="9"/>
      <c r="T95" s="9"/>
    </row>
    <row r="96" spans="1:83" ht="12.95" customHeight="1" x14ac:dyDescent="0.2">
      <c r="E96" s="31"/>
      <c r="F96" s="31"/>
      <c r="N96" s="9"/>
      <c r="O96" s="9"/>
      <c r="P96" s="9"/>
      <c r="Q96" s="9"/>
      <c r="R96" s="9"/>
      <c r="S96" s="9"/>
      <c r="T96" s="9"/>
    </row>
    <row r="97" spans="1:83" s="6" customFormat="1" ht="12.95" customHeight="1" x14ac:dyDescent="0.2">
      <c r="A97" s="107" t="s">
        <v>27</v>
      </c>
      <c r="B97" s="401" t="str">
        <f>$C$9</f>
        <v>Emissions de gaz à effet de serre compensées</v>
      </c>
      <c r="C97" s="401"/>
      <c r="D97" s="6" t="str">
        <f>VLOOKUP(32,Textbausteine_Menu[],Hilfsgrössen!$D$2,FALSE)</f>
        <v>Unité</v>
      </c>
      <c r="E97" s="74" t="str">
        <f>VLOOKUP(33,Textbausteine_Menu[],Hilfsgrössen!$D$2,FALSE)</f>
        <v>Notes</v>
      </c>
      <c r="F97" s="74" t="str">
        <f>VLOOKUP(34,Textbausteine_Menu[],Hilfsgrössen!$D$2,FALSE)</f>
        <v>GRI</v>
      </c>
      <c r="G97" s="34"/>
      <c r="H97" s="28">
        <v>2010</v>
      </c>
      <c r="I97" s="28">
        <v>2011</v>
      </c>
      <c r="J97" s="28">
        <v>2012</v>
      </c>
      <c r="K97" s="28">
        <v>2013</v>
      </c>
      <c r="L97" s="28">
        <v>2014</v>
      </c>
      <c r="M97" s="28">
        <v>2015</v>
      </c>
      <c r="N97" s="28">
        <v>2016</v>
      </c>
      <c r="O97" s="28">
        <v>2017</v>
      </c>
      <c r="P97" s="28">
        <v>2018</v>
      </c>
      <c r="Q97" s="28">
        <v>2019</v>
      </c>
      <c r="R97" s="28">
        <v>2020</v>
      </c>
      <c r="S97" s="28">
        <v>2021</v>
      </c>
      <c r="T97" s="28">
        <v>2022</v>
      </c>
      <c r="U97" s="28"/>
      <c r="V97" s="28"/>
      <c r="W97" s="28"/>
      <c r="X97" s="28"/>
      <c r="Y97" s="28"/>
      <c r="Z97" s="28"/>
      <c r="AA97" s="28"/>
      <c r="AB97" s="28"/>
      <c r="AC97" s="28"/>
      <c r="AD97" s="28"/>
      <c r="AE97" s="28"/>
      <c r="AF97" s="28"/>
      <c r="AG97" s="28"/>
      <c r="AH97" s="28"/>
      <c r="AI97" s="28"/>
      <c r="AJ97" s="28"/>
      <c r="AK97" s="28"/>
      <c r="AL97" s="28"/>
      <c r="AM97" s="28"/>
      <c r="AN97" s="28"/>
      <c r="AO97" s="28"/>
      <c r="AP97" s="28"/>
      <c r="AQ97" s="28"/>
      <c r="AR97" s="28"/>
      <c r="AS97" s="28"/>
      <c r="AT97" s="28"/>
      <c r="AU97" s="28"/>
      <c r="AV97" s="28"/>
      <c r="AW97" s="28"/>
      <c r="AX97" s="28"/>
      <c r="AY97" s="28"/>
      <c r="AZ97" s="28"/>
      <c r="BA97" s="28"/>
      <c r="BB97" s="28"/>
      <c r="BC97" s="28"/>
      <c r="BD97" s="28"/>
      <c r="BE97" s="28"/>
      <c r="BF97" s="28"/>
      <c r="BG97" s="28"/>
      <c r="BH97" s="28"/>
      <c r="BI97" s="28"/>
      <c r="BJ97" s="28"/>
      <c r="BK97" s="28"/>
      <c r="BL97" s="28"/>
      <c r="BM97" s="28"/>
      <c r="BN97" s="28"/>
      <c r="BO97" s="28"/>
      <c r="BP97" s="28"/>
      <c r="BQ97" s="28"/>
      <c r="BR97" s="28"/>
      <c r="BS97" s="28"/>
      <c r="BT97" s="28"/>
      <c r="BU97" s="28"/>
      <c r="BV97" s="28"/>
      <c r="BW97" s="28"/>
      <c r="BX97" s="28"/>
      <c r="BY97" s="28"/>
      <c r="BZ97" s="28"/>
      <c r="CA97" s="28"/>
      <c r="CB97" s="28"/>
      <c r="CC97" s="28"/>
      <c r="CD97" s="28"/>
      <c r="CE97" s="28"/>
    </row>
    <row r="98" spans="1:83" s="6" customFormat="1" ht="12.95" customHeight="1" x14ac:dyDescent="0.2">
      <c r="A98" s="38"/>
      <c r="B98" s="401"/>
      <c r="C98" s="401"/>
      <c r="E98" s="31"/>
      <c r="F98" s="31"/>
      <c r="G98" s="34"/>
      <c r="H98" s="9"/>
      <c r="I98" s="9"/>
      <c r="J98" s="9"/>
      <c r="K98" s="9"/>
      <c r="L98" s="9"/>
      <c r="M98" s="9"/>
      <c r="N98" s="9"/>
      <c r="O98" s="9"/>
      <c r="P98" s="9"/>
      <c r="Q98" s="9"/>
      <c r="R98" s="9"/>
      <c r="S98" s="9"/>
      <c r="T98" s="9"/>
      <c r="U98" s="9"/>
      <c r="V98" s="9"/>
      <c r="W98" s="9"/>
      <c r="X98" s="9"/>
      <c r="Y98" s="9"/>
      <c r="Z98" s="9"/>
      <c r="AA98" s="9"/>
      <c r="AB98" s="9"/>
      <c r="AC98" s="9"/>
      <c r="AD98" s="9"/>
      <c r="AE98" s="9"/>
      <c r="AF98" s="9"/>
      <c r="AG98" s="9"/>
      <c r="AH98" s="9"/>
      <c r="AI98" s="9"/>
      <c r="AJ98" s="9"/>
      <c r="AK98" s="9"/>
      <c r="AL98" s="9"/>
      <c r="AM98" s="9"/>
      <c r="AN98" s="9"/>
      <c r="AO98" s="9"/>
      <c r="AP98" s="9"/>
      <c r="AQ98" s="9"/>
      <c r="AR98" s="9"/>
      <c r="AS98" s="9"/>
      <c r="AT98" s="9"/>
      <c r="AU98" s="9"/>
      <c r="AV98" s="9"/>
      <c r="AW98" s="9"/>
      <c r="AX98" s="9"/>
      <c r="AY98" s="9"/>
      <c r="AZ98" s="9"/>
      <c r="BA98" s="9"/>
      <c r="BB98" s="9"/>
      <c r="BC98" s="9"/>
      <c r="BD98" s="9"/>
      <c r="BE98" s="9"/>
      <c r="BF98" s="9"/>
      <c r="BG98" s="9"/>
      <c r="BH98" s="9"/>
      <c r="BI98" s="9"/>
      <c r="BJ98" s="9"/>
      <c r="BK98" s="9"/>
      <c r="BL98" s="9"/>
      <c r="BM98" s="9"/>
      <c r="BN98" s="9"/>
      <c r="BO98" s="9"/>
      <c r="BP98" s="9"/>
      <c r="BQ98" s="9"/>
      <c r="BR98" s="9"/>
      <c r="BS98" s="9"/>
      <c r="BT98" s="9"/>
      <c r="BU98" s="9"/>
      <c r="BV98" s="9"/>
      <c r="BW98" s="9"/>
      <c r="BX98" s="9"/>
      <c r="BY98" s="9"/>
      <c r="BZ98" s="9"/>
      <c r="CA98" s="9"/>
      <c r="CB98" s="9"/>
      <c r="CC98" s="9"/>
      <c r="CD98" s="9"/>
      <c r="CE98" s="9"/>
    </row>
    <row r="99" spans="1:83" ht="12.95" customHeight="1" x14ac:dyDescent="0.2">
      <c r="B99" s="2"/>
      <c r="N99" s="9"/>
      <c r="O99" s="9"/>
      <c r="P99" s="9"/>
      <c r="Q99" s="9"/>
      <c r="R99" s="9"/>
      <c r="S99" s="9"/>
      <c r="T99" s="9"/>
    </row>
    <row r="100" spans="1:83" ht="12.95" customHeight="1" x14ac:dyDescent="0.2">
      <c r="B100" s="2" t="str">
        <f>VLOOKUP(36,Textbausteine_Menu[],Hilfsgrössen!$D$2,FALSE)</f>
        <v>Groupe</v>
      </c>
      <c r="C100" s="2"/>
      <c r="N100" s="9"/>
      <c r="O100" s="9"/>
      <c r="P100" s="9"/>
      <c r="Q100" s="9"/>
      <c r="R100" s="9"/>
      <c r="S100" s="9"/>
      <c r="T100" s="9"/>
    </row>
    <row r="101" spans="1:83" ht="12.95" customHeight="1" x14ac:dyDescent="0.2">
      <c r="C101" s="16" t="str">
        <f>VLOOKUP(91,Textbausteine_305[],Hilfsgrössen!$D$2,FALSE)</f>
        <v>Compensations des émissions de CO2</v>
      </c>
      <c r="D101" s="1" t="str">
        <f>VLOOKUP(11,Textbausteine_305[],Hilfsgrössen!$D$2,FALSE)</f>
        <v>Equivalent de tonnes de CO2</v>
      </c>
      <c r="E101" s="11" t="s">
        <v>72</v>
      </c>
      <c r="F101" s="9" t="s">
        <v>133</v>
      </c>
      <c r="H101" s="9">
        <v>27000</v>
      </c>
      <c r="I101" s="9">
        <v>9500</v>
      </c>
      <c r="J101" s="9">
        <v>38300</v>
      </c>
      <c r="K101" s="9">
        <v>41800</v>
      </c>
      <c r="L101" s="9">
        <v>35900</v>
      </c>
      <c r="M101" s="9">
        <v>35600</v>
      </c>
      <c r="N101" s="75">
        <v>35766</v>
      </c>
      <c r="O101" s="75">
        <v>41000</v>
      </c>
      <c r="P101" s="75">
        <v>38906</v>
      </c>
      <c r="Q101" s="75">
        <v>39085</v>
      </c>
      <c r="R101" s="75">
        <v>37391</v>
      </c>
      <c r="S101" s="190">
        <v>170002</v>
      </c>
      <c r="T101" s="190">
        <v>210724</v>
      </c>
    </row>
    <row r="103" spans="1:83" ht="12.95" customHeight="1" x14ac:dyDescent="0.25">
      <c r="B103" s="275" t="str">
        <f>VLOOKUP(134,Textbausteine_305[],Hilfsgrössen!$D$2,FALSE)</f>
        <v>1) Depuis 2021, tous les envois de la Poste sont expédiés avec le label «pro clima», qui fait l’objet d’une compensation des émissions de CO2. Tous les suppléments pour la compensation du CO2 sont entièrement pris en charge par la Poste.</v>
      </c>
      <c r="C103" s="18"/>
      <c r="D103" s="18"/>
    </row>
    <row r="104" spans="1:83" ht="12.95" customHeight="1" x14ac:dyDescent="0.25">
      <c r="B104" s="275">
        <f>VLOOKUP(139,Textbausteine_305[],Hilfsgrössen!$D$2,FALSE)</f>
        <v>0</v>
      </c>
      <c r="N104" s="9"/>
      <c r="O104" s="9"/>
      <c r="P104" s="9"/>
      <c r="Q104" s="9"/>
      <c r="R104" s="9"/>
      <c r="S104" s="9"/>
      <c r="T104" s="9"/>
    </row>
    <row r="105" spans="1:83" ht="12.95" customHeight="1" x14ac:dyDescent="0.2">
      <c r="N105" s="9"/>
      <c r="O105" s="9"/>
      <c r="P105" s="9"/>
      <c r="Q105" s="9"/>
      <c r="R105" s="9"/>
      <c r="S105" s="9"/>
      <c r="T105" s="9"/>
    </row>
    <row r="106" spans="1:83" s="6" customFormat="1" ht="12.95" customHeight="1" x14ac:dyDescent="0.2">
      <c r="A106" s="107" t="s">
        <v>27</v>
      </c>
      <c r="B106" s="401" t="str">
        <f>$C$10</f>
        <v>Autres indicateurs des gaz à effet de serre</v>
      </c>
      <c r="C106" s="401"/>
      <c r="D106" s="6" t="str">
        <f>VLOOKUP(32,Textbausteine_Menu[],Hilfsgrössen!$D$2,FALSE)</f>
        <v>Unité</v>
      </c>
      <c r="E106" s="7" t="str">
        <f>VLOOKUP(33,Textbausteine_Menu[],Hilfsgrössen!$D$2,FALSE)</f>
        <v>Notes</v>
      </c>
      <c r="F106" s="28" t="str">
        <f>VLOOKUP(34,Textbausteine_Menu[],Hilfsgrössen!$D$2,FALSE)</f>
        <v>GRI</v>
      </c>
      <c r="G106" s="34"/>
      <c r="H106" s="28">
        <v>2010</v>
      </c>
      <c r="I106" s="28">
        <v>2011</v>
      </c>
      <c r="J106" s="28">
        <v>2012</v>
      </c>
      <c r="K106" s="28">
        <v>2013</v>
      </c>
      <c r="L106" s="28">
        <v>2014</v>
      </c>
      <c r="M106" s="28">
        <v>2015</v>
      </c>
      <c r="N106" s="28">
        <v>2016</v>
      </c>
      <c r="O106" s="28">
        <v>2017</v>
      </c>
      <c r="P106" s="28">
        <v>2018</v>
      </c>
      <c r="Q106" s="28">
        <v>2019</v>
      </c>
      <c r="R106" s="28">
        <v>2020</v>
      </c>
      <c r="S106" s="28">
        <v>2021</v>
      </c>
      <c r="T106" s="28">
        <v>2022</v>
      </c>
      <c r="U106" s="28"/>
      <c r="V106" s="28"/>
      <c r="W106" s="28"/>
      <c r="X106" s="28"/>
      <c r="Y106" s="28"/>
      <c r="Z106" s="28"/>
      <c r="AA106" s="28"/>
      <c r="AB106" s="28"/>
      <c r="AC106" s="28"/>
      <c r="AD106" s="28"/>
      <c r="AE106" s="28"/>
      <c r="AF106" s="28"/>
      <c r="AG106" s="28"/>
      <c r="AH106" s="28"/>
      <c r="AI106" s="28"/>
      <c r="AJ106" s="28"/>
      <c r="AK106" s="28"/>
      <c r="AL106" s="28"/>
      <c r="AM106" s="28"/>
      <c r="AN106" s="28"/>
      <c r="AO106" s="28"/>
      <c r="AP106" s="28"/>
      <c r="AQ106" s="28"/>
      <c r="AR106" s="28"/>
      <c r="AS106" s="28"/>
      <c r="AT106" s="28"/>
      <c r="AU106" s="28"/>
      <c r="AV106" s="28"/>
      <c r="AW106" s="28"/>
      <c r="AX106" s="28"/>
      <c r="AY106" s="28"/>
      <c r="AZ106" s="28"/>
      <c r="BA106" s="28"/>
      <c r="BB106" s="28"/>
      <c r="BC106" s="28"/>
      <c r="BD106" s="28"/>
      <c r="BE106" s="28"/>
      <c r="BF106" s="28"/>
      <c r="BG106" s="28"/>
      <c r="BH106" s="28"/>
      <c r="BI106" s="28"/>
      <c r="BJ106" s="28"/>
      <c r="BK106" s="28"/>
      <c r="BL106" s="28"/>
      <c r="BM106" s="28"/>
      <c r="BN106" s="28"/>
      <c r="BO106" s="28"/>
      <c r="BP106" s="28"/>
      <c r="BQ106" s="28"/>
      <c r="BR106" s="28"/>
      <c r="BS106" s="28"/>
      <c r="BT106" s="28"/>
      <c r="BU106" s="28"/>
      <c r="BV106" s="28"/>
      <c r="BW106" s="28"/>
      <c r="BX106" s="28"/>
      <c r="BY106" s="28"/>
      <c r="BZ106" s="28"/>
      <c r="CA106" s="28"/>
      <c r="CB106" s="28"/>
      <c r="CC106" s="28"/>
      <c r="CD106" s="28"/>
      <c r="CE106" s="28"/>
    </row>
    <row r="107" spans="1:83" s="6" customFormat="1" ht="12.95" customHeight="1" x14ac:dyDescent="0.2">
      <c r="A107" s="38"/>
      <c r="B107" s="401"/>
      <c r="C107" s="401"/>
      <c r="E107" s="11"/>
      <c r="F107" s="9"/>
      <c r="G107" s="34"/>
      <c r="H107" s="9"/>
      <c r="I107" s="9"/>
      <c r="J107" s="9"/>
      <c r="K107" s="9"/>
      <c r="L107" s="9"/>
      <c r="M107" s="9"/>
      <c r="N107" s="9"/>
      <c r="O107" s="9"/>
      <c r="P107" s="9"/>
      <c r="Q107" s="9"/>
      <c r="R107" s="9"/>
      <c r="S107" s="9"/>
      <c r="T107" s="9"/>
      <c r="U107" s="9"/>
      <c r="V107" s="9"/>
      <c r="W107" s="9"/>
      <c r="X107" s="9"/>
      <c r="Y107" s="9"/>
      <c r="Z107" s="9"/>
      <c r="AA107" s="9"/>
      <c r="AB107" s="9"/>
      <c r="AC107" s="9"/>
      <c r="AD107" s="9"/>
      <c r="AE107" s="9"/>
      <c r="AF107" s="9"/>
      <c r="AG107" s="9"/>
      <c r="AH107" s="9"/>
      <c r="AI107" s="9"/>
      <c r="AJ107" s="9"/>
      <c r="AK107" s="9"/>
      <c r="AL107" s="9"/>
      <c r="AM107" s="9"/>
      <c r="AN107" s="9"/>
      <c r="AO107" s="9"/>
      <c r="AP107" s="9"/>
      <c r="AQ107" s="9"/>
      <c r="AR107" s="9"/>
      <c r="AS107" s="9"/>
      <c r="AT107" s="9"/>
      <c r="AU107" s="9"/>
      <c r="AV107" s="9"/>
      <c r="AW107" s="9"/>
      <c r="AX107" s="9"/>
      <c r="AY107" s="9"/>
      <c r="AZ107" s="9"/>
      <c r="BA107" s="9"/>
      <c r="BB107" s="9"/>
      <c r="BC107" s="9"/>
      <c r="BD107" s="9"/>
      <c r="BE107" s="9"/>
      <c r="BF107" s="9"/>
      <c r="BG107" s="9"/>
      <c r="BH107" s="9"/>
      <c r="BI107" s="9"/>
      <c r="BJ107" s="9"/>
      <c r="BK107" s="9"/>
      <c r="BL107" s="9"/>
      <c r="BM107" s="9"/>
      <c r="BN107" s="9"/>
      <c r="BO107" s="9"/>
      <c r="BP107" s="9"/>
      <c r="BQ107" s="9"/>
      <c r="BR107" s="9"/>
      <c r="BS107" s="9"/>
      <c r="BT107" s="9"/>
      <c r="BU107" s="9"/>
      <c r="BV107" s="9"/>
      <c r="BW107" s="9"/>
      <c r="BX107" s="9"/>
      <c r="BY107" s="9"/>
      <c r="BZ107" s="9"/>
      <c r="CA107" s="9"/>
      <c r="CB107" s="9"/>
      <c r="CC107" s="9"/>
      <c r="CD107" s="9"/>
      <c r="CE107" s="9"/>
    </row>
    <row r="108" spans="1:83" ht="12.95" customHeight="1" x14ac:dyDescent="0.2">
      <c r="B108" s="2"/>
      <c r="N108" s="9"/>
      <c r="O108" s="9"/>
      <c r="P108" s="9"/>
      <c r="Q108" s="9"/>
      <c r="R108" s="9"/>
      <c r="S108" s="9"/>
      <c r="T108" s="9"/>
    </row>
    <row r="109" spans="1:83" ht="12.95" customHeight="1" x14ac:dyDescent="0.2">
      <c r="B109" s="2" t="str">
        <f>VLOOKUP(36,Textbausteine_Menu[],Hilfsgrössen!$D$2,FALSE)</f>
        <v>Groupe</v>
      </c>
      <c r="C109" s="2"/>
      <c r="N109" s="9"/>
      <c r="O109" s="9"/>
      <c r="P109" s="9"/>
      <c r="Q109" s="9"/>
      <c r="R109" s="9"/>
      <c r="S109" s="9"/>
      <c r="T109" s="9"/>
    </row>
    <row r="110" spans="1:83" ht="12.95" customHeight="1" x14ac:dyDescent="0.2">
      <c r="C110" s="253" t="str">
        <f>VLOOKUP(101,Textbausteine_305[],Hilfsgrössen!$D$2,FALSE)</f>
        <v>Amélioration de l'efficacité en matière de CO2 2010-2020</v>
      </c>
      <c r="D110" s="253" t="str">
        <f>VLOOKUP(15,Textbausteine_305[],Hilfsgrössen!$D$2,FALSE)</f>
        <v>%</v>
      </c>
      <c r="E110" s="240" t="s">
        <v>134</v>
      </c>
      <c r="H110" s="9">
        <v>0</v>
      </c>
      <c r="I110" s="91">
        <v>3.46</v>
      </c>
      <c r="J110" s="9">
        <v>3.11</v>
      </c>
      <c r="K110" s="9">
        <v>10.1</v>
      </c>
      <c r="L110" s="9">
        <v>12.1</v>
      </c>
      <c r="M110" s="9">
        <v>13.7</v>
      </c>
      <c r="N110" s="9">
        <v>16.5</v>
      </c>
      <c r="O110" s="9">
        <v>19.2</v>
      </c>
      <c r="P110" s="9">
        <v>20.399999999999999</v>
      </c>
      <c r="Q110" s="9">
        <v>27.6</v>
      </c>
      <c r="R110" s="9">
        <v>29.8</v>
      </c>
      <c r="S110" s="367" t="s">
        <v>29</v>
      </c>
      <c r="T110" s="367" t="s">
        <v>29</v>
      </c>
    </row>
    <row r="111" spans="1:83" ht="12.95" customHeight="1" x14ac:dyDescent="0.2">
      <c r="C111" s="253" t="str">
        <f>VLOOKUP(102,Textbausteine_305[],Hilfsgrössen!$D$2,FALSE)</f>
        <v xml:space="preserve">Changement concernant les émissions de gaz à effet de serre des scopes 1 et 2 </v>
      </c>
      <c r="D111" s="253" t="s">
        <v>31</v>
      </c>
      <c r="E111" s="240">
        <v>3</v>
      </c>
      <c r="H111" s="9" t="s">
        <v>29</v>
      </c>
      <c r="I111" s="9" t="s">
        <v>29</v>
      </c>
      <c r="J111" s="9" t="s">
        <v>29</v>
      </c>
      <c r="K111" s="9" t="s">
        <v>29</v>
      </c>
      <c r="L111" s="9" t="s">
        <v>29</v>
      </c>
      <c r="M111" s="9" t="s">
        <v>29</v>
      </c>
      <c r="N111" s="9" t="s">
        <v>29</v>
      </c>
      <c r="O111" s="9" t="s">
        <v>29</v>
      </c>
      <c r="P111" s="9" t="s">
        <v>29</v>
      </c>
      <c r="Q111" s="9">
        <v>0</v>
      </c>
      <c r="R111" s="9" t="s">
        <v>29</v>
      </c>
      <c r="S111" s="367">
        <v>0</v>
      </c>
      <c r="T111" s="367">
        <v>0.6</v>
      </c>
    </row>
    <row r="112" spans="1:83" ht="12.95" customHeight="1" x14ac:dyDescent="0.2">
      <c r="C112" s="253" t="str">
        <f>VLOOKUP(103,Textbausteine_305[],Hilfsgrössen!$D$2,FALSE)</f>
        <v xml:space="preserve">Changement concernant les émissions de gaz à effet de serre du scope 3 </v>
      </c>
      <c r="D112" s="253" t="s">
        <v>31</v>
      </c>
      <c r="E112" s="240">
        <v>3</v>
      </c>
      <c r="H112" s="9" t="s">
        <v>29</v>
      </c>
      <c r="I112" s="9" t="s">
        <v>29</v>
      </c>
      <c r="J112" s="9" t="s">
        <v>29</v>
      </c>
      <c r="K112" s="9" t="s">
        <v>29</v>
      </c>
      <c r="L112" s="9" t="s">
        <v>29</v>
      </c>
      <c r="M112" s="9" t="s">
        <v>29</v>
      </c>
      <c r="N112" s="9" t="s">
        <v>29</v>
      </c>
      <c r="O112" s="9" t="s">
        <v>29</v>
      </c>
      <c r="P112" s="9" t="s">
        <v>29</v>
      </c>
      <c r="Q112" s="9">
        <v>0</v>
      </c>
      <c r="R112" s="9" t="s">
        <v>29</v>
      </c>
      <c r="S112" s="367">
        <v>0</v>
      </c>
      <c r="T112" s="367">
        <v>0.4</v>
      </c>
    </row>
    <row r="113" spans="1:83" ht="12.95" customHeight="1" x14ac:dyDescent="0.2">
      <c r="B113" s="6" t="str">
        <f>VLOOKUP(50,Textbausteine_Menu[],Hilfsgrössen!$D$2,FALSE)</f>
        <v>CarPostal</v>
      </c>
      <c r="E113" s="9"/>
      <c r="N113" s="9"/>
      <c r="O113" s="9"/>
      <c r="P113" s="9"/>
      <c r="Q113" s="9"/>
      <c r="R113" s="9"/>
      <c r="S113" s="367"/>
      <c r="T113" s="367"/>
    </row>
    <row r="114" spans="1:83" ht="12.95" customHeight="1" x14ac:dyDescent="0.2">
      <c r="C114" s="1" t="str">
        <f>VLOOKUP(104,Textbausteine_305[],Hilfsgrössen!$D$2,FALSE)</f>
        <v>Réductions d’émissions vendues (Fondation pour la protection du climat et la compensation de CO₂ KliK)</v>
      </c>
      <c r="D114" s="1" t="str">
        <f>VLOOKUP(11,Textbausteine_305[],Hilfsgrössen!$D$2,FALSE)</f>
        <v>Equivalent de tonnes de CO2</v>
      </c>
      <c r="E114" s="9">
        <v>4</v>
      </c>
      <c r="H114" s="9" t="s">
        <v>29</v>
      </c>
      <c r="I114" s="9" t="s">
        <v>29</v>
      </c>
      <c r="J114" s="9" t="s">
        <v>29</v>
      </c>
      <c r="K114" s="9" t="s">
        <v>29</v>
      </c>
      <c r="L114" s="9" t="s">
        <v>29</v>
      </c>
      <c r="M114" s="9" t="s">
        <v>29</v>
      </c>
      <c r="N114" s="9" t="s">
        <v>29</v>
      </c>
      <c r="O114" s="9" t="s">
        <v>29</v>
      </c>
      <c r="P114" s="9" t="s">
        <v>29</v>
      </c>
      <c r="Q114" s="9" t="s">
        <v>29</v>
      </c>
      <c r="R114" s="9" t="s">
        <v>29</v>
      </c>
      <c r="S114" s="9">
        <v>1.4</v>
      </c>
      <c r="T114" s="9">
        <v>40.299999999999997</v>
      </c>
    </row>
    <row r="115" spans="1:83" ht="12.95" customHeight="1" x14ac:dyDescent="0.2">
      <c r="N115" s="9"/>
      <c r="O115" s="9"/>
      <c r="P115" s="9"/>
      <c r="Q115" s="9"/>
      <c r="R115" s="9"/>
      <c r="S115" s="9"/>
      <c r="T115" s="9"/>
    </row>
    <row r="116" spans="1:83" ht="12.95" customHeight="1" x14ac:dyDescent="0.25">
      <c r="B116" s="275" t="str">
        <f>VLOOKUP(135,Textbausteine_305[],Hilfsgrössen!$D$2,FALSE)</f>
        <v>1) L'amélioration de l'efficacité en matière de CO2 est mesurée en tant que variation des équivalents de CO2 par prestation de base au cours de l'exercice en comparaison avec l'année de référence.  La prestation de base est définie de manière différente selon les unités du groupe (envoi, transaction, kilomètre-voyageur/kilomètre, unité de personnel, etc.).</v>
      </c>
      <c r="C116" s="18"/>
      <c r="D116" s="18"/>
      <c r="N116" s="9"/>
      <c r="O116" s="9"/>
      <c r="P116" s="9"/>
      <c r="Q116" s="9"/>
      <c r="R116" s="9"/>
      <c r="S116" s="9"/>
      <c r="T116" s="9"/>
    </row>
    <row r="117" spans="1:83" ht="12.95" customHeight="1" x14ac:dyDescent="0.25">
      <c r="B117" s="275" t="str">
        <f>VLOOKUP(136,Textbausteine_305[],Hilfsgrössen!$D$2,FALSE)</f>
        <v>2) L’augmentation de l’efficacité en matière de CO₂ à l’échelle du groupe n’est plus mesurée depuis 2021.</v>
      </c>
      <c r="N117" s="9"/>
      <c r="O117" s="9"/>
      <c r="P117" s="9"/>
      <c r="Q117" s="9"/>
      <c r="R117" s="9"/>
      <c r="S117" s="9"/>
      <c r="T117" s="9"/>
    </row>
    <row r="118" spans="1:83" ht="12.95" customHeight="1" x14ac:dyDescent="0.25">
      <c r="B118" s="275" t="str">
        <f>VLOOKUP(137,Textbausteine_305[],Hilfsgrössen!$D$2,FALSE)</f>
        <v>3) L’année 2021 fait office de référence.</v>
      </c>
      <c r="N118" s="9"/>
      <c r="O118" s="9"/>
      <c r="P118" s="9"/>
      <c r="Q118" s="9"/>
      <c r="R118" s="9"/>
      <c r="S118" s="9"/>
      <c r="T118" s="9"/>
    </row>
    <row r="119" spans="1:83" ht="12.95" customHeight="1" x14ac:dyDescent="0.25">
      <c r="B119" s="275" t="str">
        <f>VLOOKUP(138,Textbausteine_305[],Hilfsgrössen!$D$2,FALSE)</f>
        <v>4) Les chiffres pour 2022 sont des valeurs attendues. La valeur définitive ne sera disponible qu’au 4e trimestre 2023 et fera l’objet d’un rapport l’année suivante.</v>
      </c>
      <c r="N119" s="9"/>
      <c r="O119" s="9"/>
      <c r="P119" s="9"/>
      <c r="Q119" s="9"/>
      <c r="R119" s="9"/>
      <c r="S119" s="9"/>
      <c r="T119" s="9"/>
    </row>
    <row r="120" spans="1:83" ht="12.95" customHeight="1" x14ac:dyDescent="0.2">
      <c r="N120" s="9"/>
      <c r="O120" s="9"/>
      <c r="P120" s="9"/>
      <c r="Q120" s="9"/>
      <c r="R120" s="9"/>
      <c r="S120" s="9"/>
      <c r="T120" s="9"/>
    </row>
    <row r="121" spans="1:83" s="6" customFormat="1" ht="12.95" customHeight="1" x14ac:dyDescent="0.2">
      <c r="A121" s="107" t="s">
        <v>27</v>
      </c>
      <c r="B121" s="401" t="str">
        <f>$C$11</f>
        <v>Emissions de polluants atmosphériques</v>
      </c>
      <c r="C121" s="401"/>
      <c r="D121" s="6" t="str">
        <f>VLOOKUP(32,Textbausteine_Menu[],Hilfsgrössen!$D$2,FALSE)</f>
        <v>Unité</v>
      </c>
      <c r="E121" s="7" t="str">
        <f>VLOOKUP(33,Textbausteine_Menu[],Hilfsgrössen!$D$2,FALSE)</f>
        <v>Notes</v>
      </c>
      <c r="F121" s="28" t="str">
        <f>VLOOKUP(34,Textbausteine_Menu[],Hilfsgrössen!$D$2,FALSE)</f>
        <v>GRI</v>
      </c>
      <c r="G121" s="34"/>
      <c r="H121" s="28">
        <v>2010</v>
      </c>
      <c r="I121" s="28">
        <v>2011</v>
      </c>
      <c r="J121" s="28">
        <v>2012</v>
      </c>
      <c r="K121" s="28">
        <v>2013</v>
      </c>
      <c r="L121" s="28">
        <v>2014</v>
      </c>
      <c r="M121" s="28">
        <v>2015</v>
      </c>
      <c r="N121" s="28">
        <v>2016</v>
      </c>
      <c r="O121" s="28">
        <v>2017</v>
      </c>
      <c r="P121" s="28">
        <v>2018</v>
      </c>
      <c r="Q121" s="28">
        <v>2019</v>
      </c>
      <c r="R121" s="28">
        <v>2020</v>
      </c>
      <c r="S121" s="28" t="s">
        <v>123</v>
      </c>
      <c r="T121" s="28">
        <v>2022</v>
      </c>
      <c r="U121" s="28"/>
      <c r="V121" s="28"/>
      <c r="W121" s="28"/>
      <c r="X121" s="28"/>
      <c r="Y121" s="28"/>
      <c r="Z121" s="28"/>
      <c r="AA121" s="28"/>
      <c r="AB121" s="28"/>
      <c r="AC121" s="28"/>
      <c r="AD121" s="28"/>
      <c r="AE121" s="28"/>
      <c r="AF121" s="28"/>
      <c r="AG121" s="28"/>
      <c r="AH121" s="28"/>
      <c r="AI121" s="28"/>
      <c r="AJ121" s="28"/>
      <c r="AK121" s="28"/>
      <c r="AL121" s="28"/>
      <c r="AM121" s="28"/>
      <c r="AN121" s="28"/>
      <c r="AO121" s="28"/>
      <c r="AP121" s="28"/>
      <c r="AQ121" s="28"/>
      <c r="AR121" s="28"/>
      <c r="AS121" s="28"/>
      <c r="AT121" s="28"/>
      <c r="AU121" s="28"/>
      <c r="AV121" s="28"/>
      <c r="AW121" s="28"/>
      <c r="AX121" s="28"/>
      <c r="AY121" s="28"/>
      <c r="AZ121" s="28"/>
      <c r="BA121" s="28"/>
      <c r="BB121" s="28"/>
      <c r="BC121" s="28"/>
      <c r="BD121" s="28"/>
      <c r="BE121" s="28"/>
      <c r="BF121" s="28"/>
      <c r="BG121" s="28"/>
      <c r="BH121" s="28"/>
      <c r="BI121" s="28"/>
      <c r="BJ121" s="28"/>
      <c r="BK121" s="28"/>
      <c r="BL121" s="28"/>
      <c r="BM121" s="28"/>
      <c r="BN121" s="28"/>
      <c r="BO121" s="28"/>
      <c r="BP121" s="28"/>
      <c r="BQ121" s="28"/>
      <c r="BR121" s="28"/>
      <c r="BS121" s="28"/>
      <c r="BT121" s="28"/>
      <c r="BU121" s="28"/>
      <c r="BV121" s="28"/>
      <c r="BW121" s="28"/>
      <c r="BX121" s="28"/>
      <c r="BY121" s="28"/>
      <c r="BZ121" s="28"/>
      <c r="CA121" s="28"/>
      <c r="CB121" s="28"/>
      <c r="CC121" s="28"/>
      <c r="CD121" s="28"/>
      <c r="CE121" s="28"/>
    </row>
    <row r="122" spans="1:83" s="6" customFormat="1" ht="12.95" customHeight="1" x14ac:dyDescent="0.2">
      <c r="A122" s="38"/>
      <c r="B122" s="401"/>
      <c r="C122" s="401"/>
      <c r="E122" s="11"/>
      <c r="F122" s="9"/>
      <c r="G122" s="34"/>
      <c r="H122" s="9"/>
      <c r="I122" s="9"/>
      <c r="J122" s="9"/>
      <c r="K122" s="9"/>
      <c r="L122" s="9"/>
      <c r="M122" s="9"/>
      <c r="N122" s="9"/>
      <c r="O122" s="9"/>
      <c r="P122" s="9"/>
      <c r="Q122" s="9"/>
      <c r="R122" s="9"/>
      <c r="S122" s="9"/>
      <c r="T122" s="9"/>
      <c r="U122" s="9"/>
      <c r="V122" s="9"/>
      <c r="W122" s="9"/>
      <c r="X122" s="9"/>
      <c r="Y122" s="9"/>
      <c r="Z122" s="9"/>
      <c r="AA122" s="9"/>
      <c r="AB122" s="9"/>
      <c r="AC122" s="9"/>
      <c r="AD122" s="9"/>
      <c r="AE122" s="9"/>
      <c r="AF122" s="9"/>
      <c r="AG122" s="9"/>
      <c r="AH122" s="9"/>
      <c r="AI122" s="9"/>
      <c r="AJ122" s="9"/>
      <c r="AK122" s="9"/>
      <c r="AL122" s="9"/>
      <c r="AM122" s="9"/>
      <c r="AN122" s="9"/>
      <c r="AO122" s="9"/>
      <c r="AP122" s="9"/>
      <c r="AQ122" s="9"/>
      <c r="AR122" s="9"/>
      <c r="AS122" s="9"/>
      <c r="AT122" s="9"/>
      <c r="AU122" s="9"/>
      <c r="AV122" s="9"/>
      <c r="AW122" s="9"/>
      <c r="AX122" s="9"/>
      <c r="AY122" s="9"/>
      <c r="AZ122" s="9"/>
      <c r="BA122" s="9"/>
      <c r="BB122" s="9"/>
      <c r="BC122" s="9"/>
      <c r="BD122" s="9"/>
      <c r="BE122" s="9"/>
      <c r="BF122" s="9"/>
      <c r="BG122" s="9"/>
      <c r="BH122" s="9"/>
      <c r="BI122" s="9"/>
      <c r="BJ122" s="9"/>
      <c r="BK122" s="9"/>
      <c r="BL122" s="9"/>
      <c r="BM122" s="9"/>
      <c r="BN122" s="9"/>
      <c r="BO122" s="9"/>
      <c r="BP122" s="9"/>
      <c r="BQ122" s="9"/>
      <c r="BR122" s="9"/>
      <c r="BS122" s="9"/>
      <c r="BT122" s="9"/>
      <c r="BU122" s="9"/>
      <c r="BV122" s="9"/>
      <c r="BW122" s="9"/>
      <c r="BX122" s="9"/>
      <c r="BY122" s="9"/>
      <c r="BZ122" s="9"/>
      <c r="CA122" s="9"/>
      <c r="CB122" s="9"/>
      <c r="CC122" s="9"/>
      <c r="CD122" s="9"/>
      <c r="CE122" s="9"/>
    </row>
    <row r="123" spans="1:83" ht="12.95" customHeight="1" x14ac:dyDescent="0.2">
      <c r="B123" s="2"/>
      <c r="N123" s="9"/>
      <c r="O123" s="9"/>
      <c r="P123" s="9"/>
      <c r="Q123" s="9"/>
      <c r="R123" s="9"/>
      <c r="S123" s="9"/>
      <c r="T123" s="9"/>
    </row>
    <row r="124" spans="1:83" ht="12.95" customHeight="1" x14ac:dyDescent="0.2">
      <c r="B124" s="2" t="str">
        <f>VLOOKUP(36,Textbausteine_Menu[],Hilfsgrössen!$D$2,FALSE)</f>
        <v>Groupe</v>
      </c>
      <c r="C124" s="2"/>
      <c r="N124" s="9"/>
      <c r="O124" s="9"/>
      <c r="P124" s="9"/>
      <c r="Q124" s="9"/>
      <c r="R124" s="9"/>
      <c r="S124" s="9"/>
      <c r="T124" s="9"/>
    </row>
    <row r="125" spans="1:83" ht="12.95" customHeight="1" x14ac:dyDescent="0.2">
      <c r="C125" s="16" t="str">
        <f>VLOOKUP(111,Textbausteine_305[],Hilfsgrössen!$D$2,FALSE)</f>
        <v>Equivalents chlorofluorocarbones (équivalent CFC 11)</v>
      </c>
      <c r="D125" s="16" t="str">
        <f>VLOOKUP(16,Textbausteine_305[],Hilfsgrössen!$D$2,FALSE)</f>
        <v>Kilos</v>
      </c>
      <c r="E125" s="11" t="s">
        <v>72</v>
      </c>
      <c r="F125" s="9" t="s">
        <v>135</v>
      </c>
      <c r="H125" s="181">
        <v>56.656749999999995</v>
      </c>
      <c r="I125" s="181">
        <v>56.216750000000005</v>
      </c>
      <c r="J125" s="181">
        <v>108</v>
      </c>
      <c r="K125" s="181">
        <v>106.6825</v>
      </c>
      <c r="L125" s="181">
        <v>53.605249999999998</v>
      </c>
      <c r="M125" s="181">
        <v>52.248352500000003</v>
      </c>
      <c r="N125" s="181">
        <v>51.7</v>
      </c>
      <c r="O125" s="181">
        <v>1.28</v>
      </c>
      <c r="P125" s="181">
        <v>0.74731999999999998</v>
      </c>
      <c r="Q125" s="181">
        <v>0.05</v>
      </c>
      <c r="R125" s="181">
        <v>0.05</v>
      </c>
      <c r="S125" s="387">
        <v>0.05</v>
      </c>
      <c r="T125" s="387">
        <v>0.19</v>
      </c>
    </row>
    <row r="126" spans="1:83" ht="12.95" customHeight="1" x14ac:dyDescent="0.2">
      <c r="C126" s="16" t="str">
        <f>VLOOKUP(112,Textbausteine_305[],Hilfsgrössen!$D$2,FALSE)</f>
        <v>Oxydes d'azote (NOx)</v>
      </c>
      <c r="D126" s="16" t="str">
        <f>VLOOKUP(17,Textbausteine_305[],Hilfsgrössen!$D$2,FALSE)</f>
        <v>Tonnes</v>
      </c>
      <c r="E126" s="11" t="s">
        <v>72</v>
      </c>
      <c r="F126" s="9" t="s">
        <v>136</v>
      </c>
      <c r="H126" s="181">
        <v>2126.6254912214044</v>
      </c>
      <c r="I126" s="181">
        <v>2086.986795031813</v>
      </c>
      <c r="J126" s="181">
        <v>2110.7971396006742</v>
      </c>
      <c r="K126" s="181">
        <v>2001.3082524510821</v>
      </c>
      <c r="L126" s="181">
        <v>1892.8871645166876</v>
      </c>
      <c r="M126" s="181">
        <v>1836.9172596897106</v>
      </c>
      <c r="N126" s="188">
        <v>1828.6075223799689</v>
      </c>
      <c r="O126" s="188">
        <v>1692.6639323839715</v>
      </c>
      <c r="P126" s="188">
        <v>1617.9185809195394</v>
      </c>
      <c r="Q126" s="181">
        <v>1959</v>
      </c>
      <c r="R126" s="181">
        <v>1885</v>
      </c>
      <c r="S126" s="388">
        <v>1632.0001111763183</v>
      </c>
      <c r="T126" s="388">
        <v>1616.8264265381424</v>
      </c>
    </row>
    <row r="127" spans="1:83" ht="12.95" customHeight="1" x14ac:dyDescent="0.2">
      <c r="C127" s="16" t="str">
        <f>VLOOKUP(113,Textbausteine_305[],Hilfsgrössen!$D$2,FALSE)</f>
        <v>Oxydes de soufre (SOx)</v>
      </c>
      <c r="D127" s="16" t="str">
        <f>VLOOKUP(17,Textbausteine_305[],Hilfsgrössen!$D$2,FALSE)</f>
        <v>Tonnes</v>
      </c>
      <c r="E127" s="11" t="s">
        <v>72</v>
      </c>
      <c r="F127" s="9" t="s">
        <v>136</v>
      </c>
      <c r="H127" s="181">
        <v>453.21409126742935</v>
      </c>
      <c r="I127" s="181">
        <v>442.20779069904631</v>
      </c>
      <c r="J127" s="181">
        <v>448.95330090473709</v>
      </c>
      <c r="K127" s="181">
        <v>407.43407886293028</v>
      </c>
      <c r="L127" s="181">
        <v>398.72234914301902</v>
      </c>
      <c r="M127" s="181">
        <v>398.12541437514068</v>
      </c>
      <c r="N127" s="188">
        <v>405.29957808288373</v>
      </c>
      <c r="O127" s="188">
        <v>387.73112315768856</v>
      </c>
      <c r="P127" s="188">
        <v>385.22939359908577</v>
      </c>
      <c r="Q127" s="181">
        <v>452</v>
      </c>
      <c r="R127" s="181">
        <v>440</v>
      </c>
      <c r="S127" s="388">
        <v>514.41927557709016</v>
      </c>
      <c r="T127" s="388">
        <v>522.10740790270779</v>
      </c>
    </row>
    <row r="128" spans="1:83" ht="12.95" customHeight="1" x14ac:dyDescent="0.2">
      <c r="C128" s="16" t="str">
        <f>VLOOKUP(114,Textbausteine_305[],Hilfsgrössen!$D$2,FALSE)</f>
        <v>Hydrocarbures non méthaniques (HCNM)</v>
      </c>
      <c r="D128" s="16" t="str">
        <f>VLOOKUP(17,Textbausteine_305[],Hilfsgrössen!$D$2,FALSE)</f>
        <v>Tonnes</v>
      </c>
      <c r="E128" s="11" t="s">
        <v>72</v>
      </c>
      <c r="F128" s="9" t="s">
        <v>136</v>
      </c>
      <c r="H128" s="181">
        <v>808.00031071068884</v>
      </c>
      <c r="I128" s="181">
        <v>680.92395886955273</v>
      </c>
      <c r="J128" s="181">
        <v>657.95984198882127</v>
      </c>
      <c r="K128" s="181">
        <v>538.57415381843543</v>
      </c>
      <c r="L128" s="181">
        <v>458.74439530133685</v>
      </c>
      <c r="M128" s="181">
        <v>427.44439191721011</v>
      </c>
      <c r="N128" s="188">
        <v>369.98220828925298</v>
      </c>
      <c r="O128" s="188">
        <v>334.92098138256659</v>
      </c>
      <c r="P128" s="188">
        <v>320.34807607678783</v>
      </c>
      <c r="Q128" s="181">
        <v>415</v>
      </c>
      <c r="R128" s="181">
        <v>405</v>
      </c>
      <c r="S128" s="388">
        <v>358.7242304174714</v>
      </c>
      <c r="T128" s="388">
        <v>363.15648507683579</v>
      </c>
    </row>
    <row r="129" spans="2:20" ht="12.95" customHeight="1" x14ac:dyDescent="0.2">
      <c r="C129" s="16" t="str">
        <f>VLOOKUP(115,Textbausteine_305[],Hilfsgrössen!$D$2,FALSE)</f>
        <v>Matières particulaires (PM10)</v>
      </c>
      <c r="D129" s="16" t="str">
        <f>VLOOKUP(17,Textbausteine_305[],Hilfsgrössen!$D$2,FALSE)</f>
        <v>Tonnes</v>
      </c>
      <c r="E129" s="11" t="s">
        <v>72</v>
      </c>
      <c r="F129" s="9" t="s">
        <v>136</v>
      </c>
      <c r="G129" s="33"/>
      <c r="H129" s="181">
        <v>87.302417005827763</v>
      </c>
      <c r="I129" s="181">
        <v>81.451962669579601</v>
      </c>
      <c r="J129" s="181">
        <v>77.82838093008597</v>
      </c>
      <c r="K129" s="181">
        <v>74.193520202790808</v>
      </c>
      <c r="L129" s="181">
        <v>70.374800229991109</v>
      </c>
      <c r="M129" s="181">
        <v>69.162272717505914</v>
      </c>
      <c r="N129" s="188">
        <v>67.59036985320202</v>
      </c>
      <c r="O129" s="188">
        <v>62.089763775006226</v>
      </c>
      <c r="P129" s="188">
        <v>58.681106546014142</v>
      </c>
      <c r="Q129" s="181">
        <v>75</v>
      </c>
      <c r="R129" s="181">
        <v>73</v>
      </c>
      <c r="S129" s="388">
        <v>70.133775251756163</v>
      </c>
      <c r="T129" s="388">
        <v>69.353137764587743</v>
      </c>
    </row>
    <row r="130" spans="2:20" ht="12.95" customHeight="1" x14ac:dyDescent="0.2">
      <c r="G130" s="33"/>
    </row>
    <row r="131" spans="2:20" ht="12.95" customHeight="1" x14ac:dyDescent="0.25">
      <c r="B131" s="18" t="str">
        <f>VLOOKUP(141,Textbausteine_305[],Hilfsgrössen!$D$2,FALSE)</f>
        <v>1) Les chiffres des émissions sont calculés à l'aide de coefficients d'émission propres aux prestations de transport et aux différentes sources d'énergie. Ils englobent les étapes préalables de la production d'énergie.</v>
      </c>
      <c r="C131" s="18"/>
      <c r="D131" s="18"/>
      <c r="N131" s="9"/>
      <c r="O131" s="9"/>
      <c r="P131" s="9"/>
      <c r="Q131" s="9"/>
      <c r="R131" s="9"/>
      <c r="S131" s="9"/>
      <c r="T131" s="9"/>
    </row>
    <row r="132" spans="2:20" ht="12.95" customHeight="1" x14ac:dyDescent="0.25">
      <c r="B132" s="254" t="str">
        <f>VLOOKUP(142,Textbausteine_305[],Hilfsgrössen!$D$2,FALSE)</f>
        <v xml:space="preserve">2) Normes, méthodes et coefficients d'émission: les coefficients d'émission sont tirés de HBEFA 3.1, Mobitool Version 2010, ecoinvent 2.2 et d'autres sources statistiques. </v>
      </c>
      <c r="C132" s="18"/>
      <c r="D132" s="18"/>
      <c r="G132" s="33"/>
      <c r="N132" s="9"/>
      <c r="O132" s="9"/>
      <c r="P132" s="9"/>
      <c r="Q132" s="9"/>
      <c r="R132" s="9"/>
      <c r="S132" s="9"/>
      <c r="T132" s="9"/>
    </row>
    <row r="133" spans="2:20" ht="12.95" customHeight="1" x14ac:dyDescent="0.25">
      <c r="B133" s="275" t="str">
        <f>VLOOKUP(143,Textbausteine_305[],Hilfsgrössen!$D$2,FALSE)</f>
        <v>3) L’année 2021 fait office de référence pour les objectifs climatiques à l’horizon 2030 et 2040. C’est la raison pour laquelle les valeurs correspondantes sont recalculées en cas d’acquisitions ou de ventes de sociétés du groupe, ou en cas de modifications de la qualité des données.</v>
      </c>
    </row>
    <row r="136" spans="2:20" ht="12.95" customHeight="1" x14ac:dyDescent="0.2">
      <c r="N136" s="81"/>
      <c r="O136" s="81"/>
      <c r="P136" s="81"/>
      <c r="Q136" s="81"/>
      <c r="R136" s="81"/>
      <c r="S136" s="81"/>
      <c r="T136" s="81"/>
    </row>
    <row r="137" spans="2:20" ht="12.95" customHeight="1" x14ac:dyDescent="0.2">
      <c r="G137" s="37"/>
      <c r="N137" s="81"/>
      <c r="O137" s="81"/>
      <c r="P137" s="81"/>
      <c r="Q137" s="81"/>
      <c r="R137" s="81"/>
      <c r="S137" s="81"/>
      <c r="T137" s="81"/>
    </row>
    <row r="138" spans="2:20" ht="12.95" customHeight="1" x14ac:dyDescent="0.2">
      <c r="G138" s="37"/>
      <c r="N138" s="81"/>
      <c r="O138" s="81"/>
      <c r="P138" s="81"/>
      <c r="Q138" s="81"/>
      <c r="R138" s="81"/>
      <c r="S138" s="81"/>
      <c r="T138" s="81"/>
    </row>
    <row r="139" spans="2:20" ht="12.95" customHeight="1" x14ac:dyDescent="0.2">
      <c r="G139" s="37"/>
      <c r="N139" s="81"/>
      <c r="O139" s="81"/>
      <c r="P139" s="81"/>
      <c r="Q139" s="81"/>
      <c r="R139" s="81"/>
      <c r="S139" s="81"/>
      <c r="T139" s="81"/>
    </row>
    <row r="140" spans="2:20" ht="12.95" customHeight="1" x14ac:dyDescent="0.2">
      <c r="N140" s="81"/>
      <c r="O140" s="81"/>
      <c r="P140" s="81"/>
      <c r="Q140" s="81"/>
      <c r="R140" s="81"/>
      <c r="S140" s="81"/>
      <c r="T140" s="81"/>
    </row>
    <row r="141" spans="2:20" ht="12.95" customHeight="1" x14ac:dyDescent="0.2">
      <c r="N141" s="81"/>
      <c r="O141" s="81"/>
      <c r="P141" s="81"/>
      <c r="Q141" s="81"/>
      <c r="R141" s="81"/>
      <c r="S141" s="81"/>
      <c r="T141" s="81"/>
    </row>
    <row r="142" spans="2:20" ht="12.95" customHeight="1" x14ac:dyDescent="0.2">
      <c r="N142" s="81"/>
      <c r="O142" s="81"/>
      <c r="P142" s="81"/>
      <c r="Q142" s="81"/>
      <c r="R142" s="81"/>
      <c r="S142" s="81"/>
      <c r="T142" s="81"/>
    </row>
    <row r="143" spans="2:20" ht="12.95" customHeight="1" x14ac:dyDescent="0.2">
      <c r="N143" s="81"/>
      <c r="O143" s="81"/>
      <c r="P143" s="81"/>
      <c r="Q143" s="81"/>
      <c r="R143" s="81"/>
      <c r="S143" s="81"/>
      <c r="T143" s="81"/>
    </row>
  </sheetData>
  <sheetProtection algorithmName="SHA-512" hashValue="nsZa+b4zod6qDRgIWOWLd1ec7HE0S4hXtduMdwzxbsHpmxMmV/TvQyD4Gj8m0B6J12rvnUu8qExoz5tP/GJpqA==" saltValue="EkajvZLvpctAkOpA0xISyw==" spinCount="100000" sheet="1" objects="1" scenarios="1"/>
  <mergeCells count="8">
    <mergeCell ref="D2:E2"/>
    <mergeCell ref="B121:C122"/>
    <mergeCell ref="B106:C107"/>
    <mergeCell ref="B2:C2"/>
    <mergeCell ref="B3:C3"/>
    <mergeCell ref="B14:C15"/>
    <mergeCell ref="B84:C85"/>
    <mergeCell ref="B97:C98"/>
  </mergeCells>
  <phoneticPr fontId="20" type="noConversion"/>
  <conditionalFormatting sqref="H40:S41 H14:S18 H42:P68 H69:R71 H35:R39 H19:P34 H72:S88 H92:S10021 U92:CE10021 U14:CE88">
    <cfRule type="expression" dxfId="714" priority="668">
      <formula>AND($D14&lt;&gt;"",H$14&lt;&gt;"",H14="")</formula>
    </cfRule>
    <cfRule type="expression" dxfId="713" priority="669">
      <formula>AND($A14="",ABS(H14)=0)</formula>
    </cfRule>
    <cfRule type="expression" dxfId="712" priority="670">
      <formula>AND($A14="",ABS(H14)&lt;10)</formula>
    </cfRule>
    <cfRule type="expression" dxfId="711" priority="671">
      <formula>AND($A14="",ABS(H14)&lt;100)</formula>
    </cfRule>
    <cfRule type="expression" dxfId="710" priority="672">
      <formula>AND($A14="",ABS(H14)&gt;=100)</formula>
    </cfRule>
  </conditionalFormatting>
  <conditionalFormatting sqref="Q34:R34">
    <cfRule type="expression" dxfId="709" priority="547">
      <formula>AND($D34&lt;&gt;"",Q$14&lt;&gt;"",Q34="")</formula>
    </cfRule>
    <cfRule type="expression" dxfId="708" priority="548">
      <formula>AND($A34="",ABS(Q34)=0)</formula>
    </cfRule>
    <cfRule type="expression" dxfId="707" priority="549">
      <formula>AND($A34="",ABS(Q34)&lt;10)</formula>
    </cfRule>
    <cfRule type="expression" dxfId="706" priority="550">
      <formula>AND($A34="",ABS(Q34)&lt;100)</formula>
    </cfRule>
    <cfRule type="expression" dxfId="705" priority="551">
      <formula>AND($A34="",ABS(Q34)&gt;=100)</formula>
    </cfRule>
  </conditionalFormatting>
  <conditionalFormatting sqref="Q19:R20 Q24:R33">
    <cfRule type="expression" dxfId="704" priority="542">
      <formula>AND($D19&lt;&gt;"",Q$14&lt;&gt;"",Q19="")</formula>
    </cfRule>
    <cfRule type="expression" dxfId="703" priority="543">
      <formula>AND($A19="",ABS(Q19)=0)</formula>
    </cfRule>
    <cfRule type="expression" dxfId="702" priority="544">
      <formula>AND($A19="",ABS(Q19)&lt;10)</formula>
    </cfRule>
    <cfRule type="expression" dxfId="701" priority="545">
      <formula>AND($A19="",ABS(Q19)&lt;100)</formula>
    </cfRule>
    <cfRule type="expression" dxfId="700" priority="546">
      <formula>AND($A19="",ABS(Q19)&gt;=100)</formula>
    </cfRule>
  </conditionalFormatting>
  <conditionalFormatting sqref="Q21:R21">
    <cfRule type="expression" dxfId="699" priority="537">
      <formula>AND($D21&lt;&gt;"",Q$14&lt;&gt;"",Q21="")</formula>
    </cfRule>
    <cfRule type="expression" dxfId="698" priority="538">
      <formula>AND($A21="",ABS(Q21)=0)</formula>
    </cfRule>
    <cfRule type="expression" dxfId="697" priority="539">
      <formula>AND($A21="",ABS(Q21)&lt;10)</formula>
    </cfRule>
    <cfRule type="expression" dxfId="696" priority="540">
      <formula>AND($A21="",ABS(Q21)&lt;100)</formula>
    </cfRule>
    <cfRule type="expression" dxfId="695" priority="541">
      <formula>AND($A21="",ABS(Q21)&gt;=100)</formula>
    </cfRule>
  </conditionalFormatting>
  <conditionalFormatting sqref="Q22:R23">
    <cfRule type="expression" dxfId="694" priority="532">
      <formula>AND($D22&lt;&gt;"",Q$14&lt;&gt;"",Q22="")</formula>
    </cfRule>
    <cfRule type="expression" dxfId="693" priority="533">
      <formula>AND($A22="",ABS(Q22)=0)</formula>
    </cfRule>
    <cfRule type="expression" dxfId="692" priority="534">
      <formula>AND($A22="",ABS(Q22)&lt;10)</formula>
    </cfRule>
    <cfRule type="expression" dxfId="691" priority="535">
      <formula>AND($A22="",ABS(Q22)&lt;100)</formula>
    </cfRule>
    <cfRule type="expression" dxfId="690" priority="536">
      <formula>AND($A22="",ABS(Q22)&gt;=100)</formula>
    </cfRule>
  </conditionalFormatting>
  <conditionalFormatting sqref="Q44:R44">
    <cfRule type="expression" dxfId="689" priority="527">
      <formula>AND($D44&lt;&gt;"",Q$14&lt;&gt;"",Q44="")</formula>
    </cfRule>
    <cfRule type="expression" dxfId="688" priority="528">
      <formula>AND($A44="",ABS(Q44)=0)</formula>
    </cfRule>
    <cfRule type="expression" dxfId="687" priority="529">
      <formula>AND($A44="",ABS(Q44)&lt;10)</formula>
    </cfRule>
    <cfRule type="expression" dxfId="686" priority="530">
      <formula>AND($A44="",ABS(Q44)&lt;100)</formula>
    </cfRule>
    <cfRule type="expression" dxfId="685" priority="531">
      <formula>AND($A44="",ABS(Q44)&gt;=100)</formula>
    </cfRule>
  </conditionalFormatting>
  <conditionalFormatting sqref="Q45:R47">
    <cfRule type="expression" dxfId="684" priority="522">
      <formula>AND($D45&lt;&gt;"",Q$14&lt;&gt;"",Q45="")</formula>
    </cfRule>
    <cfRule type="expression" dxfId="683" priority="523">
      <formula>AND($A45="",ABS(Q45)=0)</formula>
    </cfRule>
    <cfRule type="expression" dxfId="682" priority="524">
      <formula>AND($A45="",ABS(Q45)&lt;10)</formula>
    </cfRule>
    <cfRule type="expression" dxfId="681" priority="525">
      <formula>AND($A45="",ABS(Q45)&lt;100)</formula>
    </cfRule>
    <cfRule type="expression" dxfId="680" priority="526">
      <formula>AND($A45="",ABS(Q45)&gt;=100)</formula>
    </cfRule>
  </conditionalFormatting>
  <conditionalFormatting sqref="Q43:R43">
    <cfRule type="expression" dxfId="679" priority="517">
      <formula>AND($D43&lt;&gt;"",Q$14&lt;&gt;"",Q43="")</formula>
    </cfRule>
    <cfRule type="expression" dxfId="678" priority="518">
      <formula>AND($A43="",ABS(Q43)=0)</formula>
    </cfRule>
    <cfRule type="expression" dxfId="677" priority="519">
      <formula>AND($A43="",ABS(Q43)&lt;10)</formula>
    </cfRule>
    <cfRule type="expression" dxfId="676" priority="520">
      <formula>AND($A43="",ABS(Q43)&lt;100)</formula>
    </cfRule>
    <cfRule type="expression" dxfId="675" priority="521">
      <formula>AND($A43="",ABS(Q43)&gt;=100)</formula>
    </cfRule>
  </conditionalFormatting>
  <conditionalFormatting sqref="Q49:R50">
    <cfRule type="expression" dxfId="674" priority="512">
      <formula>AND($D49&lt;&gt;"",Q$14&lt;&gt;"",Q49="")</formula>
    </cfRule>
    <cfRule type="expression" dxfId="673" priority="513">
      <formula>AND($A49="",ABS(Q49)=0)</formula>
    </cfRule>
    <cfRule type="expression" dxfId="672" priority="514">
      <formula>AND($A49="",ABS(Q49)&lt;10)</formula>
    </cfRule>
    <cfRule type="expression" dxfId="671" priority="515">
      <formula>AND($A49="",ABS(Q49)&lt;100)</formula>
    </cfRule>
    <cfRule type="expression" dxfId="670" priority="516">
      <formula>AND($A49="",ABS(Q49)&gt;=100)</formula>
    </cfRule>
  </conditionalFormatting>
  <conditionalFormatting sqref="Q48:R48">
    <cfRule type="expression" dxfId="669" priority="507">
      <formula>AND($D48&lt;&gt;"",Q$14&lt;&gt;"",Q48="")</formula>
    </cfRule>
    <cfRule type="expression" dxfId="668" priority="508">
      <formula>AND($A48="",ABS(Q48)=0)</formula>
    </cfRule>
    <cfRule type="expression" dxfId="667" priority="509">
      <formula>AND($A48="",ABS(Q48)&lt;10)</formula>
    </cfRule>
    <cfRule type="expression" dxfId="666" priority="510">
      <formula>AND($A48="",ABS(Q48)&lt;100)</formula>
    </cfRule>
    <cfRule type="expression" dxfId="665" priority="511">
      <formula>AND($A48="",ABS(Q48)&gt;=100)</formula>
    </cfRule>
  </conditionalFormatting>
  <conditionalFormatting sqref="Q51:R56 Q58:R59">
    <cfRule type="expression" dxfId="664" priority="502">
      <formula>AND($D51&lt;&gt;"",Q$14&lt;&gt;"",Q51="")</formula>
    </cfRule>
    <cfRule type="expression" dxfId="663" priority="503">
      <formula>AND($A51="",ABS(Q51)=0)</formula>
    </cfRule>
    <cfRule type="expression" dxfId="662" priority="504">
      <formula>AND($A51="",ABS(Q51)&lt;10)</formula>
    </cfRule>
    <cfRule type="expression" dxfId="661" priority="505">
      <formula>AND($A51="",ABS(Q51)&lt;100)</formula>
    </cfRule>
    <cfRule type="expression" dxfId="660" priority="506">
      <formula>AND($A51="",ABS(Q51)&gt;=100)</formula>
    </cfRule>
  </conditionalFormatting>
  <conditionalFormatting sqref="Q61:R68">
    <cfRule type="expression" dxfId="659" priority="497">
      <formula>AND($D61&lt;&gt;"",Q$14&lt;&gt;"",Q61="")</formula>
    </cfRule>
    <cfRule type="expression" dxfId="658" priority="498">
      <formula>AND($A61="",ABS(Q61)=0)</formula>
    </cfRule>
    <cfRule type="expression" dxfId="657" priority="499">
      <formula>AND($A61="",ABS(Q61)&lt;10)</formula>
    </cfRule>
    <cfRule type="expression" dxfId="656" priority="500">
      <formula>AND($A61="",ABS(Q61)&lt;100)</formula>
    </cfRule>
    <cfRule type="expression" dxfId="655" priority="501">
      <formula>AND($A61="",ABS(Q61)&gt;=100)</formula>
    </cfRule>
  </conditionalFormatting>
  <conditionalFormatting sqref="Q60:R60">
    <cfRule type="expression" dxfId="654" priority="492">
      <formula>AND($D60&lt;&gt;"",Q$14&lt;&gt;"",Q60="")</formula>
    </cfRule>
    <cfRule type="expression" dxfId="653" priority="493">
      <formula>AND($A60="",ABS(Q60)=0)</formula>
    </cfRule>
    <cfRule type="expression" dxfId="652" priority="494">
      <formula>AND($A60="",ABS(Q60)&lt;10)</formula>
    </cfRule>
    <cfRule type="expression" dxfId="651" priority="495">
      <formula>AND($A60="",ABS(Q60)&lt;100)</formula>
    </cfRule>
    <cfRule type="expression" dxfId="650" priority="496">
      <formula>AND($A60="",ABS(Q60)&gt;=100)</formula>
    </cfRule>
  </conditionalFormatting>
  <conditionalFormatting sqref="Q42:R42">
    <cfRule type="expression" dxfId="649" priority="487">
      <formula>AND($D42&lt;&gt;"",Q$14&lt;&gt;"",Q42="")</formula>
    </cfRule>
    <cfRule type="expression" dxfId="648" priority="488">
      <formula>AND($A42="",ABS(Q42)=0)</formula>
    </cfRule>
    <cfRule type="expression" dxfId="647" priority="489">
      <formula>AND($A42="",ABS(Q42)&lt;10)</formula>
    </cfRule>
    <cfRule type="expression" dxfId="646" priority="490">
      <formula>AND($A42="",ABS(Q42)&lt;100)</formula>
    </cfRule>
    <cfRule type="expression" dxfId="645" priority="491">
      <formula>AND($A42="",ABS(Q42)&gt;=100)</formula>
    </cfRule>
  </conditionalFormatting>
  <conditionalFormatting sqref="Q57:R57">
    <cfRule type="expression" dxfId="644" priority="482">
      <formula>AND($D57&lt;&gt;"",Q$14&lt;&gt;"",Q57="")</formula>
    </cfRule>
    <cfRule type="expression" dxfId="643" priority="483">
      <formula>AND($A57="",ABS(Q57)=0)</formula>
    </cfRule>
    <cfRule type="expression" dxfId="642" priority="484">
      <formula>AND($A57="",ABS(Q57)&lt;10)</formula>
    </cfRule>
    <cfRule type="expression" dxfId="641" priority="485">
      <formula>AND($A57="",ABS(Q57)&lt;100)</formula>
    </cfRule>
    <cfRule type="expression" dxfId="640" priority="486">
      <formula>AND($A57="",ABS(Q57)&gt;=100)</formula>
    </cfRule>
  </conditionalFormatting>
  <conditionalFormatting sqref="S25:S39 S19:S20">
    <cfRule type="expression" dxfId="639" priority="367">
      <formula>AND($D19&lt;&gt;"",S$14&lt;&gt;"",S19="")</formula>
    </cfRule>
    <cfRule type="expression" dxfId="638" priority="368">
      <formula>AND($A19="",ABS(S19)=0)</formula>
    </cfRule>
    <cfRule type="expression" dxfId="637" priority="369">
      <formula>AND($A19="",ABS(S19)&lt;10)</formula>
    </cfRule>
    <cfRule type="expression" dxfId="636" priority="370">
      <formula>AND($A19="",ABS(S19)&lt;100)</formula>
    </cfRule>
    <cfRule type="expression" dxfId="635" priority="371">
      <formula>AND($A19="",ABS(S19)&gt;=100)</formula>
    </cfRule>
  </conditionalFormatting>
  <conditionalFormatting sqref="S21">
    <cfRule type="expression" dxfId="634" priority="362">
      <formula>AND($D21&lt;&gt;"",S$14&lt;&gt;"",S21="")</formula>
    </cfRule>
    <cfRule type="expression" dxfId="633" priority="363">
      <formula>AND($A21="",ABS(S21)=0)</formula>
    </cfRule>
    <cfRule type="expression" dxfId="632" priority="364">
      <formula>AND($A21="",ABS(S21)&lt;10)</formula>
    </cfRule>
    <cfRule type="expression" dxfId="631" priority="365">
      <formula>AND($A21="",ABS(S21)&lt;100)</formula>
    </cfRule>
    <cfRule type="expression" dxfId="630" priority="366">
      <formula>AND($A21="",ABS(S21)&gt;=100)</formula>
    </cfRule>
  </conditionalFormatting>
  <conditionalFormatting sqref="S22:S23">
    <cfRule type="expression" dxfId="629" priority="357">
      <formula>AND($D22&lt;&gt;"",S$14&lt;&gt;"",S22="")</formula>
    </cfRule>
    <cfRule type="expression" dxfId="628" priority="358">
      <formula>AND($A22="",ABS(S22)=0)</formula>
    </cfRule>
    <cfRule type="expression" dxfId="627" priority="359">
      <formula>AND($A22="",ABS(S22)&lt;10)</formula>
    </cfRule>
    <cfRule type="expression" dxfId="626" priority="360">
      <formula>AND($A22="",ABS(S22)&lt;100)</formula>
    </cfRule>
    <cfRule type="expression" dxfId="625" priority="361">
      <formula>AND($A22="",ABS(S22)&gt;=100)</formula>
    </cfRule>
  </conditionalFormatting>
  <conditionalFormatting sqref="S24">
    <cfRule type="expression" dxfId="624" priority="352">
      <formula>AND($D24&lt;&gt;"",S$14&lt;&gt;"",S24="")</formula>
    </cfRule>
    <cfRule type="expression" dxfId="623" priority="353">
      <formula>AND($A24="",ABS(S24)=0)</formula>
    </cfRule>
    <cfRule type="expression" dxfId="622" priority="354">
      <formula>AND($A24="",ABS(S24)&lt;10)</formula>
    </cfRule>
    <cfRule type="expression" dxfId="621" priority="355">
      <formula>AND($A24="",ABS(S24)&lt;100)</formula>
    </cfRule>
    <cfRule type="expression" dxfId="620" priority="356">
      <formula>AND($A24="",ABS(S24)&gt;=100)</formula>
    </cfRule>
  </conditionalFormatting>
  <conditionalFormatting sqref="S61 S71">
    <cfRule type="expression" dxfId="619" priority="336">
      <formula>AND($D61&lt;&gt;"",S$14&lt;&gt;"",S61="")</formula>
    </cfRule>
    <cfRule type="expression" dxfId="618" priority="337">
      <formula>AND($A61="",ABS(S61)=0)</formula>
    </cfRule>
    <cfRule type="expression" dxfId="617" priority="338">
      <formula>AND($A61="",ABS(S61)&lt;10)</formula>
    </cfRule>
    <cfRule type="expression" dxfId="616" priority="339">
      <formula>AND($A61="",ABS(S61)&lt;100)</formula>
    </cfRule>
    <cfRule type="expression" dxfId="615" priority="340">
      <formula>AND($A61="",ABS(S61)&gt;=100)</formula>
    </cfRule>
  </conditionalFormatting>
  <conditionalFormatting sqref="S44">
    <cfRule type="expression" dxfId="614" priority="331">
      <formula>AND($D44&lt;&gt;"",S$14&lt;&gt;"",S44="")</formula>
    </cfRule>
    <cfRule type="expression" dxfId="613" priority="332">
      <formula>AND($A44="",ABS(S44)=0)</formula>
    </cfRule>
    <cfRule type="expression" dxfId="612" priority="333">
      <formula>AND($A44="",ABS(S44)&lt;10)</formula>
    </cfRule>
    <cfRule type="expression" dxfId="611" priority="334">
      <formula>AND($A44="",ABS(S44)&lt;100)</formula>
    </cfRule>
    <cfRule type="expression" dxfId="610" priority="335">
      <formula>AND($A44="",ABS(S44)&gt;=100)</formula>
    </cfRule>
  </conditionalFormatting>
  <conditionalFormatting sqref="S45:S47">
    <cfRule type="expression" dxfId="609" priority="326">
      <formula>AND($D45&lt;&gt;"",S$14&lt;&gt;"",S45="")</formula>
    </cfRule>
    <cfRule type="expression" dxfId="608" priority="327">
      <formula>AND($A45="",ABS(S45)=0)</formula>
    </cfRule>
    <cfRule type="expression" dxfId="607" priority="328">
      <formula>AND($A45="",ABS(S45)&lt;10)</formula>
    </cfRule>
    <cfRule type="expression" dxfId="606" priority="329">
      <formula>AND($A45="",ABS(S45)&lt;100)</formula>
    </cfRule>
    <cfRule type="expression" dxfId="605" priority="330">
      <formula>AND($A45="",ABS(S45)&gt;=100)</formula>
    </cfRule>
  </conditionalFormatting>
  <conditionalFormatting sqref="S43">
    <cfRule type="expression" dxfId="604" priority="321">
      <formula>AND($D43&lt;&gt;"",S$14&lt;&gt;"",S43="")</formula>
    </cfRule>
    <cfRule type="expression" dxfId="603" priority="322">
      <formula>AND($A43="",ABS(S43)=0)</formula>
    </cfRule>
    <cfRule type="expression" dxfId="602" priority="323">
      <formula>AND($A43="",ABS(S43)&lt;10)</formula>
    </cfRule>
    <cfRule type="expression" dxfId="601" priority="324">
      <formula>AND($A43="",ABS(S43)&lt;100)</formula>
    </cfRule>
    <cfRule type="expression" dxfId="600" priority="325">
      <formula>AND($A43="",ABS(S43)&gt;=100)</formula>
    </cfRule>
  </conditionalFormatting>
  <conditionalFormatting sqref="S49:S50">
    <cfRule type="expression" dxfId="599" priority="316">
      <formula>AND($D49&lt;&gt;"",S$14&lt;&gt;"",S49="")</formula>
    </cfRule>
    <cfRule type="expression" dxfId="598" priority="317">
      <formula>AND($A49="",ABS(S49)=0)</formula>
    </cfRule>
    <cfRule type="expression" dxfId="597" priority="318">
      <formula>AND($A49="",ABS(S49)&lt;10)</formula>
    </cfRule>
    <cfRule type="expression" dxfId="596" priority="319">
      <formula>AND($A49="",ABS(S49)&lt;100)</formula>
    </cfRule>
    <cfRule type="expression" dxfId="595" priority="320">
      <formula>AND($A49="",ABS(S49)&gt;=100)</formula>
    </cfRule>
  </conditionalFormatting>
  <conditionalFormatting sqref="S48">
    <cfRule type="expression" dxfId="594" priority="311">
      <formula>AND($D48&lt;&gt;"",S$14&lt;&gt;"",S48="")</formula>
    </cfRule>
    <cfRule type="expression" dxfId="593" priority="312">
      <formula>AND($A48="",ABS(S48)=0)</formula>
    </cfRule>
    <cfRule type="expression" dxfId="592" priority="313">
      <formula>AND($A48="",ABS(S48)&lt;10)</formula>
    </cfRule>
    <cfRule type="expression" dxfId="591" priority="314">
      <formula>AND($A48="",ABS(S48)&lt;100)</formula>
    </cfRule>
    <cfRule type="expression" dxfId="590" priority="315">
      <formula>AND($A48="",ABS(S48)&gt;=100)</formula>
    </cfRule>
  </conditionalFormatting>
  <conditionalFormatting sqref="S52:S56 S58:S59">
    <cfRule type="expression" dxfId="589" priority="306">
      <formula>AND($D52&lt;&gt;"",S$14&lt;&gt;"",S52="")</formula>
    </cfRule>
    <cfRule type="expression" dxfId="588" priority="307">
      <formula>AND($A52="",ABS(S52)=0)</formula>
    </cfRule>
    <cfRule type="expression" dxfId="587" priority="308">
      <formula>AND($A52="",ABS(S52)&lt;10)</formula>
    </cfRule>
    <cfRule type="expression" dxfId="586" priority="309">
      <formula>AND($A52="",ABS(S52)&lt;100)</formula>
    </cfRule>
    <cfRule type="expression" dxfId="585" priority="310">
      <formula>AND($A52="",ABS(S52)&gt;=100)</formula>
    </cfRule>
  </conditionalFormatting>
  <conditionalFormatting sqref="S60">
    <cfRule type="expression" dxfId="584" priority="301">
      <formula>AND($D60&lt;&gt;"",S$14&lt;&gt;"",S60="")</formula>
    </cfRule>
    <cfRule type="expression" dxfId="583" priority="302">
      <formula>AND($A60="",ABS(S60)=0)</formula>
    </cfRule>
    <cfRule type="expression" dxfId="582" priority="303">
      <formula>AND($A60="",ABS(S60)&lt;10)</formula>
    </cfRule>
    <cfRule type="expression" dxfId="581" priority="304">
      <formula>AND($A60="",ABS(S60)&lt;100)</formula>
    </cfRule>
    <cfRule type="expression" dxfId="580" priority="305">
      <formula>AND($A60="",ABS(S60)&gt;=100)</formula>
    </cfRule>
  </conditionalFormatting>
  <conditionalFormatting sqref="S42">
    <cfRule type="expression" dxfId="579" priority="296">
      <formula>AND($D42&lt;&gt;"",S$14&lt;&gt;"",S42="")</formula>
    </cfRule>
    <cfRule type="expression" dxfId="578" priority="297">
      <formula>AND($A42="",ABS(S42)=0)</formula>
    </cfRule>
    <cfRule type="expression" dxfId="577" priority="298">
      <formula>AND($A42="",ABS(S42)&lt;10)</formula>
    </cfRule>
    <cfRule type="expression" dxfId="576" priority="299">
      <formula>AND($A42="",ABS(S42)&lt;100)</formula>
    </cfRule>
    <cfRule type="expression" dxfId="575" priority="300">
      <formula>AND($A42="",ABS(S42)&gt;=100)</formula>
    </cfRule>
  </conditionalFormatting>
  <conditionalFormatting sqref="S57">
    <cfRule type="expression" dxfId="574" priority="291">
      <formula>AND($D57&lt;&gt;"",S$14&lt;&gt;"",S57="")</formula>
    </cfRule>
    <cfRule type="expression" dxfId="573" priority="292">
      <formula>AND($A57="",ABS(S57)=0)</formula>
    </cfRule>
    <cfRule type="expression" dxfId="572" priority="293">
      <formula>AND($A57="",ABS(S57)&lt;10)</formula>
    </cfRule>
    <cfRule type="expression" dxfId="571" priority="294">
      <formula>AND($A57="",ABS(S57)&lt;100)</formula>
    </cfRule>
    <cfRule type="expression" dxfId="570" priority="295">
      <formula>AND($A57="",ABS(S57)&gt;=100)</formula>
    </cfRule>
  </conditionalFormatting>
  <conditionalFormatting sqref="S51">
    <cfRule type="expression" dxfId="569" priority="286">
      <formula>AND($D51&lt;&gt;"",S$14&lt;&gt;"",S51="")</formula>
    </cfRule>
    <cfRule type="expression" dxfId="568" priority="287">
      <formula>AND($A51="",ABS(S51)=0)</formula>
    </cfRule>
    <cfRule type="expression" dxfId="567" priority="288">
      <formula>AND($A51="",ABS(S51)&lt;10)</formula>
    </cfRule>
    <cfRule type="expression" dxfId="566" priority="289">
      <formula>AND($A51="",ABS(S51)&lt;100)</formula>
    </cfRule>
    <cfRule type="expression" dxfId="565" priority="290">
      <formula>AND($A51="",ABS(S51)&gt;=100)</formula>
    </cfRule>
  </conditionalFormatting>
  <conditionalFormatting sqref="S63:S68">
    <cfRule type="expression" dxfId="564" priority="341">
      <formula>AND($D62&lt;&gt;"",S$14&lt;&gt;"",S63="")</formula>
    </cfRule>
  </conditionalFormatting>
  <conditionalFormatting sqref="S70">
    <cfRule type="expression" dxfId="563" priority="342">
      <formula>AND($D68&lt;&gt;"",S$14&lt;&gt;"",S70="")</formula>
    </cfRule>
    <cfRule type="expression" dxfId="562" priority="343">
      <formula>AND($A68="",ABS(S70)=0)</formula>
    </cfRule>
    <cfRule type="expression" dxfId="561" priority="344">
      <formula>AND($A68="",ABS(S70)&lt;10)</formula>
    </cfRule>
    <cfRule type="expression" dxfId="560" priority="345">
      <formula>AND($A68="",ABS(S70)&lt;100)</formula>
    </cfRule>
    <cfRule type="expression" dxfId="559" priority="346">
      <formula>AND($A68="",ABS(S70)&gt;=100)</formula>
    </cfRule>
  </conditionalFormatting>
  <conditionalFormatting sqref="S69">
    <cfRule type="expression" dxfId="558" priority="281">
      <formula>AND($D68&lt;&gt;"",S$14&lt;&gt;"",S69="")</formula>
    </cfRule>
    <cfRule type="expression" dxfId="557" priority="282">
      <formula>AND($A68="",ABS(S69)=0)</formula>
    </cfRule>
    <cfRule type="expression" dxfId="556" priority="283">
      <formula>AND($A68="",ABS(S69)&lt;10)</formula>
    </cfRule>
    <cfRule type="expression" dxfId="555" priority="284">
      <formula>AND($A68="",ABS(S69)&lt;100)</formula>
    </cfRule>
    <cfRule type="expression" dxfId="554" priority="285">
      <formula>AND($A68="",ABS(S69)&gt;=100)</formula>
    </cfRule>
  </conditionalFormatting>
  <conditionalFormatting sqref="S62">
    <cfRule type="expression" dxfId="553" priority="276">
      <formula>AND($D62&lt;&gt;"",S$14&lt;&gt;"",S62="")</formula>
    </cfRule>
    <cfRule type="expression" dxfId="552" priority="277">
      <formula>AND($A62="",ABS(S62)=0)</formula>
    </cfRule>
    <cfRule type="expression" dxfId="551" priority="278">
      <formula>AND($A62="",ABS(S62)&lt;10)</formula>
    </cfRule>
    <cfRule type="expression" dxfId="550" priority="279">
      <formula>AND($A62="",ABS(S62)&lt;100)</formula>
    </cfRule>
    <cfRule type="expression" dxfId="549" priority="280">
      <formula>AND($A62="",ABS(S62)&gt;=100)</formula>
    </cfRule>
  </conditionalFormatting>
  <conditionalFormatting sqref="H90:S90">
    <cfRule type="expression" dxfId="548" priority="3156">
      <formula>AND($D90&lt;&gt;"",H$14&lt;&gt;"",H90="")</formula>
    </cfRule>
    <cfRule type="expression" dxfId="547" priority="3157">
      <formula>AND($A89="",ABS(H90)=0)</formula>
    </cfRule>
    <cfRule type="expression" dxfId="546" priority="3158">
      <formula>AND($A89="",ABS(H90)&lt;10)</formula>
    </cfRule>
    <cfRule type="expression" dxfId="545" priority="3159">
      <formula>AND($A89="",ABS(H90)&lt;100)</formula>
    </cfRule>
    <cfRule type="expression" dxfId="544" priority="3160">
      <formula>AND($A89="",ABS(H90)&gt;=100)</formula>
    </cfRule>
  </conditionalFormatting>
  <conditionalFormatting sqref="U89:CE89">
    <cfRule type="expression" dxfId="543" priority="3216">
      <formula>AND($D90&lt;&gt;"",U$14&lt;&gt;"",U89="")</formula>
    </cfRule>
    <cfRule type="expression" dxfId="542" priority="3217">
      <formula>AND($A89="",ABS(U89)=0)</formula>
    </cfRule>
    <cfRule type="expression" dxfId="541" priority="3218">
      <formula>AND($A89="",ABS(U89)&lt;10)</formula>
    </cfRule>
    <cfRule type="expression" dxfId="540" priority="3219">
      <formula>AND($A89="",ABS(U89)&lt;100)</formula>
    </cfRule>
    <cfRule type="expression" dxfId="539" priority="3220">
      <formula>AND($A89="",ABS(U89)&gt;=100)</formula>
    </cfRule>
  </conditionalFormatting>
  <conditionalFormatting sqref="U90:CE90">
    <cfRule type="expression" dxfId="538" priority="3221">
      <formula>AND(#REF!&lt;&gt;"",U$14&lt;&gt;"",U90="")</formula>
    </cfRule>
    <cfRule type="expression" dxfId="537" priority="3222">
      <formula>AND($A90="",ABS(U90)=0)</formula>
    </cfRule>
    <cfRule type="expression" dxfId="536" priority="3223">
      <formula>AND($A90="",ABS(U90)&lt;10)</formula>
    </cfRule>
    <cfRule type="expression" dxfId="535" priority="3224">
      <formula>AND($A90="",ABS(U90)&lt;100)</formula>
    </cfRule>
    <cfRule type="expression" dxfId="534" priority="3225">
      <formula>AND($A90="",ABS(U90)&gt;=100)</formula>
    </cfRule>
  </conditionalFormatting>
  <conditionalFormatting sqref="H89:S89">
    <cfRule type="expression" dxfId="533" priority="3231">
      <formula>AND($D89&lt;&gt;"",H$14&lt;&gt;"",H89="")</formula>
    </cfRule>
    <cfRule type="expression" dxfId="532" priority="3232">
      <formula>AND($A91="",ABS(H89)=0)</formula>
    </cfRule>
    <cfRule type="expression" dxfId="531" priority="3233">
      <formula>AND($A91="",ABS(H89)&lt;10)</formula>
    </cfRule>
    <cfRule type="expression" dxfId="530" priority="3234">
      <formula>AND($A91="",ABS(H89)&lt;100)</formula>
    </cfRule>
    <cfRule type="expression" dxfId="529" priority="3235">
      <formula>AND($A91="",ABS(H89)&gt;=100)</formula>
    </cfRule>
  </conditionalFormatting>
  <conditionalFormatting sqref="U91:CE91">
    <cfRule type="expression" dxfId="528" priority="3236">
      <formula>AND($D89&lt;&gt;"",U$14&lt;&gt;"",U91="")</formula>
    </cfRule>
    <cfRule type="expression" dxfId="527" priority="3237">
      <formula>AND($A91="",ABS(U91)=0)</formula>
    </cfRule>
    <cfRule type="expression" dxfId="526" priority="3238">
      <formula>AND($A91="",ABS(U91)&lt;10)</formula>
    </cfRule>
    <cfRule type="expression" dxfId="525" priority="3239">
      <formula>AND($A91="",ABS(U91)&lt;100)</formula>
    </cfRule>
    <cfRule type="expression" dxfId="524" priority="3240">
      <formula>AND($A91="",ABS(U91)&gt;=100)</formula>
    </cfRule>
  </conditionalFormatting>
  <conditionalFormatting sqref="H91:S91">
    <cfRule type="expression" dxfId="523" priority="3266">
      <formula>AND($D91&lt;&gt;"",H$14&lt;&gt;"",H91="")</formula>
    </cfRule>
    <cfRule type="expression" dxfId="522" priority="3267">
      <formula>AND(#REF!="",ABS(H91)=0)</formula>
    </cfRule>
    <cfRule type="expression" dxfId="521" priority="3268">
      <formula>AND(#REF!="",ABS(H91)&lt;10)</formula>
    </cfRule>
    <cfRule type="expression" dxfId="520" priority="3269">
      <formula>AND(#REF!="",ABS(H91)&lt;100)</formula>
    </cfRule>
    <cfRule type="expression" dxfId="519" priority="3270">
      <formula>AND(#REF!="",ABS(H91)&gt;=100)</formula>
    </cfRule>
  </conditionalFormatting>
  <conditionalFormatting sqref="T40:T41 T14:T18 T72:T88 T92:T10021">
    <cfRule type="expression" dxfId="518" priority="92">
      <formula>AND($D14&lt;&gt;"",T$14&lt;&gt;"",T14="")</formula>
    </cfRule>
    <cfRule type="expression" dxfId="517" priority="93">
      <formula>AND($A14="",ABS(T14)=0)</formula>
    </cfRule>
    <cfRule type="expression" dxfId="516" priority="94">
      <formula>AND($A14="",ABS(T14)&lt;10)</formula>
    </cfRule>
    <cfRule type="expression" dxfId="515" priority="95">
      <formula>AND($A14="",ABS(T14)&lt;100)</formula>
    </cfRule>
    <cfRule type="expression" dxfId="514" priority="96">
      <formula>AND($A14="",ABS(T14)&gt;=100)</formula>
    </cfRule>
  </conditionalFormatting>
  <conditionalFormatting sqref="T25:T39 T19:T20">
    <cfRule type="expression" dxfId="513" priority="87">
      <formula>AND($D19&lt;&gt;"",T$14&lt;&gt;"",T19="")</formula>
    </cfRule>
    <cfRule type="expression" dxfId="512" priority="88">
      <formula>AND($A19="",ABS(T19)=0)</formula>
    </cfRule>
    <cfRule type="expression" dxfId="511" priority="89">
      <formula>AND($A19="",ABS(T19)&lt;10)</formula>
    </cfRule>
    <cfRule type="expression" dxfId="510" priority="90">
      <formula>AND($A19="",ABS(T19)&lt;100)</formula>
    </cfRule>
    <cfRule type="expression" dxfId="509" priority="91">
      <formula>AND($A19="",ABS(T19)&gt;=100)</formula>
    </cfRule>
  </conditionalFormatting>
  <conditionalFormatting sqref="T21">
    <cfRule type="expression" dxfId="508" priority="82">
      <formula>AND($D21&lt;&gt;"",T$14&lt;&gt;"",T21="")</formula>
    </cfRule>
    <cfRule type="expression" dxfId="507" priority="83">
      <formula>AND($A21="",ABS(T21)=0)</formula>
    </cfRule>
    <cfRule type="expression" dxfId="506" priority="84">
      <formula>AND($A21="",ABS(T21)&lt;10)</formula>
    </cfRule>
    <cfRule type="expression" dxfId="505" priority="85">
      <formula>AND($A21="",ABS(T21)&lt;100)</formula>
    </cfRule>
    <cfRule type="expression" dxfId="504" priority="86">
      <formula>AND($A21="",ABS(T21)&gt;=100)</formula>
    </cfRule>
  </conditionalFormatting>
  <conditionalFormatting sqref="T22:T23">
    <cfRule type="expression" dxfId="503" priority="77">
      <formula>AND($D22&lt;&gt;"",T$14&lt;&gt;"",T22="")</formula>
    </cfRule>
    <cfRule type="expression" dxfId="502" priority="78">
      <formula>AND($A22="",ABS(T22)=0)</formula>
    </cfRule>
    <cfRule type="expression" dxfId="501" priority="79">
      <formula>AND($A22="",ABS(T22)&lt;10)</formula>
    </cfRule>
    <cfRule type="expression" dxfId="500" priority="80">
      <formula>AND($A22="",ABS(T22)&lt;100)</formula>
    </cfRule>
    <cfRule type="expression" dxfId="499" priority="81">
      <formula>AND($A22="",ABS(T22)&gt;=100)</formula>
    </cfRule>
  </conditionalFormatting>
  <conditionalFormatting sqref="T24">
    <cfRule type="expression" dxfId="498" priority="72">
      <formula>AND($D24&lt;&gt;"",T$14&lt;&gt;"",T24="")</formula>
    </cfRule>
    <cfRule type="expression" dxfId="497" priority="73">
      <formula>AND($A24="",ABS(T24)=0)</formula>
    </cfRule>
    <cfRule type="expression" dxfId="496" priority="74">
      <formula>AND($A24="",ABS(T24)&lt;10)</formula>
    </cfRule>
    <cfRule type="expression" dxfId="495" priority="75">
      <formula>AND($A24="",ABS(T24)&lt;100)</formula>
    </cfRule>
    <cfRule type="expression" dxfId="494" priority="76">
      <formula>AND($A24="",ABS(T24)&gt;=100)</formula>
    </cfRule>
  </conditionalFormatting>
  <conditionalFormatting sqref="T61 T71">
    <cfRule type="expression" dxfId="493" priority="61">
      <formula>AND($D61&lt;&gt;"",T$14&lt;&gt;"",T61="")</formula>
    </cfRule>
    <cfRule type="expression" dxfId="492" priority="62">
      <formula>AND($A61="",ABS(T61)=0)</formula>
    </cfRule>
    <cfRule type="expression" dxfId="491" priority="63">
      <formula>AND($A61="",ABS(T61)&lt;10)</formula>
    </cfRule>
    <cfRule type="expression" dxfId="490" priority="64">
      <formula>AND($A61="",ABS(T61)&lt;100)</formula>
    </cfRule>
    <cfRule type="expression" dxfId="489" priority="65">
      <formula>AND($A61="",ABS(T61)&gt;=100)</formula>
    </cfRule>
  </conditionalFormatting>
  <conditionalFormatting sqref="T44">
    <cfRule type="expression" dxfId="488" priority="56">
      <formula>AND($D44&lt;&gt;"",T$14&lt;&gt;"",T44="")</formula>
    </cfRule>
    <cfRule type="expression" dxfId="487" priority="57">
      <formula>AND($A44="",ABS(T44)=0)</formula>
    </cfRule>
    <cfRule type="expression" dxfId="486" priority="58">
      <formula>AND($A44="",ABS(T44)&lt;10)</formula>
    </cfRule>
    <cfRule type="expression" dxfId="485" priority="59">
      <formula>AND($A44="",ABS(T44)&lt;100)</formula>
    </cfRule>
    <cfRule type="expression" dxfId="484" priority="60">
      <formula>AND($A44="",ABS(T44)&gt;=100)</formula>
    </cfRule>
  </conditionalFormatting>
  <conditionalFormatting sqref="T45:T47">
    <cfRule type="expression" dxfId="483" priority="51">
      <formula>AND($D45&lt;&gt;"",T$14&lt;&gt;"",T45="")</formula>
    </cfRule>
    <cfRule type="expression" dxfId="482" priority="52">
      <formula>AND($A45="",ABS(T45)=0)</formula>
    </cfRule>
    <cfRule type="expression" dxfId="481" priority="53">
      <formula>AND($A45="",ABS(T45)&lt;10)</formula>
    </cfRule>
    <cfRule type="expression" dxfId="480" priority="54">
      <formula>AND($A45="",ABS(T45)&lt;100)</formula>
    </cfRule>
    <cfRule type="expression" dxfId="479" priority="55">
      <formula>AND($A45="",ABS(T45)&gt;=100)</formula>
    </cfRule>
  </conditionalFormatting>
  <conditionalFormatting sqref="T43">
    <cfRule type="expression" dxfId="478" priority="46">
      <formula>AND($D43&lt;&gt;"",T$14&lt;&gt;"",T43="")</formula>
    </cfRule>
    <cfRule type="expression" dxfId="477" priority="47">
      <formula>AND($A43="",ABS(T43)=0)</formula>
    </cfRule>
    <cfRule type="expression" dxfId="476" priority="48">
      <formula>AND($A43="",ABS(T43)&lt;10)</formula>
    </cfRule>
    <cfRule type="expression" dxfId="475" priority="49">
      <formula>AND($A43="",ABS(T43)&lt;100)</formula>
    </cfRule>
    <cfRule type="expression" dxfId="474" priority="50">
      <formula>AND($A43="",ABS(T43)&gt;=100)</formula>
    </cfRule>
  </conditionalFormatting>
  <conditionalFormatting sqref="T49:T50">
    <cfRule type="expression" dxfId="473" priority="41">
      <formula>AND($D49&lt;&gt;"",T$14&lt;&gt;"",T49="")</formula>
    </cfRule>
    <cfRule type="expression" dxfId="472" priority="42">
      <formula>AND($A49="",ABS(T49)=0)</formula>
    </cfRule>
    <cfRule type="expression" dxfId="471" priority="43">
      <formula>AND($A49="",ABS(T49)&lt;10)</formula>
    </cfRule>
    <cfRule type="expression" dxfId="470" priority="44">
      <formula>AND($A49="",ABS(T49)&lt;100)</formula>
    </cfRule>
    <cfRule type="expression" dxfId="469" priority="45">
      <formula>AND($A49="",ABS(T49)&gt;=100)</formula>
    </cfRule>
  </conditionalFormatting>
  <conditionalFormatting sqref="T48">
    <cfRule type="expression" dxfId="468" priority="36">
      <formula>AND($D48&lt;&gt;"",T$14&lt;&gt;"",T48="")</formula>
    </cfRule>
    <cfRule type="expression" dxfId="467" priority="37">
      <formula>AND($A48="",ABS(T48)=0)</formula>
    </cfRule>
    <cfRule type="expression" dxfId="466" priority="38">
      <formula>AND($A48="",ABS(T48)&lt;10)</formula>
    </cfRule>
    <cfRule type="expression" dxfId="465" priority="39">
      <formula>AND($A48="",ABS(T48)&lt;100)</formula>
    </cfRule>
    <cfRule type="expression" dxfId="464" priority="40">
      <formula>AND($A48="",ABS(T48)&gt;=100)</formula>
    </cfRule>
  </conditionalFormatting>
  <conditionalFormatting sqref="T52:T56 T58:T59">
    <cfRule type="expression" dxfId="463" priority="31">
      <formula>AND($D52&lt;&gt;"",T$14&lt;&gt;"",T52="")</formula>
    </cfRule>
    <cfRule type="expression" dxfId="462" priority="32">
      <formula>AND($A52="",ABS(T52)=0)</formula>
    </cfRule>
    <cfRule type="expression" dxfId="461" priority="33">
      <formula>AND($A52="",ABS(T52)&lt;10)</formula>
    </cfRule>
    <cfRule type="expression" dxfId="460" priority="34">
      <formula>AND($A52="",ABS(T52)&lt;100)</formula>
    </cfRule>
    <cfRule type="expression" dxfId="459" priority="35">
      <formula>AND($A52="",ABS(T52)&gt;=100)</formula>
    </cfRule>
  </conditionalFormatting>
  <conditionalFormatting sqref="T60">
    <cfRule type="expression" dxfId="458" priority="26">
      <formula>AND($D60&lt;&gt;"",T$14&lt;&gt;"",T60="")</formula>
    </cfRule>
    <cfRule type="expression" dxfId="457" priority="27">
      <formula>AND($A60="",ABS(T60)=0)</formula>
    </cfRule>
    <cfRule type="expression" dxfId="456" priority="28">
      <formula>AND($A60="",ABS(T60)&lt;10)</formula>
    </cfRule>
    <cfRule type="expression" dxfId="455" priority="29">
      <formula>AND($A60="",ABS(T60)&lt;100)</formula>
    </cfRule>
    <cfRule type="expression" dxfId="454" priority="30">
      <formula>AND($A60="",ABS(T60)&gt;=100)</formula>
    </cfRule>
  </conditionalFormatting>
  <conditionalFormatting sqref="T42">
    <cfRule type="expression" dxfId="453" priority="21">
      <formula>AND($D42&lt;&gt;"",T$14&lt;&gt;"",T42="")</formula>
    </cfRule>
    <cfRule type="expression" dxfId="452" priority="22">
      <formula>AND($A42="",ABS(T42)=0)</formula>
    </cfRule>
    <cfRule type="expression" dxfId="451" priority="23">
      <formula>AND($A42="",ABS(T42)&lt;10)</formula>
    </cfRule>
    <cfRule type="expression" dxfId="450" priority="24">
      <formula>AND($A42="",ABS(T42)&lt;100)</formula>
    </cfRule>
    <cfRule type="expression" dxfId="449" priority="25">
      <formula>AND($A42="",ABS(T42)&gt;=100)</formula>
    </cfRule>
  </conditionalFormatting>
  <conditionalFormatting sqref="T57">
    <cfRule type="expression" dxfId="448" priority="16">
      <formula>AND($D57&lt;&gt;"",T$14&lt;&gt;"",T57="")</formula>
    </cfRule>
    <cfRule type="expression" dxfId="447" priority="17">
      <formula>AND($A57="",ABS(T57)=0)</formula>
    </cfRule>
    <cfRule type="expression" dxfId="446" priority="18">
      <formula>AND($A57="",ABS(T57)&lt;10)</formula>
    </cfRule>
    <cfRule type="expression" dxfId="445" priority="19">
      <formula>AND($A57="",ABS(T57)&lt;100)</formula>
    </cfRule>
    <cfRule type="expression" dxfId="444" priority="20">
      <formula>AND($A57="",ABS(T57)&gt;=100)</formula>
    </cfRule>
  </conditionalFormatting>
  <conditionalFormatting sqref="T51">
    <cfRule type="expression" dxfId="443" priority="11">
      <formula>AND($D51&lt;&gt;"",T$14&lt;&gt;"",T51="")</formula>
    </cfRule>
    <cfRule type="expression" dxfId="442" priority="12">
      <formula>AND($A51="",ABS(T51)=0)</formula>
    </cfRule>
    <cfRule type="expression" dxfId="441" priority="13">
      <formula>AND($A51="",ABS(T51)&lt;10)</formula>
    </cfRule>
    <cfRule type="expression" dxfId="440" priority="14">
      <formula>AND($A51="",ABS(T51)&lt;100)</formula>
    </cfRule>
    <cfRule type="expression" dxfId="439" priority="15">
      <formula>AND($A51="",ABS(T51)&gt;=100)</formula>
    </cfRule>
  </conditionalFormatting>
  <conditionalFormatting sqref="T63:T68">
    <cfRule type="expression" dxfId="438" priority="66">
      <formula>AND($D62&lt;&gt;"",T$14&lt;&gt;"",T63="")</formula>
    </cfRule>
  </conditionalFormatting>
  <conditionalFormatting sqref="T70">
    <cfRule type="expression" dxfId="437" priority="67">
      <formula>AND($D68&lt;&gt;"",T$14&lt;&gt;"",T70="")</formula>
    </cfRule>
    <cfRule type="expression" dxfId="436" priority="68">
      <formula>AND($A68="",ABS(T70)=0)</formula>
    </cfRule>
    <cfRule type="expression" dxfId="435" priority="69">
      <formula>AND($A68="",ABS(T70)&lt;10)</formula>
    </cfRule>
    <cfRule type="expression" dxfId="434" priority="70">
      <formula>AND($A68="",ABS(T70)&lt;100)</formula>
    </cfRule>
    <cfRule type="expression" dxfId="433" priority="71">
      <formula>AND($A68="",ABS(T70)&gt;=100)</formula>
    </cfRule>
  </conditionalFormatting>
  <conditionalFormatting sqref="T69">
    <cfRule type="expression" dxfId="432" priority="6">
      <formula>AND($D68&lt;&gt;"",T$14&lt;&gt;"",T69="")</formula>
    </cfRule>
    <cfRule type="expression" dxfId="431" priority="7">
      <formula>AND($A68="",ABS(T69)=0)</formula>
    </cfRule>
    <cfRule type="expression" dxfId="430" priority="8">
      <formula>AND($A68="",ABS(T69)&lt;10)</formula>
    </cfRule>
    <cfRule type="expression" dxfId="429" priority="9">
      <formula>AND($A68="",ABS(T69)&lt;100)</formula>
    </cfRule>
    <cfRule type="expression" dxfId="428" priority="10">
      <formula>AND($A68="",ABS(T69)&gt;=100)</formula>
    </cfRule>
  </conditionalFormatting>
  <conditionalFormatting sqref="T62">
    <cfRule type="expression" dxfId="427" priority="1">
      <formula>AND($D62&lt;&gt;"",T$14&lt;&gt;"",T62="")</formula>
    </cfRule>
    <cfRule type="expression" dxfId="426" priority="2">
      <formula>AND($A62="",ABS(T62)=0)</formula>
    </cfRule>
    <cfRule type="expression" dxfId="425" priority="3">
      <formula>AND($A62="",ABS(T62)&lt;10)</formula>
    </cfRule>
    <cfRule type="expression" dxfId="424" priority="4">
      <formula>AND($A62="",ABS(T62)&lt;100)</formula>
    </cfRule>
    <cfRule type="expression" dxfId="423" priority="5">
      <formula>AND($A62="",ABS(T62)&gt;=100)</formula>
    </cfRule>
  </conditionalFormatting>
  <conditionalFormatting sqref="T90">
    <cfRule type="expression" dxfId="422" priority="97">
      <formula>AND($D90&lt;&gt;"",T$14&lt;&gt;"",T90="")</formula>
    </cfRule>
    <cfRule type="expression" dxfId="421" priority="98">
      <formula>AND($A89="",ABS(T90)=0)</formula>
    </cfRule>
    <cfRule type="expression" dxfId="420" priority="99">
      <formula>AND($A89="",ABS(T90)&lt;10)</formula>
    </cfRule>
    <cfRule type="expression" dxfId="419" priority="100">
      <formula>AND($A89="",ABS(T90)&lt;100)</formula>
    </cfRule>
    <cfRule type="expression" dxfId="418" priority="101">
      <formula>AND($A89="",ABS(T90)&gt;=100)</formula>
    </cfRule>
  </conditionalFormatting>
  <conditionalFormatting sqref="T89">
    <cfRule type="expression" dxfId="417" priority="102">
      <formula>AND($D89&lt;&gt;"",T$14&lt;&gt;"",T89="")</formula>
    </cfRule>
    <cfRule type="expression" dxfId="416" priority="103">
      <formula>AND($A91="",ABS(T89)=0)</formula>
    </cfRule>
    <cfRule type="expression" dxfId="415" priority="104">
      <formula>AND($A91="",ABS(T89)&lt;10)</formula>
    </cfRule>
    <cfRule type="expression" dxfId="414" priority="105">
      <formula>AND($A91="",ABS(T89)&lt;100)</formula>
    </cfRule>
    <cfRule type="expression" dxfId="413" priority="106">
      <formula>AND($A91="",ABS(T89)&gt;=100)</formula>
    </cfRule>
  </conditionalFormatting>
  <conditionalFormatting sqref="T91">
    <cfRule type="expression" dxfId="412" priority="107">
      <formula>AND($D91&lt;&gt;"",T$14&lt;&gt;"",T91="")</formula>
    </cfRule>
    <cfRule type="expression" dxfId="411" priority="108">
      <formula>AND(#REF!="",ABS(T91)=0)</formula>
    </cfRule>
    <cfRule type="expression" dxfId="410" priority="109">
      <formula>AND(#REF!="",ABS(T91)&lt;10)</formula>
    </cfRule>
    <cfRule type="expression" dxfId="409" priority="110">
      <formula>AND(#REF!="",ABS(T91)&lt;100)</formula>
    </cfRule>
    <cfRule type="expression" dxfId="408" priority="111">
      <formula>AND(#REF!="",ABS(T91)&gt;=100)</formula>
    </cfRule>
  </conditionalFormatting>
  <dataValidations count="2">
    <dataValidation type="list" allowBlank="1" showInputMessage="1" showErrorMessage="1" sqref="G2" xr:uid="{00000000-0002-0000-0600-000000000000}">
      <formula1>Sprache</formula1>
    </dataValidation>
    <dataValidation allowBlank="1" showInputMessage="1" showErrorMessage="1" sqref="F2" xr:uid="{9FB919A9-F11A-48DE-9D83-EF16F59A09C9}"/>
  </dataValidations>
  <hyperlinks>
    <hyperlink ref="C10" location="GRI_305_4" display="GRI_305_4" xr:uid="{00000000-0004-0000-0600-000000000000}"/>
    <hyperlink ref="C9" location="GRI_305_3" display="GRI_305_3" xr:uid="{00000000-0004-0000-0600-000001000000}"/>
    <hyperlink ref="C8" location="GRI_305_2" display="GRI_305_2" xr:uid="{00000000-0004-0000-0600-000002000000}"/>
    <hyperlink ref="C7" location="GRI_305_1" display="GRI_305_1" xr:uid="{00000000-0004-0000-0600-000003000000}"/>
    <hyperlink ref="A14" location="GRI_305" display="Ó" xr:uid="{00000000-0004-0000-0600-000004000000}"/>
    <hyperlink ref="A84" location="GRI_305" display="Ó" xr:uid="{00000000-0004-0000-0600-000005000000}"/>
    <hyperlink ref="A97" location="GRI_305" display="Ó" xr:uid="{00000000-0004-0000-0600-000006000000}"/>
    <hyperlink ref="A106" location="GRI_305" display="Ó" xr:uid="{00000000-0004-0000-0600-000007000000}"/>
    <hyperlink ref="A121" location="GRI_305" display="Ó" xr:uid="{00000000-0004-0000-0600-000008000000}"/>
    <hyperlink ref="C11" location="GRI_305_6_7" display="GRI_305_6_7" xr:uid="{00000000-0004-0000-0600-000009000000}"/>
    <hyperlink ref="D2" location="Home" display="Home" xr:uid="{00000000-0004-0000-0600-00000A000000}"/>
  </hyperlinks>
  <pageMargins left="0.7" right="0.7" top="0.78740157499999996" bottom="0.78740157499999996"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12">
    <tabColor rgb="FF9E2A2F"/>
  </sheetPr>
  <dimension ref="A2:CK170"/>
  <sheetViews>
    <sheetView showGridLines="0" showRowColHeaders="0" zoomScaleNormal="100" workbookViewId="0">
      <pane xSplit="7" topLeftCell="O1" activePane="topRight" state="frozen"/>
      <selection activeCell="B3" sqref="B3:C3"/>
      <selection pane="topRight" activeCell="B3" sqref="B3:C3"/>
    </sheetView>
  </sheetViews>
  <sheetFormatPr baseColWidth="10" defaultColWidth="10.85546875" defaultRowHeight="12.95" customHeight="1" x14ac:dyDescent="0.2"/>
  <cols>
    <col min="1" max="1" width="2.42578125" style="66" customWidth="1"/>
    <col min="2" max="2" width="2.42578125" style="1" customWidth="1"/>
    <col min="3" max="3" width="49.140625" style="1" customWidth="1"/>
    <col min="4" max="4" width="35.42578125" style="1" customWidth="1"/>
    <col min="5" max="5" width="10.5703125" style="9" bestFit="1" customWidth="1"/>
    <col min="6" max="6" width="14.140625" style="9" customWidth="1"/>
    <col min="7" max="7" width="2.42578125" style="34" customWidth="1"/>
    <col min="8" max="13" width="12" style="9" customWidth="1"/>
    <col min="14" max="19" width="11.7109375" style="9" customWidth="1"/>
    <col min="20" max="26" width="11.7109375" style="11" customWidth="1"/>
    <col min="27" max="89" width="11.7109375" style="9" customWidth="1"/>
    <col min="90" max="16384" width="10.85546875" style="1"/>
  </cols>
  <sheetData>
    <row r="2" spans="1:89" s="89" customFormat="1" ht="26.1" customHeight="1" x14ac:dyDescent="0.2">
      <c r="A2" s="63"/>
      <c r="B2" s="406" t="str">
        <f>UPPER(RIGHT(Inhaltsverzeichnis!$C$27,LEN(Inhaltsverzeichnis!$C$27)-FIND(" – ",Inhaltsverzeichnis!$C$27,1)-2))</f>
        <v>EMPLOI</v>
      </c>
      <c r="C2" s="406"/>
      <c r="D2" s="402" t="str">
        <f>VLOOKUP(35,Textbausteine_Menu[],Hilfsgrössen!$D$2,FALSE)</f>
        <v>retour à la table des matières</v>
      </c>
      <c r="E2" s="403"/>
      <c r="F2" s="83" t="s">
        <v>149</v>
      </c>
      <c r="G2" s="96"/>
      <c r="H2" s="67"/>
      <c r="I2" s="67"/>
      <c r="J2" s="67"/>
      <c r="K2" s="67"/>
      <c r="L2" s="67"/>
      <c r="M2" s="67"/>
      <c r="N2" s="27"/>
      <c r="O2" s="27"/>
      <c r="P2" s="27"/>
      <c r="Q2" s="27"/>
      <c r="R2" s="27"/>
      <c r="S2" s="27"/>
      <c r="T2" s="71"/>
      <c r="U2" s="71"/>
      <c r="V2" s="71"/>
      <c r="W2" s="71"/>
      <c r="X2" s="71"/>
      <c r="Y2" s="71"/>
      <c r="Z2" s="71"/>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c r="BA2" s="27"/>
      <c r="BB2" s="27"/>
      <c r="BC2" s="27"/>
      <c r="BD2" s="27"/>
      <c r="BE2" s="27"/>
      <c r="BF2" s="27"/>
      <c r="BG2" s="27"/>
      <c r="BH2" s="27"/>
      <c r="BI2" s="27"/>
      <c r="BJ2" s="27"/>
      <c r="BK2" s="27"/>
      <c r="BL2" s="27"/>
      <c r="BM2" s="27"/>
      <c r="BN2" s="27"/>
      <c r="BO2" s="27"/>
      <c r="BP2" s="27"/>
      <c r="BQ2" s="27"/>
      <c r="BR2" s="27"/>
      <c r="BS2" s="27"/>
      <c r="BT2" s="27"/>
      <c r="BU2" s="27"/>
      <c r="BV2" s="27"/>
      <c r="BW2" s="27"/>
      <c r="BX2" s="27"/>
      <c r="BY2" s="27"/>
      <c r="BZ2" s="27"/>
      <c r="CA2" s="27"/>
      <c r="CB2" s="27"/>
      <c r="CC2" s="27"/>
      <c r="CD2" s="27"/>
      <c r="CE2" s="27"/>
      <c r="CF2" s="27"/>
      <c r="CG2" s="27"/>
      <c r="CH2" s="27"/>
      <c r="CI2" s="27"/>
      <c r="CJ2" s="27"/>
      <c r="CK2" s="27"/>
    </row>
    <row r="3" spans="1:89" s="90" customFormat="1" ht="26.1" customHeight="1" x14ac:dyDescent="0.2">
      <c r="A3" s="64"/>
      <c r="B3" s="407" t="str">
        <f>UPPER("GRI "&amp;LEFT(Inhaltsverzeichnis!$C$27,3))</f>
        <v>GRI 401</v>
      </c>
      <c r="C3" s="407"/>
      <c r="E3" s="27"/>
      <c r="F3" s="27"/>
      <c r="G3" s="32"/>
      <c r="H3" s="27"/>
      <c r="I3" s="27"/>
      <c r="J3" s="27"/>
      <c r="K3" s="27"/>
      <c r="L3" s="27"/>
      <c r="M3" s="27"/>
      <c r="N3" s="27"/>
      <c r="O3" s="27"/>
      <c r="P3" s="27"/>
      <c r="Q3" s="27"/>
      <c r="R3" s="27"/>
      <c r="S3" s="27"/>
      <c r="T3" s="71"/>
      <c r="U3" s="71"/>
      <c r="V3" s="71"/>
      <c r="W3" s="71"/>
      <c r="X3" s="71"/>
      <c r="Y3" s="71"/>
      <c r="Z3" s="71"/>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c r="BA3" s="27"/>
      <c r="BB3" s="27"/>
      <c r="BC3" s="27"/>
      <c r="BD3" s="27"/>
      <c r="BE3" s="27"/>
      <c r="BF3" s="27"/>
      <c r="BG3" s="27"/>
      <c r="BH3" s="27"/>
      <c r="BI3" s="27"/>
      <c r="BJ3" s="27"/>
      <c r="BK3" s="27"/>
      <c r="BL3" s="27"/>
      <c r="BM3" s="27"/>
      <c r="BN3" s="27"/>
      <c r="BO3" s="27"/>
      <c r="BP3" s="27"/>
      <c r="BQ3" s="27"/>
      <c r="BR3" s="27"/>
      <c r="BS3" s="27"/>
      <c r="BT3" s="27"/>
      <c r="BU3" s="27"/>
      <c r="BV3" s="27"/>
      <c r="BW3" s="27"/>
      <c r="BX3" s="27"/>
      <c r="BY3" s="27"/>
      <c r="BZ3" s="27"/>
      <c r="CA3" s="27"/>
      <c r="CB3" s="27"/>
      <c r="CC3" s="27"/>
      <c r="CD3" s="27"/>
      <c r="CE3" s="27"/>
      <c r="CF3" s="27"/>
      <c r="CG3" s="27"/>
      <c r="CH3" s="27"/>
      <c r="CI3" s="27"/>
      <c r="CJ3" s="27"/>
      <c r="CK3" s="27"/>
    </row>
    <row r="6" spans="1:89" s="6" customFormat="1" ht="12.95" customHeight="1" x14ac:dyDescent="0.2">
      <c r="A6" s="65"/>
      <c r="B6" s="6" t="str">
        <f>VLOOKUP(31,Textbausteine_Menu[],Hilfsgrössen!$D$2,FALSE)</f>
        <v>Divulgations</v>
      </c>
      <c r="E6" s="28"/>
      <c r="F6" s="28"/>
      <c r="G6" s="33"/>
      <c r="H6" s="28"/>
      <c r="I6" s="28"/>
      <c r="J6" s="28"/>
      <c r="K6" s="28"/>
      <c r="L6" s="28"/>
      <c r="M6" s="28"/>
      <c r="N6" s="9"/>
      <c r="O6" s="9"/>
      <c r="P6" s="9"/>
      <c r="Q6" s="9"/>
      <c r="R6" s="9"/>
      <c r="S6" s="9"/>
      <c r="T6" s="11"/>
      <c r="U6" s="11"/>
      <c r="V6" s="11"/>
      <c r="W6" s="11"/>
      <c r="X6" s="11"/>
      <c r="Y6" s="11"/>
      <c r="Z6" s="11"/>
      <c r="AA6" s="9"/>
      <c r="AB6" s="9"/>
      <c r="AC6" s="9"/>
      <c r="AD6" s="9"/>
      <c r="AE6" s="9"/>
      <c r="AF6" s="9"/>
      <c r="AG6" s="9"/>
      <c r="AH6" s="9"/>
      <c r="AI6" s="9"/>
      <c r="AJ6" s="9"/>
      <c r="AK6" s="9"/>
      <c r="AL6" s="9"/>
      <c r="AM6" s="9"/>
      <c r="AN6" s="9"/>
      <c r="AO6" s="9"/>
      <c r="AP6" s="9"/>
      <c r="AQ6" s="9"/>
      <c r="AR6" s="9"/>
      <c r="AS6" s="9"/>
      <c r="AT6" s="9"/>
      <c r="AU6" s="9"/>
      <c r="AV6" s="9"/>
      <c r="AW6" s="9"/>
      <c r="AX6" s="9"/>
      <c r="AY6" s="9"/>
      <c r="AZ6" s="9"/>
      <c r="BA6" s="9"/>
      <c r="BB6" s="9"/>
      <c r="BC6" s="9"/>
      <c r="BD6" s="9"/>
      <c r="BE6" s="9"/>
      <c r="BF6" s="9"/>
      <c r="BG6" s="9"/>
      <c r="BH6" s="9"/>
      <c r="BI6" s="9"/>
      <c r="BJ6" s="9"/>
      <c r="BK6" s="9"/>
      <c r="BL6" s="9"/>
      <c r="BM6" s="9"/>
      <c r="BN6" s="9"/>
      <c r="BO6" s="9"/>
      <c r="BP6" s="9"/>
      <c r="BQ6" s="9"/>
      <c r="BR6" s="9"/>
      <c r="BS6" s="9"/>
      <c r="BT6" s="9"/>
      <c r="BU6" s="9"/>
      <c r="BV6" s="9"/>
      <c r="BW6" s="9"/>
      <c r="BX6" s="9"/>
      <c r="BY6" s="9"/>
      <c r="BZ6" s="9"/>
      <c r="CA6" s="9"/>
      <c r="CB6" s="9"/>
      <c r="CC6" s="9"/>
      <c r="CD6" s="9"/>
      <c r="CE6" s="9"/>
      <c r="CF6" s="9"/>
      <c r="CG6" s="9"/>
      <c r="CH6" s="9"/>
      <c r="CI6" s="9"/>
      <c r="CJ6" s="9"/>
      <c r="CK6" s="9"/>
    </row>
    <row r="7" spans="1:89" ht="12.95" customHeight="1" x14ac:dyDescent="0.2">
      <c r="B7" s="2"/>
      <c r="C7" s="5" t="str">
        <f>VLOOKUP(1,Textbausteine_401[],Hilfsgrössen!$D$2,FALSE)</f>
        <v>Fluctuation du personnel et départs</v>
      </c>
      <c r="D7" s="4"/>
    </row>
    <row r="8" spans="1:89" ht="12.95" customHeight="1" x14ac:dyDescent="0.2">
      <c r="B8" s="2"/>
      <c r="C8" s="5" t="str">
        <f>VLOOKUP(2,Textbausteine_401[],Hilfsgrössen!$D$2,FALSE)</f>
        <v>Congé parental</v>
      </c>
      <c r="D8" s="4"/>
    </row>
    <row r="9" spans="1:89" ht="12.95" customHeight="1" x14ac:dyDescent="0.2">
      <c r="B9" s="2"/>
      <c r="C9" s="5" t="str">
        <f>VLOOKUP(3,Textbausteine_401[],Hilfsgrössen!$D$2,FALSE)</f>
        <v>Satisfaction du personnel, motivation et engagement</v>
      </c>
    </row>
    <row r="10" spans="1:89" ht="12.95" customHeight="1" x14ac:dyDescent="0.2">
      <c r="B10" s="2"/>
    </row>
    <row r="11" spans="1:89" ht="12.95" customHeight="1" x14ac:dyDescent="0.2">
      <c r="B11" s="2"/>
    </row>
    <row r="12" spans="1:89" s="6" customFormat="1" ht="12.95" customHeight="1" x14ac:dyDescent="0.2">
      <c r="A12" s="39" t="s">
        <v>27</v>
      </c>
      <c r="B12" s="401" t="str">
        <f>$C$7</f>
        <v>Fluctuation du personnel et départs</v>
      </c>
      <c r="C12" s="401"/>
      <c r="D12" s="6" t="str">
        <f>VLOOKUP(32,Textbausteine_Menu[],Hilfsgrössen!$D$2,FALSE)</f>
        <v>Unité</v>
      </c>
      <c r="E12" s="28" t="str">
        <f>VLOOKUP(33,Textbausteine_Menu[],Hilfsgrössen!$D$2,FALSE)</f>
        <v>Notes</v>
      </c>
      <c r="F12" s="28" t="str">
        <f>VLOOKUP(34,Textbausteine_Menu[],Hilfsgrössen!$D$2,FALSE)</f>
        <v>GRI</v>
      </c>
      <c r="G12" s="34"/>
      <c r="H12" s="72">
        <v>2004</v>
      </c>
      <c r="I12" s="72">
        <v>2005</v>
      </c>
      <c r="J12" s="72">
        <v>2006</v>
      </c>
      <c r="K12" s="72">
        <v>2007</v>
      </c>
      <c r="L12" s="72">
        <v>2008</v>
      </c>
      <c r="M12" s="72">
        <v>2009</v>
      </c>
      <c r="N12" s="7">
        <v>2010</v>
      </c>
      <c r="O12" s="7">
        <v>2011</v>
      </c>
      <c r="P12" s="7">
        <v>2012</v>
      </c>
      <c r="Q12" s="7">
        <v>2013</v>
      </c>
      <c r="R12" s="7">
        <v>2014</v>
      </c>
      <c r="S12" s="7">
        <v>2015</v>
      </c>
      <c r="T12" s="7">
        <v>2016</v>
      </c>
      <c r="U12" s="7">
        <v>2017</v>
      </c>
      <c r="V12" s="7">
        <v>2018</v>
      </c>
      <c r="W12" s="7">
        <v>2019</v>
      </c>
      <c r="X12" s="7">
        <v>2020</v>
      </c>
      <c r="Y12" s="7">
        <v>2021</v>
      </c>
      <c r="Z12" s="7">
        <v>2022</v>
      </c>
      <c r="AA12" s="7"/>
      <c r="AB12" s="7"/>
      <c r="AC12" s="7"/>
      <c r="AD12" s="7"/>
      <c r="AE12" s="7"/>
      <c r="AF12" s="28"/>
      <c r="AG12" s="28"/>
      <c r="AH12" s="28"/>
      <c r="AI12" s="28"/>
      <c r="AJ12" s="28"/>
      <c r="AK12" s="28"/>
      <c r="AL12" s="28"/>
      <c r="AM12" s="28"/>
      <c r="AN12" s="28"/>
      <c r="AO12" s="28"/>
      <c r="AP12" s="28"/>
      <c r="AQ12" s="28"/>
      <c r="AR12" s="28"/>
      <c r="AS12" s="28"/>
      <c r="AT12" s="28"/>
      <c r="AU12" s="28"/>
      <c r="AV12" s="28"/>
      <c r="AW12" s="28"/>
      <c r="AX12" s="28"/>
      <c r="AY12" s="28"/>
      <c r="AZ12" s="28"/>
      <c r="BA12" s="28"/>
      <c r="BB12" s="28"/>
      <c r="BC12" s="28"/>
      <c r="BD12" s="28"/>
      <c r="BE12" s="28"/>
      <c r="BF12" s="28"/>
      <c r="BG12" s="28"/>
      <c r="BH12" s="28"/>
      <c r="BI12" s="28"/>
      <c r="BJ12" s="28"/>
      <c r="BK12" s="28"/>
      <c r="BL12" s="28"/>
      <c r="BM12" s="28"/>
      <c r="BN12" s="28"/>
      <c r="BO12" s="28"/>
      <c r="BP12" s="28"/>
      <c r="BQ12" s="28"/>
      <c r="BR12" s="28"/>
      <c r="BS12" s="28"/>
      <c r="BT12" s="28"/>
      <c r="BU12" s="28"/>
      <c r="BV12" s="28"/>
      <c r="BW12" s="28"/>
      <c r="BX12" s="28"/>
      <c r="BY12" s="28"/>
      <c r="BZ12" s="28"/>
      <c r="CA12" s="28"/>
      <c r="CB12" s="28"/>
      <c r="CC12" s="28"/>
      <c r="CD12" s="28"/>
      <c r="CE12" s="28"/>
      <c r="CF12" s="28"/>
      <c r="CG12" s="28"/>
      <c r="CH12" s="28"/>
      <c r="CI12" s="28"/>
      <c r="CJ12" s="28"/>
      <c r="CK12" s="28"/>
    </row>
    <row r="13" spans="1:89" s="6" customFormat="1" ht="12.95" customHeight="1" x14ac:dyDescent="0.2">
      <c r="A13" s="65"/>
      <c r="B13" s="401"/>
      <c r="C13" s="401"/>
      <c r="E13" s="28"/>
      <c r="F13" s="28"/>
      <c r="G13" s="33"/>
      <c r="H13" s="73"/>
      <c r="I13" s="73"/>
      <c r="J13" s="73"/>
      <c r="K13" s="73"/>
      <c r="L13" s="73"/>
      <c r="M13" s="73"/>
      <c r="N13" s="73"/>
      <c r="O13" s="73"/>
      <c r="P13" s="73"/>
      <c r="Q13" s="73"/>
      <c r="R13" s="73"/>
      <c r="S13" s="73"/>
      <c r="T13" s="75"/>
      <c r="U13" s="75"/>
      <c r="V13" s="75"/>
      <c r="W13" s="75"/>
      <c r="X13" s="75"/>
      <c r="Y13" s="75"/>
      <c r="Z13" s="75"/>
      <c r="AA13" s="75"/>
      <c r="AB13" s="75"/>
      <c r="AC13" s="75"/>
      <c r="AD13" s="75"/>
      <c r="AE13" s="75"/>
      <c r="AF13" s="73"/>
      <c r="AG13" s="73"/>
      <c r="AH13" s="73"/>
      <c r="AI13" s="73"/>
      <c r="AJ13" s="73"/>
      <c r="AK13" s="73"/>
      <c r="AL13" s="73"/>
      <c r="AM13" s="73"/>
      <c r="AN13" s="73"/>
      <c r="AO13" s="73"/>
      <c r="AP13" s="73"/>
      <c r="AQ13" s="73"/>
      <c r="AR13" s="73"/>
      <c r="AS13" s="73"/>
      <c r="AT13" s="73"/>
      <c r="AU13" s="73"/>
      <c r="AV13" s="73"/>
      <c r="AW13" s="73"/>
      <c r="AX13" s="73"/>
      <c r="AY13" s="73"/>
      <c r="AZ13" s="73"/>
      <c r="BA13" s="73"/>
      <c r="BB13" s="73"/>
      <c r="BC13" s="73"/>
      <c r="BD13" s="73"/>
      <c r="BE13" s="73"/>
      <c r="BF13" s="73"/>
      <c r="BG13" s="73"/>
      <c r="BH13" s="73"/>
      <c r="BI13" s="73"/>
      <c r="BJ13" s="73"/>
      <c r="BK13" s="73"/>
      <c r="BL13" s="73"/>
      <c r="BM13" s="73"/>
      <c r="BN13" s="73"/>
      <c r="BO13" s="73"/>
      <c r="BP13" s="73"/>
      <c r="BQ13" s="73"/>
      <c r="BR13" s="73"/>
      <c r="BS13" s="73"/>
      <c r="BT13" s="73"/>
      <c r="BU13" s="73"/>
      <c r="BV13" s="73"/>
      <c r="BW13" s="73"/>
      <c r="BX13" s="73"/>
      <c r="BY13" s="73"/>
      <c r="BZ13" s="73"/>
      <c r="CA13" s="73"/>
      <c r="CB13" s="73"/>
      <c r="CC13" s="73"/>
      <c r="CD13" s="73"/>
      <c r="CE13" s="73"/>
      <c r="CF13" s="73"/>
      <c r="CG13" s="73"/>
      <c r="CH13" s="73"/>
      <c r="CI13" s="73"/>
      <c r="CJ13" s="73"/>
      <c r="CK13" s="73"/>
    </row>
    <row r="14" spans="1:89" ht="12.95" customHeight="1" x14ac:dyDescent="0.2">
      <c r="B14" s="2"/>
      <c r="E14" s="28"/>
      <c r="F14" s="28"/>
      <c r="G14" s="33"/>
      <c r="AA14" s="11"/>
      <c r="AB14" s="11"/>
      <c r="AC14" s="11"/>
      <c r="AD14" s="11"/>
      <c r="AE14" s="11"/>
    </row>
    <row r="15" spans="1:89" ht="12.95" customHeight="1" x14ac:dyDescent="0.2">
      <c r="B15" s="2" t="str">
        <f>VLOOKUP(37,Textbausteine_Menu[],Hilfsgrössen!$D$2,FALSE)</f>
        <v>Groupe Suisse</v>
      </c>
      <c r="C15" s="2"/>
      <c r="E15" s="10"/>
    </row>
    <row r="16" spans="1:89" ht="12.95" customHeight="1" x14ac:dyDescent="0.2">
      <c r="C16" s="16" t="str">
        <f>VLOOKUP(31,Textbausteine_401[],Hilfsgrössen!$D$2,FALSE)</f>
        <v>Arrivées</v>
      </c>
      <c r="D16" s="16" t="str">
        <f>VLOOKUP(11,Textbausteine_401[],Hilfsgrössen!$D$2,FALSE)</f>
        <v>Nombre de personnes à salaire mensuel</v>
      </c>
      <c r="E16" s="9" t="s">
        <v>113</v>
      </c>
      <c r="F16" s="9" t="s">
        <v>137</v>
      </c>
      <c r="H16" s="12">
        <v>1512</v>
      </c>
      <c r="I16" s="12">
        <v>2314</v>
      </c>
      <c r="J16" s="12">
        <v>1797</v>
      </c>
      <c r="K16" s="12">
        <v>2603</v>
      </c>
      <c r="L16" s="12">
        <v>4121</v>
      </c>
      <c r="M16" s="12">
        <v>2002</v>
      </c>
      <c r="N16" s="12">
        <v>2151</v>
      </c>
      <c r="O16" s="12">
        <v>2711</v>
      </c>
      <c r="P16" s="15">
        <v>2146</v>
      </c>
      <c r="Q16" s="15">
        <v>2432</v>
      </c>
      <c r="R16" s="189">
        <v>2319</v>
      </c>
      <c r="S16" s="189">
        <v>2404</v>
      </c>
      <c r="T16" s="12">
        <v>2220</v>
      </c>
      <c r="U16" s="12">
        <v>2155</v>
      </c>
      <c r="V16" s="12">
        <v>2916</v>
      </c>
      <c r="W16" s="12">
        <v>3324</v>
      </c>
      <c r="X16" s="12">
        <v>3339</v>
      </c>
      <c r="Y16" s="12">
        <v>3867</v>
      </c>
      <c r="Z16" s="12">
        <v>3811</v>
      </c>
      <c r="AA16" s="15"/>
      <c r="AB16" s="15"/>
      <c r="AC16" s="15"/>
      <c r="AD16" s="15"/>
      <c r="AE16" s="15"/>
    </row>
    <row r="17" spans="3:31" ht="12.95" customHeight="1" x14ac:dyDescent="0.2">
      <c r="C17" s="121" t="str">
        <f>VLOOKUP(32,Textbausteine_401[],Hilfsgrössen!$D$2,FALSE)</f>
        <v>Femmes</v>
      </c>
      <c r="D17" s="122" t="str">
        <f>VLOOKUP(11,Textbausteine_401[],Hilfsgrössen!$D$2,FALSE)</f>
        <v>Nombre de personnes à salaire mensuel</v>
      </c>
      <c r="E17" s="9" t="s">
        <v>113</v>
      </c>
      <c r="F17" s="9" t="s">
        <v>137</v>
      </c>
      <c r="H17" s="12">
        <v>812</v>
      </c>
      <c r="I17" s="12">
        <v>1049</v>
      </c>
      <c r="J17" s="12">
        <v>852</v>
      </c>
      <c r="K17" s="12">
        <v>1287</v>
      </c>
      <c r="L17" s="12">
        <v>1920</v>
      </c>
      <c r="M17" s="12">
        <v>850</v>
      </c>
      <c r="N17" s="12">
        <v>922</v>
      </c>
      <c r="O17" s="12">
        <v>1063</v>
      </c>
      <c r="P17" s="15">
        <v>861</v>
      </c>
      <c r="Q17" s="15">
        <v>917</v>
      </c>
      <c r="R17" s="189">
        <v>977</v>
      </c>
      <c r="S17" s="189">
        <v>1021</v>
      </c>
      <c r="T17" s="12">
        <v>921</v>
      </c>
      <c r="U17" s="12">
        <v>754</v>
      </c>
      <c r="V17" s="12">
        <v>1047</v>
      </c>
      <c r="W17" s="12">
        <v>1265</v>
      </c>
      <c r="X17" s="12">
        <v>1064</v>
      </c>
      <c r="Y17" s="12">
        <v>1192</v>
      </c>
      <c r="Z17" s="12">
        <v>1358</v>
      </c>
      <c r="AA17" s="15"/>
      <c r="AB17" s="15"/>
      <c r="AC17" s="15"/>
      <c r="AD17" s="15"/>
      <c r="AE17" s="15"/>
    </row>
    <row r="18" spans="3:31" ht="12.95" customHeight="1" x14ac:dyDescent="0.2">
      <c r="C18" s="123" t="str">
        <f>VLOOKUP(33,Textbausteine_401[],Hilfsgrössen!$D$2,FALSE)</f>
        <v>20–29</v>
      </c>
      <c r="D18" s="122" t="str">
        <f>VLOOKUP(11,Textbausteine_401[],Hilfsgrössen!$D$2,FALSE)</f>
        <v>Nombre de personnes à salaire mensuel</v>
      </c>
      <c r="E18" s="9" t="s">
        <v>113</v>
      </c>
      <c r="F18" s="9" t="s">
        <v>137</v>
      </c>
      <c r="H18" s="12">
        <v>235</v>
      </c>
      <c r="I18" s="12">
        <v>371</v>
      </c>
      <c r="J18" s="12">
        <v>262</v>
      </c>
      <c r="K18" s="12">
        <v>323</v>
      </c>
      <c r="L18" s="12">
        <v>616</v>
      </c>
      <c r="M18" s="12">
        <v>416</v>
      </c>
      <c r="N18" s="12">
        <v>404</v>
      </c>
      <c r="O18" s="12">
        <v>485</v>
      </c>
      <c r="P18" s="15">
        <v>396</v>
      </c>
      <c r="Q18" s="15">
        <v>415</v>
      </c>
      <c r="R18" s="189">
        <v>496</v>
      </c>
      <c r="S18" s="189">
        <v>475</v>
      </c>
      <c r="T18" s="190">
        <v>395</v>
      </c>
      <c r="U18" s="190">
        <v>320</v>
      </c>
      <c r="V18" s="190">
        <v>416</v>
      </c>
      <c r="W18" s="190">
        <v>452</v>
      </c>
      <c r="X18" s="190">
        <v>413</v>
      </c>
      <c r="Y18" s="190">
        <v>468</v>
      </c>
      <c r="Z18" s="190">
        <v>539</v>
      </c>
      <c r="AA18" s="12"/>
      <c r="AB18" s="12"/>
      <c r="AC18" s="12"/>
      <c r="AD18" s="12"/>
    </row>
    <row r="19" spans="3:31" ht="12.95" customHeight="1" x14ac:dyDescent="0.2">
      <c r="C19" s="123" t="str">
        <f>VLOOKUP(34,Textbausteine_401[],Hilfsgrössen!$D$2,FALSE)</f>
        <v>30-49</v>
      </c>
      <c r="D19" s="16" t="str">
        <f>VLOOKUP(11,Textbausteine_401[],Hilfsgrössen!$D$2,FALSE)</f>
        <v>Nombre de personnes à salaire mensuel</v>
      </c>
      <c r="E19" s="9" t="s">
        <v>113</v>
      </c>
      <c r="F19" s="9" t="s">
        <v>137</v>
      </c>
      <c r="H19" s="12">
        <v>476</v>
      </c>
      <c r="I19" s="12">
        <v>563</v>
      </c>
      <c r="J19" s="12">
        <v>498</v>
      </c>
      <c r="K19" s="12">
        <v>700</v>
      </c>
      <c r="L19" s="12">
        <v>976</v>
      </c>
      <c r="M19" s="12">
        <v>367</v>
      </c>
      <c r="N19" s="12">
        <v>444</v>
      </c>
      <c r="O19" s="12">
        <v>512</v>
      </c>
      <c r="P19" s="15">
        <v>405</v>
      </c>
      <c r="Q19" s="15">
        <v>440</v>
      </c>
      <c r="R19" s="189">
        <v>399</v>
      </c>
      <c r="S19" s="189">
        <v>470</v>
      </c>
      <c r="T19" s="190">
        <v>444</v>
      </c>
      <c r="U19" s="190">
        <v>361</v>
      </c>
      <c r="V19" s="190">
        <v>516</v>
      </c>
      <c r="W19" s="190">
        <v>644</v>
      </c>
      <c r="X19" s="190">
        <v>552</v>
      </c>
      <c r="Y19" s="190">
        <v>580</v>
      </c>
      <c r="Z19" s="190">
        <v>684</v>
      </c>
      <c r="AA19" s="15"/>
      <c r="AB19" s="15"/>
      <c r="AC19" s="15"/>
      <c r="AD19" s="15"/>
      <c r="AE19" s="15"/>
    </row>
    <row r="20" spans="3:31" ht="12.95" customHeight="1" x14ac:dyDescent="0.2">
      <c r="C20" s="114" t="str">
        <f>VLOOKUP(35,Textbausteine_401[],Hilfsgrössen!$D$2,FALSE)</f>
        <v>50 ans et plus</v>
      </c>
      <c r="D20" s="16" t="str">
        <f>VLOOKUP(11,Textbausteine_401[],Hilfsgrössen!$D$2,FALSE)</f>
        <v>Nombre de personnes à salaire mensuel</v>
      </c>
      <c r="E20" s="9" t="s">
        <v>113</v>
      </c>
      <c r="F20" s="9" t="s">
        <v>137</v>
      </c>
      <c r="H20" s="12">
        <v>101</v>
      </c>
      <c r="I20" s="12">
        <v>115</v>
      </c>
      <c r="J20" s="12">
        <v>92</v>
      </c>
      <c r="K20" s="12">
        <v>264</v>
      </c>
      <c r="L20" s="12">
        <v>328</v>
      </c>
      <c r="M20" s="12">
        <v>67</v>
      </c>
      <c r="N20" s="12">
        <v>74</v>
      </c>
      <c r="O20" s="12">
        <v>66</v>
      </c>
      <c r="P20" s="191">
        <v>60</v>
      </c>
      <c r="Q20" s="15">
        <v>62</v>
      </c>
      <c r="R20" s="189">
        <v>82</v>
      </c>
      <c r="S20" s="189">
        <v>76</v>
      </c>
      <c r="T20" s="12">
        <v>82</v>
      </c>
      <c r="U20" s="12">
        <v>73</v>
      </c>
      <c r="V20" s="12">
        <v>115</v>
      </c>
      <c r="W20" s="12">
        <v>169</v>
      </c>
      <c r="X20" s="12">
        <v>99</v>
      </c>
      <c r="Y20" s="190">
        <v>144</v>
      </c>
      <c r="Z20" s="190">
        <v>135</v>
      </c>
      <c r="AA20" s="15"/>
      <c r="AB20" s="15"/>
      <c r="AC20" s="15"/>
      <c r="AD20" s="15"/>
    </row>
    <row r="21" spans="3:31" ht="12.95" customHeight="1" x14ac:dyDescent="0.2">
      <c r="C21" s="17" t="str">
        <f>VLOOKUP(36,Textbausteine_401[],Hilfsgrössen!$D$2,FALSE)</f>
        <v>Hommes</v>
      </c>
      <c r="D21" s="16" t="str">
        <f>VLOOKUP(11,Textbausteine_401[],Hilfsgrössen!$D$2,FALSE)</f>
        <v>Nombre de personnes à salaire mensuel</v>
      </c>
      <c r="E21" s="9" t="s">
        <v>113</v>
      </c>
      <c r="F21" s="9" t="s">
        <v>137</v>
      </c>
      <c r="H21" s="12">
        <v>700</v>
      </c>
      <c r="I21" s="12">
        <v>1265</v>
      </c>
      <c r="J21" s="12">
        <v>945</v>
      </c>
      <c r="K21" s="12">
        <v>1316</v>
      </c>
      <c r="L21" s="12">
        <v>2201</v>
      </c>
      <c r="M21" s="12">
        <v>1152</v>
      </c>
      <c r="N21" s="12">
        <v>1229</v>
      </c>
      <c r="O21" s="12">
        <v>1648</v>
      </c>
      <c r="P21" s="15">
        <v>1285</v>
      </c>
      <c r="Q21" s="15">
        <v>1515</v>
      </c>
      <c r="R21" s="189">
        <v>1342</v>
      </c>
      <c r="S21" s="189">
        <v>1383</v>
      </c>
      <c r="T21" s="15">
        <v>1299</v>
      </c>
      <c r="U21" s="15">
        <v>1401</v>
      </c>
      <c r="V21" s="15">
        <v>1869</v>
      </c>
      <c r="W21" s="15">
        <v>2059</v>
      </c>
      <c r="X21" s="15">
        <v>2275</v>
      </c>
      <c r="Y21" s="15">
        <v>2675</v>
      </c>
      <c r="Z21" s="15">
        <v>2453</v>
      </c>
      <c r="AA21" s="15"/>
      <c r="AB21" s="15"/>
      <c r="AC21" s="15"/>
      <c r="AD21" s="15"/>
      <c r="AE21" s="15"/>
    </row>
    <row r="22" spans="3:31" ht="12.95" customHeight="1" x14ac:dyDescent="0.2">
      <c r="C22" s="114" t="str">
        <f>VLOOKUP(37,Textbausteine_401[],Hilfsgrössen!$D$2,FALSE)</f>
        <v>20–29</v>
      </c>
      <c r="D22" s="16" t="str">
        <f>VLOOKUP(11,Textbausteine_401[],Hilfsgrössen!$D$2,FALSE)</f>
        <v>Nombre de personnes à salaire mensuel</v>
      </c>
      <c r="E22" s="9" t="s">
        <v>113</v>
      </c>
      <c r="F22" s="9" t="s">
        <v>137</v>
      </c>
      <c r="H22" s="12">
        <v>261</v>
      </c>
      <c r="I22" s="12">
        <v>340</v>
      </c>
      <c r="J22" s="12">
        <v>306</v>
      </c>
      <c r="K22" s="12">
        <v>399</v>
      </c>
      <c r="L22" s="12">
        <v>760</v>
      </c>
      <c r="M22" s="12">
        <v>437</v>
      </c>
      <c r="N22" s="12">
        <v>512</v>
      </c>
      <c r="O22" s="12">
        <v>655</v>
      </c>
      <c r="P22" s="15">
        <v>563</v>
      </c>
      <c r="Q22" s="15">
        <v>635</v>
      </c>
      <c r="R22" s="15">
        <v>543</v>
      </c>
      <c r="S22" s="189">
        <v>564</v>
      </c>
      <c r="T22" s="15">
        <v>551</v>
      </c>
      <c r="U22" s="15">
        <v>577</v>
      </c>
      <c r="V22" s="15">
        <v>768</v>
      </c>
      <c r="W22" s="15">
        <v>801</v>
      </c>
      <c r="X22" s="15">
        <v>899</v>
      </c>
      <c r="Y22" s="15">
        <v>1161</v>
      </c>
      <c r="Z22" s="15">
        <v>975</v>
      </c>
      <c r="AE22" s="15"/>
    </row>
    <row r="23" spans="3:31" ht="12.95" customHeight="1" x14ac:dyDescent="0.2">
      <c r="C23" s="26" t="str">
        <f>VLOOKUP(38,Textbausteine_401[],Hilfsgrössen!$D$2,FALSE)</f>
        <v>30-49</v>
      </c>
      <c r="D23" s="1" t="str">
        <f>VLOOKUP(11,Textbausteine_401[],Hilfsgrössen!$D$2,FALSE)</f>
        <v>Nombre de personnes à salaire mensuel</v>
      </c>
      <c r="E23" s="9" t="s">
        <v>113</v>
      </c>
      <c r="F23" s="9" t="s">
        <v>137</v>
      </c>
      <c r="H23" s="15">
        <v>341</v>
      </c>
      <c r="I23" s="15">
        <v>709</v>
      </c>
      <c r="J23" s="15">
        <v>546</v>
      </c>
      <c r="K23" s="15">
        <v>702</v>
      </c>
      <c r="L23" s="15">
        <v>1132</v>
      </c>
      <c r="M23" s="15">
        <v>593</v>
      </c>
      <c r="N23" s="15">
        <v>592</v>
      </c>
      <c r="O23" s="15">
        <v>804</v>
      </c>
      <c r="P23" s="15">
        <v>607</v>
      </c>
      <c r="Q23" s="15">
        <v>712</v>
      </c>
      <c r="R23" s="15">
        <v>634</v>
      </c>
      <c r="S23" s="15">
        <v>666</v>
      </c>
      <c r="T23" s="15">
        <v>602</v>
      </c>
      <c r="U23" s="15">
        <v>660</v>
      </c>
      <c r="V23" s="15">
        <v>860</v>
      </c>
      <c r="W23" s="15">
        <v>972</v>
      </c>
      <c r="X23" s="15">
        <v>1067</v>
      </c>
      <c r="Y23" s="15">
        <v>1261</v>
      </c>
      <c r="Z23" s="15">
        <v>1169</v>
      </c>
    </row>
    <row r="24" spans="3:31" ht="12.95" customHeight="1" x14ac:dyDescent="0.2">
      <c r="C24" s="26" t="str">
        <f>VLOOKUP(39,Textbausteine_401[],Hilfsgrössen!$D$2,FALSE)</f>
        <v>50 ans et plus</v>
      </c>
      <c r="D24" s="1" t="str">
        <f>VLOOKUP(11,Textbausteine_401[],Hilfsgrössen!$D$2,FALSE)</f>
        <v>Nombre de personnes à salaire mensuel</v>
      </c>
      <c r="E24" s="9" t="s">
        <v>113</v>
      </c>
      <c r="F24" s="9" t="s">
        <v>137</v>
      </c>
      <c r="H24" s="15">
        <v>98</v>
      </c>
      <c r="I24" s="15">
        <v>216</v>
      </c>
      <c r="J24" s="15">
        <v>93</v>
      </c>
      <c r="K24" s="15">
        <v>215</v>
      </c>
      <c r="L24" s="15">
        <v>309</v>
      </c>
      <c r="M24" s="15">
        <v>122</v>
      </c>
      <c r="N24" s="15">
        <v>125</v>
      </c>
      <c r="O24" s="15">
        <v>189</v>
      </c>
      <c r="P24" s="15">
        <v>115</v>
      </c>
      <c r="Q24" s="15">
        <v>168</v>
      </c>
      <c r="R24" s="15">
        <v>165</v>
      </c>
      <c r="S24" s="15">
        <v>153</v>
      </c>
      <c r="T24" s="15">
        <v>146</v>
      </c>
      <c r="U24" s="15">
        <v>164</v>
      </c>
      <c r="V24" s="15">
        <v>241</v>
      </c>
      <c r="W24" s="15">
        <v>286</v>
      </c>
      <c r="X24" s="15">
        <v>309</v>
      </c>
      <c r="Y24" s="15">
        <v>253</v>
      </c>
      <c r="Z24" s="15">
        <v>309</v>
      </c>
    </row>
    <row r="25" spans="3:31" ht="12.95" customHeight="1" x14ac:dyDescent="0.2">
      <c r="C25" s="16"/>
      <c r="H25" s="15"/>
      <c r="I25" s="15"/>
      <c r="J25" s="15"/>
      <c r="K25" s="15"/>
      <c r="L25" s="15"/>
      <c r="M25" s="15"/>
      <c r="N25" s="15"/>
      <c r="O25" s="15"/>
      <c r="P25" s="15"/>
      <c r="Q25" s="15"/>
      <c r="R25" s="15"/>
      <c r="S25" s="15"/>
      <c r="T25" s="15"/>
      <c r="U25" s="15"/>
      <c r="V25" s="15"/>
      <c r="W25" s="15"/>
      <c r="X25" s="15"/>
      <c r="Y25" s="15"/>
      <c r="Z25" s="15"/>
    </row>
    <row r="26" spans="3:31" ht="12.95" customHeight="1" x14ac:dyDescent="0.2">
      <c r="C26" s="8" t="str">
        <f>VLOOKUP(40,Textbausteine_401[],Hilfsgrössen!$D$2,FALSE)</f>
        <v>Départs de collaborateurs</v>
      </c>
      <c r="D26" s="1" t="str">
        <f>VLOOKUP(11,Textbausteine_401[],Hilfsgrössen!$D$2,FALSE)</f>
        <v>Nombre de personnes à salaire mensuel</v>
      </c>
      <c r="E26" s="9" t="s">
        <v>70</v>
      </c>
      <c r="F26" s="9" t="s">
        <v>137</v>
      </c>
      <c r="H26" s="133">
        <v>4628</v>
      </c>
      <c r="I26" s="133">
        <v>3643</v>
      </c>
      <c r="J26" s="133">
        <v>3954</v>
      </c>
      <c r="K26" s="133">
        <v>4261</v>
      </c>
      <c r="L26" s="133">
        <v>4823</v>
      </c>
      <c r="M26" s="133">
        <v>3605</v>
      </c>
      <c r="N26" s="15">
        <v>3368</v>
      </c>
      <c r="O26" s="15">
        <v>3648</v>
      </c>
      <c r="P26" s="15">
        <v>3557</v>
      </c>
      <c r="Q26" s="15">
        <v>3789</v>
      </c>
      <c r="R26" s="15">
        <v>3514</v>
      </c>
      <c r="S26" s="15">
        <v>3564</v>
      </c>
      <c r="T26" s="15">
        <v>3412</v>
      </c>
      <c r="U26" s="15">
        <v>3905</v>
      </c>
      <c r="V26" s="15">
        <v>4276</v>
      </c>
      <c r="W26" s="15">
        <v>4130</v>
      </c>
      <c r="X26" s="15">
        <v>4028</v>
      </c>
      <c r="Y26" s="15">
        <v>4031</v>
      </c>
      <c r="Z26" s="15">
        <v>4004</v>
      </c>
    </row>
    <row r="27" spans="3:31" ht="12.95" customHeight="1" x14ac:dyDescent="0.2">
      <c r="C27" s="13" t="str">
        <f>VLOOKUP(41,Textbausteine_401[],Hilfsgrössen!$D$2,FALSE)</f>
        <v>Retraites</v>
      </c>
      <c r="D27" s="1" t="str">
        <f>VLOOKUP(11,Textbausteine_401[],Hilfsgrössen!$D$2,FALSE)</f>
        <v>Nombre de personnes à salaire mensuel</v>
      </c>
      <c r="E27" s="9" t="s">
        <v>70</v>
      </c>
      <c r="F27" s="9" t="s">
        <v>137</v>
      </c>
      <c r="H27" s="133">
        <v>1136</v>
      </c>
      <c r="I27" s="133">
        <v>876</v>
      </c>
      <c r="J27" s="133">
        <v>1471</v>
      </c>
      <c r="K27" s="133">
        <v>892</v>
      </c>
      <c r="L27" s="133">
        <v>1007</v>
      </c>
      <c r="M27" s="133">
        <v>838</v>
      </c>
      <c r="N27" s="15">
        <v>793</v>
      </c>
      <c r="O27" s="15">
        <v>1055</v>
      </c>
      <c r="P27" s="15">
        <v>918</v>
      </c>
      <c r="Q27" s="15">
        <v>1216</v>
      </c>
      <c r="R27" s="15">
        <v>900</v>
      </c>
      <c r="S27" s="15">
        <v>1099</v>
      </c>
      <c r="T27" s="15">
        <v>800</v>
      </c>
      <c r="U27" s="15">
        <v>1171</v>
      </c>
      <c r="V27" s="15">
        <v>1056</v>
      </c>
      <c r="W27" s="15">
        <v>1065</v>
      </c>
      <c r="X27" s="15">
        <v>1455</v>
      </c>
      <c r="Y27" s="15">
        <v>996</v>
      </c>
      <c r="Z27" s="15">
        <v>935</v>
      </c>
    </row>
    <row r="28" spans="3:31" ht="12.95" customHeight="1" x14ac:dyDescent="0.2">
      <c r="C28" s="17" t="str">
        <f>VLOOKUP(42,Textbausteine_401[],Hilfsgrössen!$D$2,FALSE)</f>
        <v>Contrats arrivant à échéance</v>
      </c>
      <c r="D28" s="1" t="str">
        <f>VLOOKUP(11,Textbausteine_401[],Hilfsgrössen!$D$2,FALSE)</f>
        <v>Nombre de personnes à salaire mensuel</v>
      </c>
      <c r="E28" s="9" t="s">
        <v>70</v>
      </c>
      <c r="F28" s="9" t="s">
        <v>137</v>
      </c>
      <c r="H28" s="133">
        <v>233</v>
      </c>
      <c r="I28" s="133">
        <v>218</v>
      </c>
      <c r="J28" s="133">
        <v>217</v>
      </c>
      <c r="K28" s="133">
        <v>197</v>
      </c>
      <c r="L28" s="133">
        <v>265</v>
      </c>
      <c r="M28" s="133">
        <v>414</v>
      </c>
      <c r="N28" s="15">
        <v>325</v>
      </c>
      <c r="O28" s="15">
        <v>237</v>
      </c>
      <c r="P28" s="15">
        <v>232</v>
      </c>
      <c r="Q28" s="15">
        <v>255</v>
      </c>
      <c r="R28" s="15">
        <v>249</v>
      </c>
      <c r="S28" s="15">
        <v>243</v>
      </c>
      <c r="T28" s="15">
        <v>247</v>
      </c>
      <c r="U28" s="15">
        <v>35</v>
      </c>
      <c r="V28" s="15">
        <v>294</v>
      </c>
      <c r="W28" s="15">
        <v>449</v>
      </c>
      <c r="X28" s="15">
        <v>442</v>
      </c>
      <c r="Y28" s="15">
        <v>495</v>
      </c>
      <c r="Z28" s="15">
        <v>184</v>
      </c>
    </row>
    <row r="29" spans="3:31" ht="12.95" customHeight="1" x14ac:dyDescent="0.2">
      <c r="C29" s="13" t="str">
        <f>VLOOKUP(43,Textbausteine_401[],Hilfsgrössen!$D$2,FALSE)</f>
        <v>Départs négociés</v>
      </c>
      <c r="D29" s="1" t="str">
        <f>VLOOKUP(11,Textbausteine_401[],Hilfsgrössen!$D$2,FALSE)</f>
        <v>Nombre de personnes à salaire mensuel</v>
      </c>
      <c r="E29" s="9" t="s">
        <v>70</v>
      </c>
      <c r="F29" s="9" t="s">
        <v>137</v>
      </c>
      <c r="H29" s="133">
        <v>724</v>
      </c>
      <c r="I29" s="133">
        <v>324</v>
      </c>
      <c r="J29" s="133">
        <v>266</v>
      </c>
      <c r="K29" s="133">
        <v>797</v>
      </c>
      <c r="L29" s="133">
        <v>975</v>
      </c>
      <c r="M29" s="133">
        <v>645</v>
      </c>
      <c r="N29" s="15">
        <v>439</v>
      </c>
      <c r="O29" s="15">
        <v>349</v>
      </c>
      <c r="P29" s="15">
        <v>271</v>
      </c>
      <c r="Q29" s="15">
        <v>298</v>
      </c>
      <c r="R29" s="15">
        <v>240</v>
      </c>
      <c r="S29" s="15">
        <v>364</v>
      </c>
      <c r="T29" s="15">
        <v>313</v>
      </c>
      <c r="U29" s="15">
        <v>314</v>
      </c>
      <c r="V29" s="15">
        <v>317</v>
      </c>
      <c r="W29" s="15">
        <v>201</v>
      </c>
      <c r="X29" s="15">
        <v>151</v>
      </c>
      <c r="Y29" s="15">
        <v>143</v>
      </c>
      <c r="Z29" s="15">
        <v>184</v>
      </c>
    </row>
    <row r="30" spans="3:31" ht="12.95" customHeight="1" x14ac:dyDescent="0.2">
      <c r="C30" s="13" t="str">
        <f>VLOOKUP(44,Textbausteine_401[],Hilfsgrössen!$D$2,FALSE)</f>
        <v>Licenciements par l'employeur</v>
      </c>
      <c r="D30" s="1" t="str">
        <f>VLOOKUP(11,Textbausteine_401[],Hilfsgrössen!$D$2,FALSE)</f>
        <v>Nombre de personnes à salaire mensuel</v>
      </c>
      <c r="E30" s="9" t="s">
        <v>70</v>
      </c>
      <c r="F30" s="9" t="s">
        <v>137</v>
      </c>
      <c r="H30" s="133">
        <v>597</v>
      </c>
      <c r="I30" s="133">
        <v>470</v>
      </c>
      <c r="J30" s="133">
        <v>299</v>
      </c>
      <c r="K30" s="133">
        <v>273</v>
      </c>
      <c r="L30" s="133">
        <v>235</v>
      </c>
      <c r="M30" s="133">
        <v>263</v>
      </c>
      <c r="N30" s="15">
        <v>293</v>
      </c>
      <c r="O30" s="15">
        <v>289</v>
      </c>
      <c r="P30" s="15">
        <v>538</v>
      </c>
      <c r="Q30" s="15">
        <v>414</v>
      </c>
      <c r="R30" s="15">
        <v>441</v>
      </c>
      <c r="S30" s="15">
        <v>315</v>
      </c>
      <c r="T30" s="15">
        <v>404</v>
      </c>
      <c r="U30" s="15">
        <v>484</v>
      </c>
      <c r="V30" s="15">
        <v>503</v>
      </c>
      <c r="W30" s="15">
        <v>496</v>
      </c>
      <c r="X30" s="15">
        <v>447</v>
      </c>
      <c r="Y30" s="15">
        <v>553</v>
      </c>
      <c r="Z30" s="15">
        <v>442</v>
      </c>
    </row>
    <row r="31" spans="3:31" ht="12.95" customHeight="1" x14ac:dyDescent="0.2">
      <c r="C31" s="26" t="str">
        <f>VLOOKUP(45,Textbausteine_401[],Hilfsgrössen!$D$2,FALSE)</f>
        <v>pour raisons économiques</v>
      </c>
      <c r="D31" s="1" t="str">
        <f>VLOOKUP(11,Textbausteine_401[],Hilfsgrössen!$D$2,FALSE)</f>
        <v>Nombre de personnes à salaire mensuel</v>
      </c>
      <c r="E31" s="9" t="s">
        <v>70</v>
      </c>
      <c r="F31" s="9" t="s">
        <v>137</v>
      </c>
      <c r="H31" s="133">
        <v>173</v>
      </c>
      <c r="I31" s="133">
        <v>172</v>
      </c>
      <c r="J31" s="133">
        <v>86</v>
      </c>
      <c r="K31" s="133">
        <v>110</v>
      </c>
      <c r="L31" s="133">
        <v>97</v>
      </c>
      <c r="M31" s="133">
        <v>99</v>
      </c>
      <c r="N31" s="15">
        <v>116</v>
      </c>
      <c r="O31" s="15">
        <v>95</v>
      </c>
      <c r="P31" s="15">
        <v>315</v>
      </c>
      <c r="Q31" s="15">
        <v>180</v>
      </c>
      <c r="R31" s="15">
        <v>168</v>
      </c>
      <c r="S31" s="15">
        <v>78</v>
      </c>
      <c r="T31" s="15">
        <v>84</v>
      </c>
      <c r="U31" s="15">
        <v>161</v>
      </c>
      <c r="V31" s="15">
        <v>152</v>
      </c>
      <c r="W31" s="15">
        <v>105</v>
      </c>
      <c r="X31" s="15">
        <v>73</v>
      </c>
      <c r="Y31" s="15">
        <v>102</v>
      </c>
      <c r="Z31" s="15">
        <v>32</v>
      </c>
    </row>
    <row r="32" spans="3:31" ht="12.95" customHeight="1" x14ac:dyDescent="0.2">
      <c r="C32" s="26" t="str">
        <f>VLOOKUP(46,Textbausteine_401[],Hilfsgrössen!$D$2,FALSE)</f>
        <v>pour raisons personnelles</v>
      </c>
      <c r="D32" s="1" t="str">
        <f>VLOOKUP(11,Textbausteine_401[],Hilfsgrössen!$D$2,FALSE)</f>
        <v>Nombre de personnes à salaire mensuel</v>
      </c>
      <c r="E32" s="9" t="s">
        <v>70</v>
      </c>
      <c r="F32" s="11" t="s">
        <v>137</v>
      </c>
      <c r="G32" s="267"/>
      <c r="H32" s="133">
        <v>424</v>
      </c>
      <c r="I32" s="133">
        <v>298</v>
      </c>
      <c r="J32" s="133">
        <v>213</v>
      </c>
      <c r="K32" s="133">
        <v>163</v>
      </c>
      <c r="L32" s="133">
        <v>138</v>
      </c>
      <c r="M32" s="133">
        <v>164</v>
      </c>
      <c r="N32" s="15">
        <v>177</v>
      </c>
      <c r="O32" s="15">
        <v>194</v>
      </c>
      <c r="P32" s="15">
        <v>223</v>
      </c>
      <c r="Q32" s="15">
        <v>234</v>
      </c>
      <c r="R32" s="15">
        <v>269</v>
      </c>
      <c r="S32" s="15">
        <v>237</v>
      </c>
      <c r="T32" s="15">
        <v>320</v>
      </c>
      <c r="U32" s="15">
        <v>323</v>
      </c>
      <c r="V32" s="15">
        <v>351</v>
      </c>
      <c r="W32" s="15">
        <v>391</v>
      </c>
      <c r="X32" s="15">
        <v>374</v>
      </c>
      <c r="Y32" s="15">
        <v>451</v>
      </c>
      <c r="Z32" s="15">
        <v>410</v>
      </c>
    </row>
    <row r="33" spans="1:89" ht="12.95" customHeight="1" x14ac:dyDescent="0.2">
      <c r="C33" s="13" t="str">
        <f>VLOOKUP(47,Textbausteine_401[],Hilfsgrössen!$D$2,FALSE)</f>
        <v>Décès</v>
      </c>
      <c r="D33" s="1" t="str">
        <f>VLOOKUP(11,Textbausteine_401[],Hilfsgrössen!$D$2,FALSE)</f>
        <v>Nombre de personnes à salaire mensuel</v>
      </c>
      <c r="E33" s="9" t="s">
        <v>70</v>
      </c>
      <c r="F33" s="9" t="s">
        <v>137</v>
      </c>
      <c r="H33" s="133">
        <v>54</v>
      </c>
      <c r="I33" s="133">
        <v>52</v>
      </c>
      <c r="J33" s="133">
        <v>71</v>
      </c>
      <c r="K33" s="133">
        <v>57</v>
      </c>
      <c r="L33" s="133">
        <v>52</v>
      </c>
      <c r="M33" s="133">
        <v>69</v>
      </c>
      <c r="N33" s="15">
        <v>42</v>
      </c>
      <c r="O33" s="15">
        <v>48</v>
      </c>
      <c r="P33" s="15">
        <v>50</v>
      </c>
      <c r="Q33" s="15">
        <v>39</v>
      </c>
      <c r="R33" s="15">
        <v>60</v>
      </c>
      <c r="S33" s="15">
        <v>41</v>
      </c>
      <c r="T33" s="15">
        <v>39</v>
      </c>
      <c r="U33" s="15">
        <v>45</v>
      </c>
      <c r="V33" s="15">
        <v>46</v>
      </c>
      <c r="W33" s="15">
        <v>32</v>
      </c>
      <c r="X33" s="15">
        <v>26</v>
      </c>
      <c r="Y33" s="15">
        <v>38</v>
      </c>
      <c r="Z33" s="15">
        <v>50</v>
      </c>
    </row>
    <row r="34" spans="1:89" ht="12.95" customHeight="1" x14ac:dyDescent="0.2">
      <c r="C34" s="17" t="str">
        <f>VLOOKUP(48,Textbausteine_401[],Hilfsgrössen!$D$2,FALSE)</f>
        <v>Départs volontaires</v>
      </c>
      <c r="D34" s="1" t="str">
        <f>VLOOKUP(11,Textbausteine_401[],Hilfsgrössen!$D$2,FALSE)</f>
        <v>Nombre de personnes à salaire mensuel</v>
      </c>
      <c r="E34" s="9" t="s">
        <v>70</v>
      </c>
      <c r="F34" s="9" t="s">
        <v>137</v>
      </c>
      <c r="H34" s="15">
        <v>1884</v>
      </c>
      <c r="I34" s="15">
        <v>1703</v>
      </c>
      <c r="J34" s="15">
        <v>1630</v>
      </c>
      <c r="K34" s="15">
        <v>2045</v>
      </c>
      <c r="L34" s="15">
        <v>2289</v>
      </c>
      <c r="M34" s="15">
        <v>1376</v>
      </c>
      <c r="N34" s="15">
        <v>1476</v>
      </c>
      <c r="O34" s="15">
        <v>1670</v>
      </c>
      <c r="P34" s="15">
        <v>1548</v>
      </c>
      <c r="Q34" s="15">
        <v>1567</v>
      </c>
      <c r="R34" s="15">
        <v>1628</v>
      </c>
      <c r="S34" s="15">
        <v>1502</v>
      </c>
      <c r="T34" s="15">
        <v>1609</v>
      </c>
      <c r="U34" s="15">
        <v>1856</v>
      </c>
      <c r="V34" s="15">
        <v>2060</v>
      </c>
      <c r="W34" s="15">
        <v>1887</v>
      </c>
      <c r="X34" s="15">
        <v>1507</v>
      </c>
      <c r="Y34" s="15">
        <v>1806</v>
      </c>
      <c r="Z34" s="15">
        <v>2209</v>
      </c>
    </row>
    <row r="35" spans="1:89" ht="12.95" customHeight="1" x14ac:dyDescent="0.2">
      <c r="C35" s="26" t="str">
        <f>VLOOKUP(49,Textbausteine_401[],Hilfsgrössen!$D$2,FALSE)</f>
        <v>Femmes</v>
      </c>
      <c r="D35" s="1" t="str">
        <f>VLOOKUP(11,Textbausteine_401[],Hilfsgrössen!$D$2,FALSE)</f>
        <v>Nombre de personnes à salaire mensuel</v>
      </c>
      <c r="E35" s="9" t="s">
        <v>70</v>
      </c>
      <c r="F35" s="9" t="s">
        <v>137</v>
      </c>
      <c r="H35" s="15">
        <v>1130</v>
      </c>
      <c r="I35" s="15">
        <v>999</v>
      </c>
      <c r="J35" s="15">
        <v>944</v>
      </c>
      <c r="K35" s="15">
        <v>1166</v>
      </c>
      <c r="L35" s="15">
        <v>1296</v>
      </c>
      <c r="M35" s="15">
        <v>804</v>
      </c>
      <c r="N35" s="15">
        <v>774</v>
      </c>
      <c r="O35" s="15">
        <v>901</v>
      </c>
      <c r="P35" s="15">
        <v>798</v>
      </c>
      <c r="Q35" s="15">
        <v>804</v>
      </c>
      <c r="R35" s="15">
        <v>880</v>
      </c>
      <c r="S35" s="15">
        <v>815</v>
      </c>
      <c r="T35" s="15">
        <v>841</v>
      </c>
      <c r="U35" s="15">
        <v>992</v>
      </c>
      <c r="V35" s="15">
        <v>1016</v>
      </c>
      <c r="W35" s="15">
        <v>860</v>
      </c>
      <c r="X35" s="15">
        <v>661</v>
      </c>
      <c r="Y35" s="15">
        <v>761</v>
      </c>
      <c r="Z35" s="15">
        <v>928</v>
      </c>
    </row>
    <row r="36" spans="1:89" ht="12.95" customHeight="1" x14ac:dyDescent="0.2">
      <c r="C36" s="124" t="str">
        <f>VLOOKUP(50,Textbausteine_401[],Hilfsgrössen!$D$2,FALSE)</f>
        <v>20–29</v>
      </c>
      <c r="D36" s="1" t="str">
        <f>VLOOKUP(11,Textbausteine_401[],Hilfsgrössen!$D$2,FALSE)</f>
        <v>Nombre de personnes à salaire mensuel</v>
      </c>
      <c r="E36" s="9" t="s">
        <v>70</v>
      </c>
      <c r="F36" s="11" t="s">
        <v>137</v>
      </c>
      <c r="G36" s="267"/>
      <c r="H36" s="15">
        <v>261</v>
      </c>
      <c r="I36" s="15">
        <v>199</v>
      </c>
      <c r="J36" s="15">
        <v>205</v>
      </c>
      <c r="K36" s="15">
        <v>262</v>
      </c>
      <c r="L36" s="15">
        <v>267</v>
      </c>
      <c r="M36" s="15">
        <v>174</v>
      </c>
      <c r="N36" s="15">
        <v>204</v>
      </c>
      <c r="O36" s="15">
        <v>275</v>
      </c>
      <c r="P36" s="15">
        <v>240</v>
      </c>
      <c r="Q36" s="15">
        <v>279</v>
      </c>
      <c r="R36" s="15">
        <v>311</v>
      </c>
      <c r="S36" s="15">
        <v>280</v>
      </c>
      <c r="T36" s="15">
        <v>297</v>
      </c>
      <c r="U36" s="15">
        <v>356</v>
      </c>
      <c r="V36" s="15">
        <v>313</v>
      </c>
      <c r="W36" s="15">
        <v>271</v>
      </c>
      <c r="X36" s="15">
        <v>197</v>
      </c>
      <c r="Y36" s="15">
        <v>244</v>
      </c>
      <c r="Z36" s="15">
        <v>275</v>
      </c>
    </row>
    <row r="37" spans="1:89" ht="12.95" customHeight="1" x14ac:dyDescent="0.2">
      <c r="C37" s="124" t="str">
        <f>VLOOKUP(51,Textbausteine_401[],Hilfsgrössen!$D$2,FALSE)</f>
        <v>30-49</v>
      </c>
      <c r="D37" s="1" t="str">
        <f>VLOOKUP(11,Textbausteine_401[],Hilfsgrössen!$D$2,FALSE)</f>
        <v>Nombre de personnes à salaire mensuel</v>
      </c>
      <c r="E37" s="9" t="s">
        <v>70</v>
      </c>
      <c r="F37" s="11" t="s">
        <v>137</v>
      </c>
      <c r="G37" s="267"/>
      <c r="H37" s="15">
        <v>689</v>
      </c>
      <c r="I37" s="15">
        <v>613</v>
      </c>
      <c r="J37" s="15">
        <v>577</v>
      </c>
      <c r="K37" s="15">
        <v>698</v>
      </c>
      <c r="L37" s="15">
        <v>774</v>
      </c>
      <c r="M37" s="15">
        <v>475</v>
      </c>
      <c r="N37" s="15">
        <v>419</v>
      </c>
      <c r="O37" s="15">
        <v>488</v>
      </c>
      <c r="P37" s="15">
        <v>426</v>
      </c>
      <c r="Q37" s="15">
        <v>395</v>
      </c>
      <c r="R37" s="15">
        <v>442</v>
      </c>
      <c r="S37" s="15">
        <v>403</v>
      </c>
      <c r="T37" s="15">
        <v>417</v>
      </c>
      <c r="U37" s="15">
        <v>487</v>
      </c>
      <c r="V37" s="15">
        <v>531</v>
      </c>
      <c r="W37" s="15">
        <v>433</v>
      </c>
      <c r="X37" s="15">
        <v>342</v>
      </c>
      <c r="Y37" s="15">
        <v>365</v>
      </c>
      <c r="Z37" s="15">
        <v>462</v>
      </c>
    </row>
    <row r="38" spans="1:89" ht="12.95" customHeight="1" x14ac:dyDescent="0.2">
      <c r="C38" s="124" t="str">
        <f>VLOOKUP(52,Textbausteine_401[],Hilfsgrössen!$D$2,FALSE)</f>
        <v>50 ans et plus</v>
      </c>
      <c r="D38" s="1" t="str">
        <f>VLOOKUP(11,Textbausteine_401[],Hilfsgrössen!$D$2,FALSE)</f>
        <v>Nombre de personnes à salaire mensuel</v>
      </c>
      <c r="E38" s="9" t="s">
        <v>70</v>
      </c>
      <c r="F38" s="9" t="s">
        <v>137</v>
      </c>
      <c r="H38" s="15">
        <v>180</v>
      </c>
      <c r="I38" s="15">
        <v>187</v>
      </c>
      <c r="J38" s="15">
        <v>162</v>
      </c>
      <c r="K38" s="15">
        <v>206</v>
      </c>
      <c r="L38" s="15">
        <v>255</v>
      </c>
      <c r="M38" s="15">
        <v>155</v>
      </c>
      <c r="N38" s="15">
        <v>151</v>
      </c>
      <c r="O38" s="15">
        <v>138</v>
      </c>
      <c r="P38" s="15">
        <v>132</v>
      </c>
      <c r="Q38" s="15">
        <v>130</v>
      </c>
      <c r="R38" s="15">
        <v>127</v>
      </c>
      <c r="S38" s="15">
        <v>132</v>
      </c>
      <c r="T38" s="15">
        <v>127</v>
      </c>
      <c r="U38" s="15">
        <v>149</v>
      </c>
      <c r="V38" s="15">
        <v>172</v>
      </c>
      <c r="W38" s="15">
        <v>156</v>
      </c>
      <c r="X38" s="15">
        <v>122</v>
      </c>
      <c r="Y38" s="15">
        <v>152</v>
      </c>
      <c r="Z38" s="15">
        <v>191</v>
      </c>
    </row>
    <row r="39" spans="1:89" ht="12.95" customHeight="1" x14ac:dyDescent="0.2">
      <c r="C39" s="26" t="str">
        <f>VLOOKUP(53,Textbausteine_401[],Hilfsgrössen!$D$2,FALSE)</f>
        <v>Hommes</v>
      </c>
      <c r="D39" s="1" t="str">
        <f>VLOOKUP(11,Textbausteine_401[],Hilfsgrössen!$D$2,FALSE)</f>
        <v>Nombre de personnes à salaire mensuel</v>
      </c>
      <c r="E39" s="9" t="s">
        <v>70</v>
      </c>
      <c r="F39" s="9" t="s">
        <v>137</v>
      </c>
      <c r="H39" s="15">
        <v>754</v>
      </c>
      <c r="I39" s="15">
        <v>704</v>
      </c>
      <c r="J39" s="15">
        <v>686</v>
      </c>
      <c r="K39" s="15">
        <v>879</v>
      </c>
      <c r="L39" s="15">
        <v>993</v>
      </c>
      <c r="M39" s="15">
        <v>572</v>
      </c>
      <c r="N39" s="15">
        <v>702</v>
      </c>
      <c r="O39" s="15">
        <v>769</v>
      </c>
      <c r="P39" s="15">
        <v>750</v>
      </c>
      <c r="Q39" s="15">
        <v>763</v>
      </c>
      <c r="R39" s="15">
        <v>748</v>
      </c>
      <c r="S39" s="15">
        <v>687</v>
      </c>
      <c r="T39" s="15">
        <v>768</v>
      </c>
      <c r="U39" s="15">
        <v>864</v>
      </c>
      <c r="V39" s="15">
        <v>1044</v>
      </c>
      <c r="W39" s="15">
        <v>1027</v>
      </c>
      <c r="X39" s="15">
        <v>846</v>
      </c>
      <c r="Y39" s="15">
        <v>1045</v>
      </c>
      <c r="Z39" s="15">
        <v>1281</v>
      </c>
    </row>
    <row r="40" spans="1:89" ht="12.95" customHeight="1" x14ac:dyDescent="0.2">
      <c r="C40" s="124" t="str">
        <f>VLOOKUP(54,Textbausteine_401[],Hilfsgrössen!$D$2,FALSE)</f>
        <v>20–29</v>
      </c>
      <c r="D40" s="1" t="str">
        <f>VLOOKUP(11,Textbausteine_401[],Hilfsgrössen!$D$2,FALSE)</f>
        <v>Nombre de personnes à salaire mensuel</v>
      </c>
      <c r="E40" s="9" t="s">
        <v>70</v>
      </c>
      <c r="F40" s="11" t="s">
        <v>137</v>
      </c>
      <c r="G40" s="267"/>
      <c r="H40" s="15">
        <v>246</v>
      </c>
      <c r="I40" s="15">
        <v>178</v>
      </c>
      <c r="J40" s="15">
        <v>177</v>
      </c>
      <c r="K40" s="15">
        <v>241</v>
      </c>
      <c r="L40" s="15">
        <v>257</v>
      </c>
      <c r="M40" s="15">
        <v>170</v>
      </c>
      <c r="N40" s="15">
        <v>199</v>
      </c>
      <c r="O40" s="15">
        <v>254</v>
      </c>
      <c r="P40" s="15">
        <v>230</v>
      </c>
      <c r="Q40" s="15">
        <v>270</v>
      </c>
      <c r="R40" s="15">
        <v>291</v>
      </c>
      <c r="S40" s="15">
        <v>232</v>
      </c>
      <c r="T40" s="15">
        <v>287</v>
      </c>
      <c r="U40" s="15">
        <v>282</v>
      </c>
      <c r="V40" s="15">
        <v>338</v>
      </c>
      <c r="W40" s="15">
        <v>355</v>
      </c>
      <c r="X40" s="15">
        <v>306</v>
      </c>
      <c r="Y40" s="15">
        <v>383</v>
      </c>
      <c r="Z40" s="15">
        <v>503</v>
      </c>
    </row>
    <row r="41" spans="1:89" ht="12.95" customHeight="1" x14ac:dyDescent="0.2">
      <c r="C41" s="124" t="str">
        <f>VLOOKUP(55,Textbausteine_401[],Hilfsgrössen!$D$2,FALSE)</f>
        <v>30-49</v>
      </c>
      <c r="D41" s="1" t="str">
        <f>VLOOKUP(11,Textbausteine_401[],Hilfsgrössen!$D$2,FALSE)</f>
        <v>Nombre de personnes à salaire mensuel</v>
      </c>
      <c r="E41" s="9" t="s">
        <v>70</v>
      </c>
      <c r="F41" s="11" t="s">
        <v>137</v>
      </c>
      <c r="G41" s="267"/>
      <c r="H41" s="15">
        <v>441</v>
      </c>
      <c r="I41" s="15">
        <v>454</v>
      </c>
      <c r="J41" s="15">
        <v>437</v>
      </c>
      <c r="K41" s="15">
        <v>561</v>
      </c>
      <c r="L41" s="15">
        <v>643</v>
      </c>
      <c r="M41" s="15">
        <v>331</v>
      </c>
      <c r="N41" s="15">
        <v>419</v>
      </c>
      <c r="O41" s="15">
        <v>451</v>
      </c>
      <c r="P41" s="15">
        <v>440</v>
      </c>
      <c r="Q41" s="15">
        <v>426</v>
      </c>
      <c r="R41" s="15">
        <v>381</v>
      </c>
      <c r="S41" s="15">
        <v>377</v>
      </c>
      <c r="T41" s="15">
        <v>389</v>
      </c>
      <c r="U41" s="15">
        <v>463</v>
      </c>
      <c r="V41" s="15">
        <v>588</v>
      </c>
      <c r="W41" s="15">
        <v>537</v>
      </c>
      <c r="X41" s="15">
        <v>418</v>
      </c>
      <c r="Y41" s="15">
        <v>524</v>
      </c>
      <c r="Z41" s="15">
        <v>596</v>
      </c>
    </row>
    <row r="42" spans="1:89" ht="12.95" customHeight="1" x14ac:dyDescent="0.2">
      <c r="C42" s="124" t="str">
        <f>VLOOKUP(56,Textbausteine_401[],Hilfsgrössen!$D$2,FALSE)</f>
        <v>50 ans et plus</v>
      </c>
      <c r="D42" s="1" t="str">
        <f>VLOOKUP(11,Textbausteine_401[],Hilfsgrössen!$D$2,FALSE)</f>
        <v>Nombre de personnes à salaire mensuel</v>
      </c>
      <c r="E42" s="9" t="s">
        <v>70</v>
      </c>
      <c r="F42" s="9" t="s">
        <v>137</v>
      </c>
      <c r="H42" s="15">
        <v>67</v>
      </c>
      <c r="I42" s="15">
        <v>72</v>
      </c>
      <c r="J42" s="15">
        <v>72</v>
      </c>
      <c r="K42" s="15">
        <v>77</v>
      </c>
      <c r="L42" s="15">
        <v>93</v>
      </c>
      <c r="M42" s="15">
        <v>71</v>
      </c>
      <c r="N42" s="15">
        <v>84</v>
      </c>
      <c r="O42" s="15">
        <v>64</v>
      </c>
      <c r="P42" s="15">
        <v>80</v>
      </c>
      <c r="Q42" s="15">
        <v>67</v>
      </c>
      <c r="R42" s="15">
        <v>76</v>
      </c>
      <c r="S42" s="15">
        <v>78</v>
      </c>
      <c r="T42" s="15">
        <v>92</v>
      </c>
      <c r="U42" s="15">
        <v>119</v>
      </c>
      <c r="V42" s="15">
        <v>118</v>
      </c>
      <c r="W42" s="15">
        <v>135</v>
      </c>
      <c r="X42" s="15">
        <v>122</v>
      </c>
      <c r="Y42" s="15">
        <v>138</v>
      </c>
      <c r="Z42" s="15">
        <v>182</v>
      </c>
    </row>
    <row r="43" spans="1:89" ht="12.95" customHeight="1" x14ac:dyDescent="0.2">
      <c r="C43" s="124"/>
      <c r="E43" s="11"/>
      <c r="H43" s="91"/>
      <c r="I43" s="91"/>
      <c r="J43" s="91"/>
      <c r="K43" s="91"/>
      <c r="L43" s="91"/>
      <c r="M43" s="91"/>
      <c r="T43" s="9"/>
      <c r="U43" s="9"/>
      <c r="V43" s="9"/>
      <c r="W43" s="9"/>
      <c r="X43" s="9"/>
      <c r="Y43" s="15"/>
      <c r="Z43" s="15"/>
    </row>
    <row r="44" spans="1:89" ht="12.95" customHeight="1" x14ac:dyDescent="0.2">
      <c r="C44" s="1" t="str">
        <f>VLOOKUP(57,Textbausteine_401[],Hilfsgrössen!$D$2,FALSE)</f>
        <v>Taux de départ global</v>
      </c>
      <c r="D44" s="97" t="str">
        <f>VLOOKUP(12,Textbausteine_401[],Hilfsgrössen!$D$2,FALSE)</f>
        <v>% de l'effectif moyen avec salaire mensuel</v>
      </c>
      <c r="E44" s="11" t="s">
        <v>69</v>
      </c>
      <c r="F44" s="9" t="s">
        <v>137</v>
      </c>
      <c r="H44" s="205">
        <v>9.4388011238612908</v>
      </c>
      <c r="I44" s="205">
        <v>7.774066850134929</v>
      </c>
      <c r="J44" s="205">
        <v>8.703731587200739</v>
      </c>
      <c r="K44" s="205">
        <v>9.7153999950633132</v>
      </c>
      <c r="L44" s="205">
        <v>11.441971492620675</v>
      </c>
      <c r="M44" s="205">
        <v>8.4414649614616888</v>
      </c>
      <c r="N44" s="192">
        <v>8.8000000000000007</v>
      </c>
      <c r="O44" s="192">
        <v>9.4</v>
      </c>
      <c r="P44" s="192">
        <v>9.5</v>
      </c>
      <c r="Q44" s="192">
        <v>9.85</v>
      </c>
      <c r="R44" s="192">
        <v>9.26</v>
      </c>
      <c r="S44" s="192">
        <v>9.15</v>
      </c>
      <c r="T44" s="192">
        <v>8.68</v>
      </c>
      <c r="U44" s="192">
        <v>11.72</v>
      </c>
      <c r="V44" s="192">
        <v>12.31</v>
      </c>
      <c r="W44" s="192">
        <v>12.6</v>
      </c>
      <c r="X44" s="192">
        <v>11.8539033151444</v>
      </c>
      <c r="Y44" s="15">
        <v>13.943149206378299</v>
      </c>
      <c r="Z44" s="15">
        <v>11.5600989529506</v>
      </c>
    </row>
    <row r="45" spans="1:89" ht="12.95" customHeight="1" x14ac:dyDescent="0.2">
      <c r="C45" s="16" t="str">
        <f>VLOOKUP(58,Textbausteine_401[],Hilfsgrössen!$D$2,FALSE)</f>
        <v>Taux de fluctuation (départs volontaires)</v>
      </c>
      <c r="D45" s="97" t="str">
        <f>VLOOKUP(12,Textbausteine_401[],Hilfsgrössen!$D$2,FALSE)</f>
        <v>% de l'effectif moyen avec salaire mensuel</v>
      </c>
      <c r="E45" s="11" t="s">
        <v>70</v>
      </c>
      <c r="F45" s="9" t="s">
        <v>137</v>
      </c>
      <c r="H45" s="203">
        <v>3.8</v>
      </c>
      <c r="I45" s="203">
        <v>3.6</v>
      </c>
      <c r="J45" s="203">
        <v>3.6</v>
      </c>
      <c r="K45" s="203">
        <v>4.7</v>
      </c>
      <c r="L45" s="203">
        <v>5.3</v>
      </c>
      <c r="M45" s="203">
        <v>3.1</v>
      </c>
      <c r="N45" s="192">
        <v>3.5</v>
      </c>
      <c r="O45" s="192">
        <v>3.9</v>
      </c>
      <c r="P45" s="192">
        <v>3.7</v>
      </c>
      <c r="Q45" s="192">
        <v>3.58</v>
      </c>
      <c r="R45" s="192">
        <v>4.05</v>
      </c>
      <c r="S45" s="192">
        <v>3.78</v>
      </c>
      <c r="T45" s="192">
        <v>3.99</v>
      </c>
      <c r="U45" s="192">
        <v>4.75</v>
      </c>
      <c r="V45" s="192">
        <v>5.48</v>
      </c>
      <c r="W45" s="192">
        <v>5.0999999999999996</v>
      </c>
      <c r="X45" s="192">
        <v>4.1322767281801003</v>
      </c>
      <c r="Y45" s="192">
        <v>4.9716342481183204</v>
      </c>
      <c r="Z45" s="192">
        <v>6.19</v>
      </c>
    </row>
    <row r="46" spans="1:89" ht="12.95" customHeight="1" x14ac:dyDescent="0.2">
      <c r="C46" s="16"/>
      <c r="D46" s="97"/>
      <c r="E46" s="11"/>
      <c r="H46" s="91"/>
      <c r="I46" s="91"/>
      <c r="J46" s="91"/>
      <c r="K46" s="91"/>
      <c r="L46" s="91"/>
      <c r="M46" s="91"/>
      <c r="T46" s="9"/>
      <c r="U46" s="9"/>
      <c r="V46" s="9"/>
      <c r="W46" s="9"/>
      <c r="X46" s="9"/>
      <c r="Y46" s="9"/>
      <c r="Z46" s="9"/>
    </row>
    <row r="47" spans="1:89" ht="12.95" customHeight="1" x14ac:dyDescent="0.25">
      <c r="A47" s="47"/>
      <c r="B47" s="18" t="str">
        <f>VLOOKUP(131,Textbausteine_401[],Hilfsgrössen!$D$2,FALSE)</f>
        <v>1) Sans les apprentis</v>
      </c>
      <c r="E47" s="29"/>
      <c r="F47" s="29"/>
      <c r="G47" s="267"/>
      <c r="H47" s="91"/>
      <c r="I47" s="91"/>
      <c r="J47" s="91"/>
      <c r="K47" s="91"/>
      <c r="L47" s="91"/>
      <c r="M47" s="91"/>
      <c r="N47" s="28"/>
      <c r="O47" s="28"/>
      <c r="P47" s="28"/>
      <c r="Q47" s="28"/>
      <c r="R47" s="28"/>
      <c r="S47" s="28"/>
      <c r="T47" s="28"/>
      <c r="U47" s="28"/>
      <c r="V47" s="28"/>
      <c r="W47" s="28"/>
      <c r="X47" s="28"/>
      <c r="Y47" s="28"/>
      <c r="Z47" s="28"/>
      <c r="AA47" s="28"/>
      <c r="AB47" s="28"/>
      <c r="AC47" s="28"/>
      <c r="AD47" s="28"/>
      <c r="AE47" s="28"/>
      <c r="AF47" s="28"/>
      <c r="AG47" s="28"/>
      <c r="AH47" s="28"/>
      <c r="AI47" s="28"/>
      <c r="AJ47" s="28"/>
      <c r="AK47" s="28"/>
      <c r="AL47" s="28"/>
      <c r="AM47" s="28"/>
      <c r="AN47" s="28"/>
      <c r="AO47" s="28"/>
      <c r="AP47" s="28"/>
      <c r="AQ47" s="28"/>
      <c r="AR47" s="28"/>
      <c r="AS47" s="28"/>
      <c r="AT47" s="28"/>
      <c r="AU47" s="28"/>
      <c r="AV47" s="28"/>
      <c r="AW47" s="28"/>
      <c r="AX47" s="28"/>
      <c r="AY47" s="28"/>
      <c r="AZ47" s="28"/>
      <c r="BA47" s="28"/>
      <c r="BB47" s="28"/>
      <c r="BC47" s="28"/>
      <c r="BD47" s="28"/>
      <c r="BE47" s="28"/>
      <c r="BF47" s="28"/>
      <c r="BG47" s="28"/>
      <c r="BH47" s="28"/>
      <c r="BI47" s="28"/>
      <c r="BJ47" s="28"/>
      <c r="BK47" s="28"/>
      <c r="BL47" s="28"/>
      <c r="BM47" s="28"/>
      <c r="BN47" s="28"/>
      <c r="BO47" s="28"/>
      <c r="BP47" s="28"/>
      <c r="BQ47" s="28"/>
      <c r="BR47" s="28"/>
      <c r="BS47" s="28"/>
      <c r="BT47" s="28"/>
      <c r="BU47" s="28"/>
      <c r="BV47" s="28"/>
      <c r="BW47" s="28"/>
      <c r="BX47" s="28"/>
      <c r="BY47" s="28"/>
      <c r="BZ47" s="28"/>
      <c r="CA47" s="28"/>
      <c r="CB47" s="28"/>
      <c r="CC47" s="28"/>
      <c r="CD47" s="28"/>
      <c r="CE47" s="28"/>
      <c r="CF47" s="28"/>
      <c r="CG47" s="28"/>
      <c r="CH47" s="28"/>
      <c r="CI47" s="28"/>
      <c r="CJ47" s="28"/>
      <c r="CK47" s="28"/>
    </row>
    <row r="48" spans="1:89" ht="12.95" customHeight="1" x14ac:dyDescent="0.25">
      <c r="A48" s="47"/>
      <c r="B48" s="18" t="str">
        <f>VLOOKUP(132,Textbausteine_401[],Hilfsgrössen!$D$2,FALSE)</f>
        <v>2) Taux de départ global = personnes rétribuées au mois qui ont quitté la Poste au cours d'une année civile, exprimé en pourcentage de l'effectif moyen.</v>
      </c>
      <c r="E48" s="29"/>
      <c r="F48" s="29"/>
      <c r="H48" s="91"/>
      <c r="I48" s="91"/>
      <c r="J48" s="91"/>
      <c r="K48" s="91"/>
      <c r="L48" s="91"/>
      <c r="M48" s="91"/>
      <c r="T48" s="9"/>
      <c r="U48" s="9"/>
      <c r="V48" s="9"/>
      <c r="W48" s="9"/>
      <c r="X48" s="9"/>
      <c r="Y48" s="9"/>
      <c r="Z48" s="9"/>
    </row>
    <row r="49" spans="1:89" s="366" customFormat="1" ht="12.95" customHeight="1" x14ac:dyDescent="0.25">
      <c r="A49" s="47"/>
      <c r="B49" s="18" t="str">
        <f>VLOOKUP(133,Textbausteine_401[],Hilfsgrössen!$D$2,FALSE)</f>
        <v>3) Groupe Suisse: données du systèmes du personnel, actuellement sans données sur 1402 unités du personnel ou 5582 personnes des sociétés du groupe B-Sped Logistics (Suisse) SA, Epsilon SA, Direct Mail Company AG, PubliBike SA, Destinas AG, KLARA Business SA, Relatra AG, BPS Speditions-Service AG, Arlesheim, BPS Speditions-Service AG, Pfungen, Walli-Trans AG, ASMIQ AG, notime AG, notime (Suisse) SA, Dialog Verwaltungs-Data AG, SwissSign SA, Tresorit AG, Bring! Labs AG, Livesystems Group SA, Livesystems SA, Livesystems dooh SA, Iemoli Trasporti SA, InTraLog Hermes AG, InTraLog Overseas AG, Otto Schmidt SA, Steriplus AG, Stericenter SA, Mediwar AG, Marcel Blanc et Cie SA, Unblu Inc., Groupe T2i Suisse SA, Hacknowledge SA, Stella Brandenberger Transporte AG, axsana AG, eoscop AG, H. Bucher Internationale Transporte AG, adiacom AG, Kickbag GmbH</v>
      </c>
      <c r="E49" s="384"/>
      <c r="F49" s="384"/>
      <c r="G49" s="368"/>
      <c r="H49" s="91"/>
      <c r="I49" s="91"/>
      <c r="J49" s="91"/>
      <c r="K49" s="91"/>
      <c r="L49" s="91"/>
      <c r="M49" s="91"/>
      <c r="N49" s="367"/>
      <c r="O49" s="367"/>
      <c r="P49" s="367"/>
      <c r="Q49" s="367"/>
      <c r="R49" s="367"/>
      <c r="S49" s="367"/>
      <c r="T49" s="367"/>
      <c r="U49" s="367"/>
      <c r="V49" s="367"/>
      <c r="W49" s="367"/>
      <c r="X49" s="367"/>
      <c r="Y49" s="367"/>
      <c r="Z49" s="367"/>
      <c r="AA49" s="367"/>
      <c r="AB49" s="367"/>
      <c r="AC49" s="367"/>
      <c r="AD49" s="367"/>
      <c r="AE49" s="367"/>
      <c r="AF49" s="367"/>
      <c r="AG49" s="367"/>
      <c r="AH49" s="367"/>
      <c r="AI49" s="367"/>
      <c r="AJ49" s="367"/>
      <c r="AK49" s="367"/>
      <c r="AL49" s="367"/>
      <c r="AM49" s="367"/>
      <c r="AN49" s="367"/>
      <c r="AO49" s="367"/>
      <c r="AP49" s="367"/>
      <c r="AQ49" s="367"/>
      <c r="AR49" s="367"/>
      <c r="AS49" s="367"/>
      <c r="AT49" s="367"/>
      <c r="AU49" s="367"/>
      <c r="AV49" s="367"/>
      <c r="AW49" s="367"/>
      <c r="AX49" s="367"/>
      <c r="AY49" s="367"/>
      <c r="AZ49" s="367"/>
      <c r="BA49" s="367"/>
      <c r="BB49" s="367"/>
      <c r="BC49" s="367"/>
      <c r="BD49" s="367"/>
      <c r="BE49" s="367"/>
      <c r="BF49" s="367"/>
      <c r="BG49" s="367"/>
      <c r="BH49" s="367"/>
      <c r="BI49" s="367"/>
      <c r="BJ49" s="367"/>
      <c r="BK49" s="367"/>
      <c r="BL49" s="367"/>
      <c r="BM49" s="367"/>
      <c r="BN49" s="367"/>
      <c r="BO49" s="367"/>
      <c r="BP49" s="367"/>
      <c r="BQ49" s="367"/>
      <c r="BR49" s="367"/>
      <c r="BS49" s="367"/>
      <c r="BT49" s="367"/>
      <c r="BU49" s="367"/>
      <c r="BV49" s="367"/>
      <c r="BW49" s="367"/>
      <c r="BX49" s="367"/>
      <c r="BY49" s="367"/>
      <c r="BZ49" s="367"/>
      <c r="CA49" s="367"/>
      <c r="CB49" s="367"/>
      <c r="CC49" s="367"/>
      <c r="CD49" s="367"/>
      <c r="CE49" s="367"/>
      <c r="CF49" s="367"/>
      <c r="CG49" s="367"/>
      <c r="CH49" s="367"/>
      <c r="CI49" s="367"/>
      <c r="CJ49" s="367"/>
      <c r="CK49" s="367"/>
    </row>
    <row r="50" spans="1:89" ht="12.95" customHeight="1" x14ac:dyDescent="0.25">
      <c r="A50" s="47"/>
      <c r="B50" s="18" t="str">
        <f>VLOOKUP(134,Textbausteine_401[],Hilfsgrössen!$D$2,FALSE)</f>
        <v>4) Ajustement de la valeur 2018 en raison de mutations ultérieures</v>
      </c>
      <c r="E50" s="29"/>
      <c r="F50" s="29"/>
      <c r="H50" s="91"/>
      <c r="I50" s="91"/>
      <c r="J50" s="91"/>
      <c r="K50" s="91"/>
      <c r="L50" s="91"/>
      <c r="M50" s="91"/>
      <c r="T50" s="9"/>
      <c r="U50" s="9"/>
      <c r="V50" s="9"/>
      <c r="W50" s="9"/>
      <c r="X50" s="9"/>
      <c r="Y50" s="9"/>
      <c r="Z50" s="9"/>
    </row>
    <row r="51" spans="1:89" ht="12.95" customHeight="1" x14ac:dyDescent="0.2">
      <c r="C51" s="16"/>
      <c r="D51" s="97"/>
      <c r="E51" s="11"/>
      <c r="H51" s="91"/>
      <c r="I51" s="91"/>
      <c r="J51" s="91"/>
      <c r="K51" s="91"/>
      <c r="L51" s="91"/>
      <c r="M51" s="91"/>
      <c r="T51" s="9"/>
      <c r="U51" s="9"/>
      <c r="V51" s="9"/>
      <c r="W51" s="9"/>
      <c r="X51" s="9"/>
      <c r="Y51" s="9"/>
      <c r="Z51" s="9"/>
    </row>
    <row r="52" spans="1:89" ht="12.95" customHeight="1" x14ac:dyDescent="0.2">
      <c r="C52" s="16"/>
      <c r="D52" s="97"/>
      <c r="E52" s="11"/>
      <c r="T52" s="9"/>
      <c r="U52" s="9"/>
      <c r="V52" s="9"/>
      <c r="W52" s="9"/>
      <c r="X52" s="9"/>
      <c r="Y52" s="9"/>
      <c r="Z52" s="9"/>
    </row>
    <row r="53" spans="1:89" s="6" customFormat="1" ht="12.95" customHeight="1" x14ac:dyDescent="0.2">
      <c r="A53" s="39" t="s">
        <v>27</v>
      </c>
      <c r="B53" s="401" t="str">
        <f>$C$8</f>
        <v>Congé parental</v>
      </c>
      <c r="C53" s="401"/>
      <c r="D53" s="6" t="str">
        <f>VLOOKUP(32,Textbausteine_Menu[],Hilfsgrössen!$D$2,FALSE)</f>
        <v>Unité</v>
      </c>
      <c r="E53" s="28" t="str">
        <f>VLOOKUP(33,Textbausteine_Menu[],Hilfsgrössen!$D$2,FALSE)</f>
        <v>Notes</v>
      </c>
      <c r="F53" s="28" t="str">
        <f>VLOOKUP(34,Textbausteine_Menu[],Hilfsgrössen!$D$2,FALSE)</f>
        <v>GRI</v>
      </c>
      <c r="G53" s="34"/>
      <c r="H53" s="72">
        <v>2004</v>
      </c>
      <c r="I53" s="72">
        <v>2005</v>
      </c>
      <c r="J53" s="72">
        <v>2006</v>
      </c>
      <c r="K53" s="72">
        <v>2007</v>
      </c>
      <c r="L53" s="72">
        <v>2008</v>
      </c>
      <c r="M53" s="72">
        <v>2009</v>
      </c>
      <c r="N53" s="28">
        <v>2010</v>
      </c>
      <c r="O53" s="28">
        <v>2011</v>
      </c>
      <c r="P53" s="28">
        <v>2012</v>
      </c>
      <c r="Q53" s="28">
        <v>2013</v>
      </c>
      <c r="R53" s="28">
        <v>2014</v>
      </c>
      <c r="S53" s="28">
        <v>2015</v>
      </c>
      <c r="T53" s="28">
        <v>2016</v>
      </c>
      <c r="U53" s="28">
        <v>2017</v>
      </c>
      <c r="V53" s="28">
        <v>2018</v>
      </c>
      <c r="W53" s="28">
        <v>2019</v>
      </c>
      <c r="X53" s="28">
        <v>2020</v>
      </c>
      <c r="Y53" s="28">
        <v>2021</v>
      </c>
      <c r="Z53" s="28">
        <v>2022</v>
      </c>
      <c r="AA53" s="28"/>
      <c r="AB53" s="28"/>
      <c r="AC53" s="28"/>
      <c r="AD53" s="28"/>
      <c r="AE53" s="28"/>
      <c r="AF53" s="28"/>
      <c r="AG53" s="28"/>
      <c r="AH53" s="28"/>
      <c r="AI53" s="28"/>
      <c r="AJ53" s="28"/>
      <c r="AK53" s="28"/>
      <c r="AL53" s="28"/>
      <c r="AM53" s="28"/>
      <c r="AN53" s="28"/>
      <c r="AO53" s="28"/>
      <c r="AP53" s="28"/>
      <c r="AQ53" s="28"/>
      <c r="AR53" s="28"/>
      <c r="AS53" s="28"/>
      <c r="AT53" s="28"/>
      <c r="AU53" s="28"/>
      <c r="AV53" s="28"/>
      <c r="AW53" s="28"/>
      <c r="AX53" s="28"/>
      <c r="AY53" s="28"/>
      <c r="AZ53" s="28"/>
      <c r="BA53" s="28"/>
      <c r="BB53" s="28"/>
      <c r="BC53" s="28"/>
      <c r="BD53" s="28"/>
      <c r="BE53" s="28"/>
      <c r="BF53" s="28"/>
      <c r="BG53" s="28"/>
      <c r="BH53" s="28"/>
      <c r="BI53" s="28"/>
      <c r="BJ53" s="28"/>
      <c r="BK53" s="28"/>
      <c r="BL53" s="28"/>
      <c r="BM53" s="28"/>
      <c r="BN53" s="28"/>
      <c r="BO53" s="28"/>
      <c r="BP53" s="28"/>
      <c r="BQ53" s="28"/>
      <c r="BR53" s="28"/>
      <c r="BS53" s="28"/>
      <c r="BT53" s="28"/>
      <c r="BU53" s="28"/>
      <c r="BV53" s="28"/>
      <c r="BW53" s="28"/>
      <c r="BX53" s="28"/>
      <c r="BY53" s="28"/>
      <c r="BZ53" s="28"/>
      <c r="CA53" s="28"/>
      <c r="CB53" s="28"/>
      <c r="CC53" s="28"/>
      <c r="CD53" s="28"/>
      <c r="CE53" s="28"/>
      <c r="CF53" s="28"/>
      <c r="CG53" s="28"/>
      <c r="CH53" s="28"/>
      <c r="CI53" s="28"/>
      <c r="CJ53" s="28"/>
      <c r="CK53" s="28"/>
    </row>
    <row r="54" spans="1:89" s="6" customFormat="1" ht="12.95" customHeight="1" x14ac:dyDescent="0.2">
      <c r="A54" s="65"/>
      <c r="B54" s="401"/>
      <c r="C54" s="401"/>
      <c r="E54" s="9"/>
      <c r="F54" s="9"/>
      <c r="G54" s="34"/>
      <c r="H54" s="91"/>
      <c r="I54" s="91"/>
      <c r="J54" s="91"/>
      <c r="K54" s="91"/>
      <c r="L54" s="91"/>
      <c r="M54" s="91"/>
      <c r="N54" s="9"/>
      <c r="O54" s="9"/>
      <c r="P54" s="9"/>
      <c r="Q54" s="9"/>
      <c r="R54" s="9"/>
      <c r="S54" s="9"/>
      <c r="T54" s="9"/>
      <c r="U54" s="9"/>
      <c r="V54" s="9"/>
      <c r="W54" s="9"/>
      <c r="X54" s="9"/>
      <c r="Y54" s="9"/>
      <c r="Z54" s="9"/>
      <c r="AA54" s="9"/>
      <c r="AB54" s="9"/>
      <c r="AC54" s="9"/>
      <c r="AD54" s="9"/>
      <c r="AE54" s="9"/>
      <c r="AF54" s="9"/>
      <c r="AG54" s="9"/>
      <c r="AH54" s="9"/>
      <c r="AI54" s="9"/>
      <c r="AJ54" s="9"/>
      <c r="AK54" s="9"/>
      <c r="AL54" s="9"/>
      <c r="AM54" s="9"/>
      <c r="AN54" s="9"/>
      <c r="AO54" s="9"/>
      <c r="AP54" s="9"/>
      <c r="AQ54" s="9"/>
      <c r="AR54" s="9"/>
      <c r="AS54" s="9"/>
      <c r="AT54" s="9"/>
      <c r="AU54" s="9"/>
      <c r="AV54" s="9"/>
      <c r="AW54" s="9"/>
      <c r="AX54" s="9"/>
      <c r="AY54" s="9"/>
      <c r="AZ54" s="9"/>
      <c r="BA54" s="9"/>
      <c r="BB54" s="9"/>
      <c r="BC54" s="9"/>
      <c r="BD54" s="9"/>
      <c r="BE54" s="9"/>
      <c r="BF54" s="9"/>
      <c r="BG54" s="9"/>
      <c r="BH54" s="9"/>
      <c r="BI54" s="9"/>
      <c r="BJ54" s="9"/>
      <c r="BK54" s="9"/>
      <c r="BL54" s="9"/>
      <c r="BM54" s="9"/>
      <c r="BN54" s="9"/>
      <c r="BO54" s="9"/>
      <c r="BP54" s="9"/>
      <c r="BQ54" s="9"/>
      <c r="BR54" s="9"/>
      <c r="BS54" s="9"/>
      <c r="BT54" s="9"/>
      <c r="BU54" s="9"/>
      <c r="BV54" s="9"/>
      <c r="BW54" s="9"/>
      <c r="BX54" s="9"/>
      <c r="BY54" s="9"/>
      <c r="BZ54" s="9"/>
      <c r="CA54" s="9"/>
      <c r="CB54" s="9"/>
      <c r="CC54" s="9"/>
      <c r="CD54" s="9"/>
      <c r="CE54" s="9"/>
      <c r="CF54" s="9"/>
      <c r="CG54" s="9"/>
      <c r="CH54" s="9"/>
      <c r="CI54" s="9"/>
      <c r="CJ54" s="9"/>
      <c r="CK54" s="9"/>
    </row>
    <row r="55" spans="1:89" ht="12.95" customHeight="1" x14ac:dyDescent="0.2">
      <c r="B55" s="2"/>
      <c r="F55" s="11"/>
      <c r="H55" s="91"/>
      <c r="I55" s="91"/>
      <c r="J55" s="91"/>
      <c r="K55" s="91"/>
      <c r="L55" s="91"/>
      <c r="M55" s="91"/>
      <c r="T55" s="9"/>
      <c r="U55" s="9"/>
      <c r="V55" s="9"/>
      <c r="W55" s="9"/>
      <c r="X55" s="9"/>
      <c r="Y55" s="9"/>
      <c r="Z55" s="9"/>
    </row>
    <row r="56" spans="1:89" ht="12.95" customHeight="1" x14ac:dyDescent="0.2">
      <c r="B56" s="2" t="str">
        <f>VLOOKUP(37,Textbausteine_Menu[],Hilfsgrössen!$D$2,FALSE)</f>
        <v>Groupe Suisse</v>
      </c>
      <c r="C56" s="2"/>
      <c r="H56" s="91"/>
      <c r="I56" s="91"/>
      <c r="J56" s="91"/>
      <c r="K56" s="91"/>
      <c r="L56" s="91"/>
      <c r="M56" s="91"/>
      <c r="T56" s="9"/>
      <c r="U56" s="9"/>
      <c r="V56" s="9"/>
      <c r="W56" s="9"/>
      <c r="X56" s="9"/>
      <c r="Y56" s="9"/>
      <c r="Z56" s="9"/>
    </row>
    <row r="57" spans="1:89" ht="12.95" customHeight="1" x14ac:dyDescent="0.2">
      <c r="C57" s="165" t="str">
        <f>VLOOKUP(71,Textbausteine_401[],Hilfsgrössen!$D$2,FALSE)</f>
        <v>Bénéficiaires du congé parental</v>
      </c>
      <c r="D57" s="122" t="str">
        <f>VLOOKUP(11,Textbausteine_401[],Hilfsgrössen!$D$2,FALSE)</f>
        <v>Nombre de personnes à salaire mensuel</v>
      </c>
      <c r="E57" s="9" t="s">
        <v>72</v>
      </c>
      <c r="F57" s="9" t="s">
        <v>138</v>
      </c>
      <c r="H57" s="91" t="s">
        <v>29</v>
      </c>
      <c r="I57" s="91" t="s">
        <v>29</v>
      </c>
      <c r="J57" s="91" t="s">
        <v>29</v>
      </c>
      <c r="K57" s="91" t="s">
        <v>29</v>
      </c>
      <c r="L57" s="91" t="s">
        <v>29</v>
      </c>
      <c r="M57" s="91" t="s">
        <v>29</v>
      </c>
      <c r="N57" s="9">
        <v>1644</v>
      </c>
      <c r="O57" s="9">
        <v>1658</v>
      </c>
      <c r="P57" s="9">
        <v>1643</v>
      </c>
      <c r="Q57" s="9">
        <v>1762</v>
      </c>
      <c r="R57" s="9">
        <v>1689</v>
      </c>
      <c r="S57" s="9">
        <v>1735</v>
      </c>
      <c r="T57" s="9">
        <v>1764</v>
      </c>
      <c r="U57" s="9">
        <v>1745</v>
      </c>
      <c r="V57" s="9">
        <v>1677</v>
      </c>
      <c r="W57" s="9">
        <v>1741</v>
      </c>
      <c r="X57" s="9">
        <v>1688</v>
      </c>
      <c r="Y57" s="9">
        <v>1804</v>
      </c>
      <c r="Z57" s="9">
        <v>2005</v>
      </c>
    </row>
    <row r="58" spans="1:89" ht="12.95" customHeight="1" x14ac:dyDescent="0.2">
      <c r="H58" s="91"/>
      <c r="I58" s="91"/>
      <c r="J58" s="91"/>
      <c r="K58" s="91"/>
      <c r="L58" s="91"/>
      <c r="M58" s="91"/>
      <c r="T58" s="9"/>
      <c r="U58" s="9"/>
      <c r="V58" s="9"/>
      <c r="W58" s="9"/>
      <c r="X58" s="9"/>
      <c r="Y58" s="9"/>
      <c r="Z58" s="9"/>
    </row>
    <row r="59" spans="1:89" ht="12.95" customHeight="1" x14ac:dyDescent="0.25">
      <c r="B59" s="266" t="str">
        <f>VLOOKUP(141,Textbausteine_401[],Hilfsgrössen!$D$2,FALSE)</f>
        <v>1) Comprend les personnes en congé de maternité, en congé parental, en congé d'accouchement, en congé de maternité et en adoption.</v>
      </c>
      <c r="H59" s="91"/>
      <c r="I59" s="91"/>
      <c r="J59" s="91"/>
      <c r="K59" s="91"/>
      <c r="L59" s="91"/>
      <c r="M59" s="91"/>
      <c r="T59" s="9"/>
      <c r="U59" s="9"/>
      <c r="V59" s="9"/>
      <c r="W59" s="9"/>
      <c r="X59" s="9"/>
      <c r="Y59" s="9"/>
      <c r="Z59" s="9"/>
    </row>
    <row r="60" spans="1:89" s="366" customFormat="1" ht="12.95" customHeight="1" x14ac:dyDescent="0.25">
      <c r="A60" s="66"/>
      <c r="B60" s="277" t="str">
        <f>VLOOKUP(142,Textbausteine_401[],Hilfsgrössen!$D$2,FALSE)</f>
        <v>2) Groupe Suisse: données du systèmes du personnel, actuellement sans données sur 1402 unités du personnel ou 5582 personnes des sociétés du groupe B-Sped Logistics (Suisse) SA, Epsilon SA, Direct Mail Company AG, PubliBike SA, Destinas AG, KLARA Business SA, Relatra AG, BPS Speditions-Service AG, Arlesheim, BPS Speditions-Service AG, Pfungen, Walli-Trans AG, ASMIQ AG, notime AG, notime (Suisse) SA, Dialog Verwaltungs-Data AG, SwissSign SA, Tresorit AG, Bring! Labs AG, Livesystems Group SA, Livesystems SA, Livesystems dooh SA, Iemoli Trasporti SA, InTraLog Hermes AG, InTraLog Overseas AG, Otto Schmidt SA, Steriplus AG, Stericenter SA, Mediwar AG, Marcel Blanc et Cie SA, Unblu Inc., Groupe T2i Suisse SA, Hacknowledge SA, Stella Brandenberger Transporte AG, axsana AG, eoscop AG, H. Bucher Internationale Transporte AG, adiacom AG, Kickbag GmbH</v>
      </c>
      <c r="E60" s="367"/>
      <c r="F60" s="367"/>
      <c r="G60" s="368"/>
      <c r="H60" s="91"/>
      <c r="I60" s="91"/>
      <c r="J60" s="91"/>
      <c r="K60" s="91"/>
      <c r="L60" s="91"/>
      <c r="M60" s="91"/>
      <c r="N60" s="367"/>
      <c r="O60" s="367"/>
      <c r="P60" s="367"/>
      <c r="Q60" s="367"/>
      <c r="R60" s="367"/>
      <c r="S60" s="367"/>
      <c r="T60" s="367"/>
      <c r="U60" s="367"/>
      <c r="V60" s="367"/>
      <c r="W60" s="367"/>
      <c r="X60" s="367"/>
      <c r="Y60" s="367"/>
      <c r="Z60" s="367"/>
      <c r="AA60" s="367"/>
      <c r="AB60" s="367"/>
      <c r="AC60" s="367"/>
      <c r="AD60" s="367"/>
      <c r="AE60" s="367"/>
      <c r="AF60" s="367"/>
      <c r="AG60" s="367"/>
      <c r="AH60" s="367"/>
      <c r="AI60" s="367"/>
      <c r="AJ60" s="367"/>
      <c r="AK60" s="367"/>
      <c r="AL60" s="367"/>
      <c r="AM60" s="367"/>
      <c r="AN60" s="367"/>
      <c r="AO60" s="367"/>
      <c r="AP60" s="367"/>
      <c r="AQ60" s="367"/>
      <c r="AR60" s="367"/>
      <c r="AS60" s="367"/>
      <c r="AT60" s="367"/>
      <c r="AU60" s="367"/>
      <c r="AV60" s="367"/>
      <c r="AW60" s="367"/>
      <c r="AX60" s="367"/>
      <c r="AY60" s="367"/>
      <c r="AZ60" s="367"/>
      <c r="BA60" s="367"/>
      <c r="BB60" s="367"/>
      <c r="BC60" s="367"/>
      <c r="BD60" s="367"/>
      <c r="BE60" s="367"/>
      <c r="BF60" s="367"/>
      <c r="BG60" s="367"/>
      <c r="BH60" s="367"/>
      <c r="BI60" s="367"/>
      <c r="BJ60" s="367"/>
      <c r="BK60" s="367"/>
      <c r="BL60" s="367"/>
      <c r="BM60" s="367"/>
      <c r="BN60" s="367"/>
      <c r="BO60" s="367"/>
      <c r="BP60" s="367"/>
      <c r="BQ60" s="367"/>
      <c r="BR60" s="367"/>
      <c r="BS60" s="367"/>
      <c r="BT60" s="367"/>
      <c r="BU60" s="367"/>
      <c r="BV60" s="367"/>
      <c r="BW60" s="367"/>
      <c r="BX60" s="367"/>
      <c r="BY60" s="367"/>
      <c r="BZ60" s="367"/>
      <c r="CA60" s="367"/>
      <c r="CB60" s="367"/>
      <c r="CC60" s="367"/>
      <c r="CD60" s="367"/>
      <c r="CE60" s="367"/>
      <c r="CF60" s="367"/>
      <c r="CG60" s="367"/>
      <c r="CH60" s="367"/>
      <c r="CI60" s="367"/>
      <c r="CJ60" s="367"/>
      <c r="CK60" s="367"/>
    </row>
    <row r="61" spans="1:89" ht="12.95" customHeight="1" x14ac:dyDescent="0.2">
      <c r="H61" s="91"/>
      <c r="I61" s="91"/>
      <c r="J61" s="91"/>
      <c r="K61" s="91"/>
      <c r="L61" s="91"/>
      <c r="M61" s="91"/>
      <c r="T61" s="9"/>
      <c r="U61" s="9"/>
      <c r="V61" s="9"/>
      <c r="W61" s="9"/>
      <c r="X61" s="9"/>
      <c r="Y61" s="9"/>
      <c r="Z61" s="9"/>
    </row>
    <row r="62" spans="1:89" ht="12.95" customHeight="1" x14ac:dyDescent="0.2">
      <c r="G62" s="35"/>
      <c r="H62" s="91"/>
      <c r="I62" s="91"/>
      <c r="J62" s="91"/>
      <c r="K62" s="91"/>
      <c r="L62" s="91"/>
      <c r="M62" s="91"/>
      <c r="T62" s="9"/>
      <c r="U62" s="9"/>
      <c r="V62" s="9"/>
      <c r="W62" s="9"/>
      <c r="X62" s="9"/>
      <c r="Y62" s="9"/>
      <c r="Z62" s="9"/>
    </row>
    <row r="63" spans="1:89" s="6" customFormat="1" ht="12.95" customHeight="1" x14ac:dyDescent="0.2">
      <c r="A63" s="39" t="s">
        <v>27</v>
      </c>
      <c r="B63" s="401" t="str">
        <f>$C$9</f>
        <v>Satisfaction du personnel, motivation et engagement</v>
      </c>
      <c r="C63" s="401"/>
      <c r="D63" s="6" t="str">
        <f>VLOOKUP(32,Textbausteine_Menu[],Hilfsgrössen!$D$2,FALSE)</f>
        <v>Unité</v>
      </c>
      <c r="E63" s="28" t="str">
        <f>VLOOKUP(33,Textbausteine_Menu[],Hilfsgrössen!$D$2,FALSE)</f>
        <v>Notes</v>
      </c>
      <c r="F63" s="28" t="str">
        <f>VLOOKUP(34,Textbausteine_Menu[],Hilfsgrössen!$D$2,FALSE)</f>
        <v>GRI</v>
      </c>
      <c r="G63" s="34"/>
      <c r="H63" s="28">
        <v>2004</v>
      </c>
      <c r="I63" s="28">
        <v>2005</v>
      </c>
      <c r="J63" s="28">
        <v>2006</v>
      </c>
      <c r="K63" s="28">
        <v>2007</v>
      </c>
      <c r="L63" s="28">
        <v>2008</v>
      </c>
      <c r="M63" s="28">
        <v>2009</v>
      </c>
      <c r="N63" s="28">
        <v>2010</v>
      </c>
      <c r="O63" s="28">
        <v>2011</v>
      </c>
      <c r="P63" s="28">
        <v>2012</v>
      </c>
      <c r="Q63" s="28">
        <v>2013</v>
      </c>
      <c r="R63" s="28">
        <v>2014</v>
      </c>
      <c r="S63" s="28">
        <v>2015</v>
      </c>
      <c r="T63" s="28">
        <v>2016</v>
      </c>
      <c r="U63" s="28">
        <v>2017</v>
      </c>
      <c r="V63" s="28">
        <v>2018</v>
      </c>
      <c r="W63" s="28">
        <v>2019</v>
      </c>
      <c r="X63" s="28">
        <v>2020</v>
      </c>
      <c r="Y63" s="28">
        <v>2021</v>
      </c>
      <c r="Z63" s="28">
        <v>2022</v>
      </c>
      <c r="AA63" s="28"/>
      <c r="AB63" s="28"/>
      <c r="AC63" s="28"/>
      <c r="AD63" s="28"/>
      <c r="AE63" s="28"/>
      <c r="AF63" s="28"/>
      <c r="AG63" s="28"/>
      <c r="AH63" s="28"/>
      <c r="AI63" s="28"/>
      <c r="AJ63" s="28"/>
      <c r="AK63" s="28"/>
      <c r="AL63" s="28"/>
      <c r="AM63" s="28"/>
      <c r="AN63" s="28"/>
      <c r="AO63" s="28"/>
      <c r="AP63" s="28"/>
      <c r="AQ63" s="28"/>
      <c r="AR63" s="28"/>
      <c r="AS63" s="28"/>
      <c r="AT63" s="28"/>
      <c r="AU63" s="28"/>
      <c r="AV63" s="28"/>
      <c r="AW63" s="28"/>
      <c r="AX63" s="28"/>
      <c r="AY63" s="28"/>
      <c r="AZ63" s="28"/>
      <c r="BA63" s="28"/>
      <c r="BB63" s="28"/>
      <c r="BC63" s="28"/>
      <c r="BD63" s="28"/>
      <c r="BE63" s="28"/>
      <c r="BF63" s="28"/>
      <c r="BG63" s="28"/>
      <c r="BH63" s="28"/>
      <c r="BI63" s="28"/>
      <c r="BJ63" s="28"/>
      <c r="BK63" s="28"/>
      <c r="BL63" s="28"/>
      <c r="BM63" s="28"/>
      <c r="BN63" s="28"/>
      <c r="BO63" s="28"/>
      <c r="BP63" s="28"/>
      <c r="BQ63" s="28"/>
      <c r="BR63" s="28"/>
      <c r="BS63" s="28"/>
      <c r="BT63" s="28"/>
      <c r="BU63" s="28"/>
      <c r="BV63" s="28"/>
      <c r="BW63" s="28"/>
      <c r="BX63" s="28"/>
      <c r="BY63" s="28"/>
      <c r="BZ63" s="28"/>
      <c r="CA63" s="28"/>
      <c r="CB63" s="28"/>
      <c r="CC63" s="28"/>
      <c r="CD63" s="28"/>
      <c r="CE63" s="28"/>
      <c r="CF63" s="28"/>
      <c r="CG63" s="28"/>
      <c r="CH63" s="28"/>
      <c r="CI63" s="28"/>
      <c r="CJ63" s="28"/>
      <c r="CK63" s="28"/>
    </row>
    <row r="64" spans="1:89" s="6" customFormat="1" ht="12.95" customHeight="1" x14ac:dyDescent="0.2">
      <c r="A64" s="65"/>
      <c r="B64" s="401"/>
      <c r="C64" s="401"/>
      <c r="E64" s="9"/>
      <c r="F64" s="9"/>
      <c r="G64" s="34"/>
      <c r="H64" s="91"/>
      <c r="I64" s="91"/>
      <c r="J64" s="91"/>
      <c r="K64" s="91"/>
      <c r="L64" s="91"/>
      <c r="M64" s="91"/>
      <c r="N64" s="9"/>
      <c r="O64" s="9"/>
      <c r="P64" s="9"/>
      <c r="Q64" s="9"/>
      <c r="R64" s="9"/>
      <c r="S64" s="9"/>
      <c r="T64" s="9"/>
      <c r="U64" s="9"/>
      <c r="V64" s="9"/>
      <c r="W64" s="9"/>
      <c r="X64" s="9"/>
      <c r="Y64" s="9"/>
      <c r="Z64" s="9"/>
      <c r="AA64" s="9"/>
      <c r="AB64" s="9"/>
      <c r="AC64" s="9"/>
      <c r="AD64" s="9"/>
      <c r="AE64" s="9"/>
      <c r="AF64" s="9"/>
      <c r="AG64" s="9"/>
      <c r="AH64" s="9"/>
      <c r="AI64" s="9"/>
      <c r="AJ64" s="9"/>
      <c r="AK64" s="9"/>
      <c r="AL64" s="9"/>
      <c r="AM64" s="9"/>
      <c r="AN64" s="9"/>
      <c r="AO64" s="9"/>
      <c r="AP64" s="9"/>
      <c r="AQ64" s="9"/>
      <c r="AR64" s="9"/>
      <c r="AS64" s="9"/>
      <c r="AT64" s="9"/>
      <c r="AU64" s="9"/>
      <c r="AV64" s="9"/>
      <c r="AW64" s="9"/>
      <c r="AX64" s="9"/>
      <c r="AY64" s="9"/>
      <c r="AZ64" s="9"/>
      <c r="BA64" s="9"/>
      <c r="BB64" s="9"/>
      <c r="BC64" s="9"/>
      <c r="BD64" s="9"/>
      <c r="BE64" s="9"/>
      <c r="BF64" s="9"/>
      <c r="BG64" s="9"/>
      <c r="BH64" s="9"/>
      <c r="BI64" s="9"/>
      <c r="BJ64" s="9"/>
      <c r="BK64" s="9"/>
      <c r="BL64" s="9"/>
      <c r="BM64" s="9"/>
      <c r="BN64" s="9"/>
      <c r="BO64" s="9"/>
      <c r="BP64" s="9"/>
      <c r="BQ64" s="9"/>
      <c r="BR64" s="9"/>
      <c r="BS64" s="9"/>
      <c r="BT64" s="9"/>
      <c r="BU64" s="9"/>
      <c r="BV64" s="9"/>
      <c r="BW64" s="9"/>
      <c r="BX64" s="9"/>
      <c r="BY64" s="9"/>
      <c r="BZ64" s="9"/>
      <c r="CA64" s="9"/>
      <c r="CB64" s="9"/>
      <c r="CC64" s="9"/>
      <c r="CD64" s="9"/>
      <c r="CE64" s="9"/>
      <c r="CF64" s="9"/>
      <c r="CG64" s="9"/>
      <c r="CH64" s="9"/>
      <c r="CI64" s="9"/>
      <c r="CJ64" s="9"/>
      <c r="CK64" s="9"/>
    </row>
    <row r="65" spans="2:26" ht="12.95" customHeight="1" x14ac:dyDescent="0.2">
      <c r="B65" s="2"/>
      <c r="F65" s="11"/>
      <c r="H65" s="91"/>
      <c r="I65" s="91"/>
      <c r="J65" s="91"/>
      <c r="K65" s="91"/>
      <c r="L65" s="91"/>
      <c r="M65" s="91"/>
      <c r="T65" s="9"/>
      <c r="U65" s="9"/>
      <c r="V65" s="9"/>
      <c r="W65" s="9"/>
      <c r="X65" s="9"/>
      <c r="Y65" s="9"/>
      <c r="Z65" s="9"/>
    </row>
    <row r="66" spans="2:26" ht="12.95" customHeight="1" x14ac:dyDescent="0.2">
      <c r="B66" s="255" t="str">
        <f>VLOOKUP(37,Textbausteine_Menu[],Hilfsgrössen!$D$2,FALSE)</f>
        <v>Groupe Suisse</v>
      </c>
      <c r="C66" s="255"/>
      <c r="H66" s="91"/>
      <c r="I66" s="91"/>
      <c r="J66" s="91"/>
      <c r="K66" s="91"/>
      <c r="L66" s="91"/>
      <c r="M66" s="91"/>
      <c r="T66" s="9"/>
      <c r="U66" s="9"/>
      <c r="V66" s="9"/>
      <c r="W66" s="9"/>
      <c r="X66" s="9"/>
      <c r="Y66" s="9"/>
      <c r="Z66" s="9"/>
    </row>
    <row r="67" spans="2:26" ht="12.95" customHeight="1" x14ac:dyDescent="0.2">
      <c r="B67" s="256"/>
      <c r="C67" s="259" t="str">
        <f>VLOOKUP(81,Textbausteine_401[],Hilfsgrössen!$D$2,FALSE)</f>
        <v>Taux de réponse net de l'enquête</v>
      </c>
      <c r="D67" s="122" t="str">
        <f>VLOOKUP(13,Textbausteine_401[],Hilfsgrössen!$D$2,FALSE)</f>
        <v>%</v>
      </c>
      <c r="E67" s="316" t="s">
        <v>72</v>
      </c>
      <c r="F67" s="9">
        <v>401</v>
      </c>
      <c r="H67" s="91" t="s">
        <v>29</v>
      </c>
      <c r="I67" s="91" t="s">
        <v>29</v>
      </c>
      <c r="J67" s="91" t="s">
        <v>29</v>
      </c>
      <c r="K67" s="91" t="s">
        <v>29</v>
      </c>
      <c r="L67" s="91" t="s">
        <v>29</v>
      </c>
      <c r="M67" s="91" t="s">
        <v>29</v>
      </c>
      <c r="N67" s="91" t="s">
        <v>29</v>
      </c>
      <c r="O67" s="91" t="s">
        <v>29</v>
      </c>
      <c r="P67" s="91" t="s">
        <v>29</v>
      </c>
      <c r="Q67" s="91" t="s">
        <v>29</v>
      </c>
      <c r="R67" s="91" t="s">
        <v>29</v>
      </c>
      <c r="S67" s="91" t="s">
        <v>29</v>
      </c>
      <c r="T67" s="91" t="s">
        <v>29</v>
      </c>
      <c r="U67" s="91" t="s">
        <v>29</v>
      </c>
      <c r="V67" s="91" t="s">
        <v>29</v>
      </c>
      <c r="W67" s="91" t="s">
        <v>29</v>
      </c>
      <c r="X67" s="91" t="s">
        <v>29</v>
      </c>
      <c r="Y67" s="316">
        <v>70.8</v>
      </c>
      <c r="Z67" s="316">
        <v>73</v>
      </c>
    </row>
    <row r="68" spans="2:26" ht="12.95" customHeight="1" x14ac:dyDescent="0.2">
      <c r="B68" s="256"/>
      <c r="C68" s="260" t="str">
        <f>VLOOKUP(82,Textbausteine_401[],Hilfsgrössen!$D$2,FALSE)</f>
        <v>Mon travail</v>
      </c>
      <c r="D68" s="1" t="str">
        <f>VLOOKUP(14,Textbausteine_401[],Hilfsgrössen!$D$2,FALSE)</f>
        <v>Indice</v>
      </c>
      <c r="E68" s="316" t="s">
        <v>72</v>
      </c>
      <c r="F68" s="9">
        <v>401</v>
      </c>
      <c r="H68" s="91" t="s">
        <v>29</v>
      </c>
      <c r="I68" s="91" t="s">
        <v>29</v>
      </c>
      <c r="J68" s="91" t="s">
        <v>29</v>
      </c>
      <c r="K68" s="91" t="s">
        <v>29</v>
      </c>
      <c r="L68" s="91" t="s">
        <v>29</v>
      </c>
      <c r="M68" s="91" t="s">
        <v>29</v>
      </c>
      <c r="N68" s="91" t="s">
        <v>29</v>
      </c>
      <c r="O68" s="91" t="s">
        <v>29</v>
      </c>
      <c r="P68" s="91" t="s">
        <v>29</v>
      </c>
      <c r="Q68" s="91" t="s">
        <v>29</v>
      </c>
      <c r="R68" s="91" t="s">
        <v>29</v>
      </c>
      <c r="S68" s="91" t="s">
        <v>29</v>
      </c>
      <c r="T68" s="91" t="s">
        <v>29</v>
      </c>
      <c r="U68" s="91" t="s">
        <v>29</v>
      </c>
      <c r="V68" s="91" t="s">
        <v>29</v>
      </c>
      <c r="W68" s="91" t="s">
        <v>29</v>
      </c>
      <c r="X68" s="91" t="s">
        <v>29</v>
      </c>
      <c r="Y68" s="316">
        <v>77</v>
      </c>
      <c r="Z68" s="316">
        <v>77</v>
      </c>
    </row>
    <row r="69" spans="2:26" ht="12.95" customHeight="1" x14ac:dyDescent="0.2">
      <c r="B69" s="256"/>
      <c r="C69" s="261" t="str">
        <f>VLOOKUP(83,Textbausteine_401[],Hilfsgrössen!$D$2,FALSE)</f>
        <v>Mon équipe</v>
      </c>
      <c r="D69" s="122" t="str">
        <f>VLOOKUP(14,Textbausteine_401[],Hilfsgrössen!$D$2,FALSE)</f>
        <v>Indice</v>
      </c>
      <c r="E69" s="316" t="s">
        <v>72</v>
      </c>
      <c r="F69" s="9">
        <v>401</v>
      </c>
      <c r="H69" s="91" t="s">
        <v>29</v>
      </c>
      <c r="I69" s="91" t="s">
        <v>29</v>
      </c>
      <c r="J69" s="91" t="s">
        <v>29</v>
      </c>
      <c r="K69" s="91" t="s">
        <v>29</v>
      </c>
      <c r="L69" s="91" t="s">
        <v>29</v>
      </c>
      <c r="M69" s="91" t="s">
        <v>29</v>
      </c>
      <c r="N69" s="91" t="s">
        <v>29</v>
      </c>
      <c r="O69" s="91" t="s">
        <v>29</v>
      </c>
      <c r="P69" s="91" t="s">
        <v>29</v>
      </c>
      <c r="Q69" s="91" t="s">
        <v>29</v>
      </c>
      <c r="R69" s="91" t="s">
        <v>29</v>
      </c>
      <c r="S69" s="91" t="s">
        <v>29</v>
      </c>
      <c r="T69" s="91" t="s">
        <v>29</v>
      </c>
      <c r="U69" s="91" t="s">
        <v>29</v>
      </c>
      <c r="V69" s="91" t="s">
        <v>29</v>
      </c>
      <c r="W69" s="91" t="s">
        <v>29</v>
      </c>
      <c r="X69" s="91" t="s">
        <v>29</v>
      </c>
      <c r="Y69" s="316">
        <v>80</v>
      </c>
      <c r="Z69" s="316">
        <v>80</v>
      </c>
    </row>
    <row r="70" spans="2:26" ht="12.95" customHeight="1" x14ac:dyDescent="0.2">
      <c r="B70" s="256"/>
      <c r="C70" s="261" t="str">
        <f>VLOOKUP(84,Textbausteine_401[],Hilfsgrössen!$D$2,FALSE)</f>
        <v>Mes supérieurs directs</v>
      </c>
      <c r="D70" s="122" t="str">
        <f>VLOOKUP(14,Textbausteine_401[],Hilfsgrössen!$D$2,FALSE)</f>
        <v>Indice</v>
      </c>
      <c r="E70" s="316" t="s">
        <v>72</v>
      </c>
      <c r="F70" s="9">
        <v>401</v>
      </c>
      <c r="H70" s="91" t="s">
        <v>29</v>
      </c>
      <c r="I70" s="91" t="s">
        <v>29</v>
      </c>
      <c r="J70" s="91" t="s">
        <v>29</v>
      </c>
      <c r="K70" s="91" t="s">
        <v>29</v>
      </c>
      <c r="L70" s="91" t="s">
        <v>29</v>
      </c>
      <c r="M70" s="91" t="s">
        <v>29</v>
      </c>
      <c r="N70" s="91" t="s">
        <v>29</v>
      </c>
      <c r="O70" s="91" t="s">
        <v>29</v>
      </c>
      <c r="P70" s="91" t="s">
        <v>29</v>
      </c>
      <c r="Q70" s="91" t="s">
        <v>29</v>
      </c>
      <c r="R70" s="91" t="s">
        <v>29</v>
      </c>
      <c r="S70" s="91" t="s">
        <v>29</v>
      </c>
      <c r="T70" s="91" t="s">
        <v>29</v>
      </c>
      <c r="U70" s="91" t="s">
        <v>29</v>
      </c>
      <c r="V70" s="91" t="s">
        <v>29</v>
      </c>
      <c r="W70" s="91" t="s">
        <v>29</v>
      </c>
      <c r="X70" s="91" t="s">
        <v>29</v>
      </c>
      <c r="Y70" s="316">
        <v>83</v>
      </c>
      <c r="Z70" s="316">
        <v>83</v>
      </c>
    </row>
    <row r="71" spans="2:26" ht="12.95" customHeight="1" x14ac:dyDescent="0.2">
      <c r="B71" s="256"/>
      <c r="C71" s="260" t="str">
        <f>VLOOKUP(85,Textbausteine_401[],Hilfsgrössen!$D$2,FALSE)</f>
        <v>Notre culture d’entreprise</v>
      </c>
      <c r="D71" s="122" t="str">
        <f>VLOOKUP(14,Textbausteine_401[],Hilfsgrössen!$D$2,FALSE)</f>
        <v>Indice</v>
      </c>
      <c r="E71" s="316" t="s">
        <v>72</v>
      </c>
      <c r="F71" s="9">
        <v>401</v>
      </c>
      <c r="H71" s="91" t="s">
        <v>29</v>
      </c>
      <c r="I71" s="91" t="s">
        <v>29</v>
      </c>
      <c r="J71" s="91" t="s">
        <v>29</v>
      </c>
      <c r="K71" s="91" t="s">
        <v>29</v>
      </c>
      <c r="L71" s="91" t="s">
        <v>29</v>
      </c>
      <c r="M71" s="91" t="s">
        <v>29</v>
      </c>
      <c r="N71" s="91" t="s">
        <v>29</v>
      </c>
      <c r="O71" s="91" t="s">
        <v>29</v>
      </c>
      <c r="P71" s="91" t="s">
        <v>29</v>
      </c>
      <c r="Q71" s="91" t="s">
        <v>29</v>
      </c>
      <c r="R71" s="91" t="s">
        <v>29</v>
      </c>
      <c r="S71" s="91" t="s">
        <v>29</v>
      </c>
      <c r="T71" s="91" t="s">
        <v>29</v>
      </c>
      <c r="U71" s="91" t="s">
        <v>29</v>
      </c>
      <c r="V71" s="91" t="s">
        <v>29</v>
      </c>
      <c r="W71" s="91" t="s">
        <v>29</v>
      </c>
      <c r="X71" s="91" t="s">
        <v>29</v>
      </c>
      <c r="Y71" s="316">
        <v>76</v>
      </c>
      <c r="Z71" s="316">
        <v>77</v>
      </c>
    </row>
    <row r="72" spans="2:26" ht="12.95" customHeight="1" x14ac:dyDescent="0.2">
      <c r="B72" s="256"/>
      <c r="C72" s="260" t="str">
        <f>VLOOKUP(86,Textbausteine_401[],Hilfsgrössen!$D$2,FALSE)</f>
        <v>Notre Poste</v>
      </c>
      <c r="D72" s="122" t="str">
        <f>VLOOKUP(14,Textbausteine_401[],Hilfsgrössen!$D$2,FALSE)</f>
        <v>Indice</v>
      </c>
      <c r="E72" s="316" t="s">
        <v>72</v>
      </c>
      <c r="F72" s="9">
        <v>401</v>
      </c>
      <c r="H72" s="91" t="s">
        <v>29</v>
      </c>
      <c r="I72" s="91" t="s">
        <v>29</v>
      </c>
      <c r="J72" s="91" t="s">
        <v>29</v>
      </c>
      <c r="K72" s="91" t="s">
        <v>29</v>
      </c>
      <c r="L72" s="91" t="s">
        <v>29</v>
      </c>
      <c r="M72" s="91" t="s">
        <v>29</v>
      </c>
      <c r="N72" s="91" t="s">
        <v>29</v>
      </c>
      <c r="O72" s="91" t="s">
        <v>29</v>
      </c>
      <c r="P72" s="91" t="s">
        <v>29</v>
      </c>
      <c r="Q72" s="91" t="s">
        <v>29</v>
      </c>
      <c r="R72" s="91" t="s">
        <v>29</v>
      </c>
      <c r="S72" s="91" t="s">
        <v>29</v>
      </c>
      <c r="T72" s="91" t="s">
        <v>29</v>
      </c>
      <c r="U72" s="91" t="s">
        <v>29</v>
      </c>
      <c r="V72" s="91" t="s">
        <v>29</v>
      </c>
      <c r="W72" s="91" t="s">
        <v>29</v>
      </c>
      <c r="X72" s="91" t="s">
        <v>29</v>
      </c>
      <c r="Y72" s="316">
        <v>76</v>
      </c>
      <c r="Z72" s="316">
        <v>77</v>
      </c>
    </row>
    <row r="73" spans="2:26" ht="12.95" customHeight="1" x14ac:dyDescent="0.2">
      <c r="B73" s="256"/>
      <c r="C73" s="260" t="str">
        <f>VLOOKUP(87,Textbausteine_401[],Hilfsgrössen!$D$2,FALSE)</f>
        <v>Mon engagement</v>
      </c>
      <c r="D73" s="122" t="str">
        <f>VLOOKUP(14,Textbausteine_401[],Hilfsgrössen!$D$2,FALSE)</f>
        <v>Indice</v>
      </c>
      <c r="E73" s="316" t="s">
        <v>70</v>
      </c>
      <c r="F73" s="9">
        <v>401</v>
      </c>
      <c r="H73" s="91"/>
      <c r="I73" s="91"/>
      <c r="J73" s="91"/>
      <c r="K73" s="91"/>
      <c r="L73" s="91"/>
      <c r="M73" s="91"/>
      <c r="N73" s="91"/>
      <c r="O73" s="91"/>
      <c r="P73" s="91"/>
      <c r="Q73" s="91"/>
      <c r="R73" s="91"/>
      <c r="S73" s="91"/>
      <c r="T73" s="91"/>
      <c r="U73" s="91"/>
      <c r="V73" s="91"/>
      <c r="W73" s="91"/>
      <c r="X73" s="91"/>
      <c r="Y73" s="316" t="s">
        <v>91</v>
      </c>
      <c r="Z73" s="316">
        <v>80</v>
      </c>
    </row>
    <row r="74" spans="2:26" ht="12.95" customHeight="1" x14ac:dyDescent="0.2">
      <c r="B74" s="256"/>
      <c r="C74" s="260" t="str">
        <f>VLOOKUP(88,Textbausteine_401[],Hilfsgrössen!$D$2,FALSE)</f>
        <v>L’avenir de mon emploi</v>
      </c>
      <c r="D74" s="122" t="str">
        <f>VLOOKUP(14,Textbausteine_401[],Hilfsgrössen!$D$2,FALSE)</f>
        <v>Indice</v>
      </c>
      <c r="E74" s="316" t="s">
        <v>78</v>
      </c>
      <c r="F74" s="9">
        <v>401</v>
      </c>
      <c r="H74" s="91" t="s">
        <v>29</v>
      </c>
      <c r="I74" s="91" t="s">
        <v>29</v>
      </c>
      <c r="J74" s="91" t="s">
        <v>29</v>
      </c>
      <c r="K74" s="91" t="s">
        <v>29</v>
      </c>
      <c r="L74" s="91" t="s">
        <v>29</v>
      </c>
      <c r="M74" s="91" t="s">
        <v>29</v>
      </c>
      <c r="N74" s="91" t="s">
        <v>29</v>
      </c>
      <c r="O74" s="91" t="s">
        <v>29</v>
      </c>
      <c r="P74" s="91" t="s">
        <v>29</v>
      </c>
      <c r="Q74" s="91" t="s">
        <v>29</v>
      </c>
      <c r="R74" s="91" t="s">
        <v>29</v>
      </c>
      <c r="S74" s="91" t="s">
        <v>29</v>
      </c>
      <c r="T74" s="91" t="s">
        <v>29</v>
      </c>
      <c r="U74" s="91" t="s">
        <v>29</v>
      </c>
      <c r="V74" s="91" t="s">
        <v>29</v>
      </c>
      <c r="W74" s="91" t="s">
        <v>29</v>
      </c>
      <c r="X74" s="91" t="s">
        <v>29</v>
      </c>
      <c r="Y74" s="316" t="s">
        <v>91</v>
      </c>
      <c r="Z74" s="316">
        <v>74</v>
      </c>
    </row>
    <row r="75" spans="2:26" ht="12.95" customHeight="1" x14ac:dyDescent="0.2">
      <c r="B75" s="256"/>
      <c r="C75" s="260" t="str">
        <f>VLOOKUP(89,Textbausteine_401[],Hilfsgrössen!$D$2,FALSE)</f>
        <v>Notre sondage du personnel</v>
      </c>
      <c r="D75" s="122" t="str">
        <f>VLOOKUP(14,Textbausteine_401[],Hilfsgrössen!$D$2,FALSE)</f>
        <v>Indice</v>
      </c>
      <c r="E75" s="316" t="s">
        <v>72</v>
      </c>
      <c r="F75" s="9">
        <v>401</v>
      </c>
      <c r="H75" s="91"/>
      <c r="I75" s="91"/>
      <c r="J75" s="91"/>
      <c r="K75" s="91"/>
      <c r="L75" s="91"/>
      <c r="M75" s="91"/>
      <c r="N75" s="91"/>
      <c r="O75" s="91"/>
      <c r="P75" s="91"/>
      <c r="Q75" s="91"/>
      <c r="R75" s="91"/>
      <c r="S75" s="91"/>
      <c r="T75" s="91"/>
      <c r="U75" s="91"/>
      <c r="V75" s="91"/>
      <c r="W75" s="91"/>
      <c r="X75" s="91"/>
      <c r="Y75" s="316">
        <v>78</v>
      </c>
      <c r="Z75" s="316">
        <v>80</v>
      </c>
    </row>
    <row r="76" spans="2:26" ht="12.95" customHeight="1" x14ac:dyDescent="0.2">
      <c r="B76" s="256"/>
      <c r="C76" s="259"/>
      <c r="D76" s="122"/>
      <c r="E76" s="269"/>
      <c r="H76" s="91"/>
      <c r="I76" s="91"/>
      <c r="J76" s="91"/>
      <c r="K76" s="91"/>
      <c r="L76" s="91"/>
      <c r="M76" s="91"/>
      <c r="T76" s="9"/>
      <c r="U76" s="9"/>
      <c r="V76" s="9"/>
      <c r="W76" s="9"/>
      <c r="X76" s="9"/>
      <c r="Y76" s="9"/>
      <c r="Z76" s="9"/>
    </row>
    <row r="77" spans="2:26" ht="12.95" customHeight="1" x14ac:dyDescent="0.2">
      <c r="B77" s="256"/>
      <c r="C77" s="262" t="str">
        <f>VLOOKUP(45,Textbausteine_Menu[],Hilfsgrössen!$D$2,FALSE)</f>
        <v>Services logistiques</v>
      </c>
      <c r="D77" s="122"/>
      <c r="E77" s="269"/>
      <c r="H77" s="91"/>
      <c r="I77" s="91"/>
      <c r="J77" s="91"/>
      <c r="K77" s="91"/>
      <c r="L77" s="91"/>
      <c r="M77" s="91"/>
      <c r="T77" s="9"/>
      <c r="U77" s="9"/>
      <c r="V77" s="9"/>
      <c r="W77" s="9"/>
      <c r="X77" s="9"/>
      <c r="Y77" s="9"/>
      <c r="Z77" s="9"/>
    </row>
    <row r="78" spans="2:26" ht="12.95" customHeight="1" x14ac:dyDescent="0.2">
      <c r="B78" s="256"/>
      <c r="C78" s="263" t="str">
        <f>VLOOKUP(82,Textbausteine_401[],Hilfsgrössen!$D$2,FALSE)</f>
        <v>Mon travail</v>
      </c>
      <c r="D78" s="1" t="str">
        <f>VLOOKUP(14,Textbausteine_401[],Hilfsgrössen!$D$2,FALSE)</f>
        <v>Indice</v>
      </c>
      <c r="E78" s="269">
        <v>1</v>
      </c>
      <c r="F78" s="9">
        <v>401</v>
      </c>
      <c r="H78" s="91" t="s">
        <v>29</v>
      </c>
      <c r="I78" s="91" t="s">
        <v>29</v>
      </c>
      <c r="J78" s="91" t="s">
        <v>29</v>
      </c>
      <c r="K78" s="91" t="s">
        <v>29</v>
      </c>
      <c r="L78" s="91" t="s">
        <v>29</v>
      </c>
      <c r="M78" s="91" t="s">
        <v>29</v>
      </c>
      <c r="N78" s="91" t="s">
        <v>29</v>
      </c>
      <c r="O78" s="91" t="s">
        <v>29</v>
      </c>
      <c r="P78" s="91" t="s">
        <v>29</v>
      </c>
      <c r="Q78" s="91" t="s">
        <v>29</v>
      </c>
      <c r="R78" s="91" t="s">
        <v>29</v>
      </c>
      <c r="S78" s="91" t="s">
        <v>29</v>
      </c>
      <c r="T78" s="91" t="s">
        <v>29</v>
      </c>
      <c r="U78" s="91" t="s">
        <v>29</v>
      </c>
      <c r="V78" s="91" t="s">
        <v>29</v>
      </c>
      <c r="W78" s="91" t="s">
        <v>29</v>
      </c>
      <c r="X78" s="91" t="s">
        <v>29</v>
      </c>
      <c r="Y78" s="316">
        <v>77</v>
      </c>
      <c r="Z78" s="316">
        <v>78</v>
      </c>
    </row>
    <row r="79" spans="2:26" ht="12.95" customHeight="1" x14ac:dyDescent="0.2">
      <c r="B79" s="256"/>
      <c r="C79" s="264" t="str">
        <f>VLOOKUP(83,Textbausteine_401[],Hilfsgrössen!$D$2,FALSE)</f>
        <v>Mon équipe</v>
      </c>
      <c r="D79" s="122" t="str">
        <f>VLOOKUP(14,Textbausteine_401[],Hilfsgrössen!$D$2,FALSE)</f>
        <v>Indice</v>
      </c>
      <c r="E79" s="258">
        <v>1</v>
      </c>
      <c r="F79" s="9">
        <v>401</v>
      </c>
      <c r="H79" s="91" t="s">
        <v>29</v>
      </c>
      <c r="I79" s="91" t="s">
        <v>29</v>
      </c>
      <c r="J79" s="91" t="s">
        <v>29</v>
      </c>
      <c r="K79" s="91" t="s">
        <v>29</v>
      </c>
      <c r="L79" s="91" t="s">
        <v>29</v>
      </c>
      <c r="M79" s="91" t="s">
        <v>29</v>
      </c>
      <c r="N79" s="91" t="s">
        <v>29</v>
      </c>
      <c r="O79" s="91" t="s">
        <v>29</v>
      </c>
      <c r="P79" s="91" t="s">
        <v>29</v>
      </c>
      <c r="Q79" s="91" t="s">
        <v>29</v>
      </c>
      <c r="R79" s="91" t="s">
        <v>29</v>
      </c>
      <c r="S79" s="91" t="s">
        <v>29</v>
      </c>
      <c r="T79" s="91" t="s">
        <v>29</v>
      </c>
      <c r="U79" s="91" t="s">
        <v>29</v>
      </c>
      <c r="V79" s="91" t="s">
        <v>29</v>
      </c>
      <c r="W79" s="91" t="s">
        <v>29</v>
      </c>
      <c r="X79" s="91" t="s">
        <v>29</v>
      </c>
      <c r="Y79" s="316">
        <v>78</v>
      </c>
      <c r="Z79" s="316">
        <v>79</v>
      </c>
    </row>
    <row r="80" spans="2:26" ht="12.95" customHeight="1" x14ac:dyDescent="0.2">
      <c r="B80" s="256"/>
      <c r="C80" s="263" t="str">
        <f>VLOOKUP(84,Textbausteine_401[],Hilfsgrössen!$D$2,FALSE)</f>
        <v>Mes supérieurs directs</v>
      </c>
      <c r="D80" s="1" t="str">
        <f>VLOOKUP(14,Textbausteine_401[],Hilfsgrössen!$D$2,FALSE)</f>
        <v>Indice</v>
      </c>
      <c r="E80" s="258">
        <v>1</v>
      </c>
      <c r="F80" s="9">
        <v>401</v>
      </c>
      <c r="H80" s="91" t="s">
        <v>29</v>
      </c>
      <c r="I80" s="91" t="s">
        <v>29</v>
      </c>
      <c r="J80" s="91" t="s">
        <v>29</v>
      </c>
      <c r="K80" s="91" t="s">
        <v>29</v>
      </c>
      <c r="L80" s="91" t="s">
        <v>29</v>
      </c>
      <c r="M80" s="91" t="s">
        <v>29</v>
      </c>
      <c r="N80" s="91" t="s">
        <v>29</v>
      </c>
      <c r="O80" s="91" t="s">
        <v>29</v>
      </c>
      <c r="P80" s="91" t="s">
        <v>29</v>
      </c>
      <c r="Q80" s="91" t="s">
        <v>29</v>
      </c>
      <c r="R80" s="91" t="s">
        <v>29</v>
      </c>
      <c r="S80" s="91" t="s">
        <v>29</v>
      </c>
      <c r="T80" s="91" t="s">
        <v>29</v>
      </c>
      <c r="U80" s="91" t="s">
        <v>29</v>
      </c>
      <c r="V80" s="91" t="s">
        <v>29</v>
      </c>
      <c r="W80" s="91" t="s">
        <v>29</v>
      </c>
      <c r="X80" s="91" t="s">
        <v>29</v>
      </c>
      <c r="Y80" s="316">
        <v>82</v>
      </c>
      <c r="Z80" s="316">
        <v>82</v>
      </c>
    </row>
    <row r="81" spans="2:26" ht="12.95" customHeight="1" x14ac:dyDescent="0.25">
      <c r="B81" s="257"/>
      <c r="C81" s="263" t="str">
        <f>VLOOKUP(85,Textbausteine_401[],Hilfsgrössen!$D$2,FALSE)</f>
        <v>Notre culture d’entreprise</v>
      </c>
      <c r="D81" s="1" t="str">
        <f>VLOOKUP(14,Textbausteine_401[],Hilfsgrössen!$D$2,FALSE)</f>
        <v>Indice</v>
      </c>
      <c r="E81" s="258">
        <v>1</v>
      </c>
      <c r="F81" s="9">
        <v>401</v>
      </c>
      <c r="H81" s="91" t="s">
        <v>29</v>
      </c>
      <c r="I81" s="91" t="s">
        <v>29</v>
      </c>
      <c r="J81" s="91" t="s">
        <v>29</v>
      </c>
      <c r="K81" s="91" t="s">
        <v>29</v>
      </c>
      <c r="L81" s="91" t="s">
        <v>29</v>
      </c>
      <c r="M81" s="91" t="s">
        <v>29</v>
      </c>
      <c r="N81" s="91" t="s">
        <v>29</v>
      </c>
      <c r="O81" s="91" t="s">
        <v>29</v>
      </c>
      <c r="P81" s="91" t="s">
        <v>29</v>
      </c>
      <c r="Q81" s="91" t="s">
        <v>29</v>
      </c>
      <c r="R81" s="91" t="s">
        <v>29</v>
      </c>
      <c r="S81" s="91" t="s">
        <v>29</v>
      </c>
      <c r="T81" s="91" t="s">
        <v>29</v>
      </c>
      <c r="U81" s="91" t="s">
        <v>29</v>
      </c>
      <c r="V81" s="91" t="s">
        <v>29</v>
      </c>
      <c r="W81" s="91" t="s">
        <v>29</v>
      </c>
      <c r="X81" s="91" t="s">
        <v>29</v>
      </c>
      <c r="Y81" s="316">
        <v>77</v>
      </c>
      <c r="Z81" s="316">
        <v>78</v>
      </c>
    </row>
    <row r="82" spans="2:26" ht="12.95" customHeight="1" x14ac:dyDescent="0.25">
      <c r="B82" s="257"/>
      <c r="C82" s="263" t="str">
        <f>VLOOKUP(86,Textbausteine_401[],Hilfsgrössen!$D$2,FALSE)</f>
        <v>Notre Poste</v>
      </c>
      <c r="D82" s="1" t="str">
        <f>VLOOKUP(14,Textbausteine_401[],Hilfsgrössen!$D$2,FALSE)</f>
        <v>Indice</v>
      </c>
      <c r="E82" s="258">
        <v>1</v>
      </c>
      <c r="F82" s="9">
        <v>401</v>
      </c>
      <c r="H82" s="91" t="s">
        <v>29</v>
      </c>
      <c r="I82" s="91" t="s">
        <v>29</v>
      </c>
      <c r="J82" s="91" t="s">
        <v>29</v>
      </c>
      <c r="K82" s="91" t="s">
        <v>29</v>
      </c>
      <c r="L82" s="91" t="s">
        <v>29</v>
      </c>
      <c r="M82" s="91" t="s">
        <v>29</v>
      </c>
      <c r="N82" s="91" t="s">
        <v>29</v>
      </c>
      <c r="O82" s="91" t="s">
        <v>29</v>
      </c>
      <c r="P82" s="91" t="s">
        <v>29</v>
      </c>
      <c r="Q82" s="91" t="s">
        <v>29</v>
      </c>
      <c r="R82" s="91" t="s">
        <v>29</v>
      </c>
      <c r="S82" s="91" t="s">
        <v>29</v>
      </c>
      <c r="T82" s="91" t="s">
        <v>29</v>
      </c>
      <c r="U82" s="91" t="s">
        <v>29</v>
      </c>
      <c r="V82" s="91" t="s">
        <v>29</v>
      </c>
      <c r="W82" s="91" t="s">
        <v>29</v>
      </c>
      <c r="X82" s="91" t="s">
        <v>29</v>
      </c>
      <c r="Y82" s="316">
        <v>77</v>
      </c>
      <c r="Z82" s="316">
        <v>78</v>
      </c>
    </row>
    <row r="83" spans="2:26" ht="12.95" customHeight="1" x14ac:dyDescent="0.25">
      <c r="B83" s="257"/>
      <c r="C83" s="263" t="str">
        <f>VLOOKUP(87,Textbausteine_401[],Hilfsgrössen!$D$2,FALSE)</f>
        <v>Mon engagement</v>
      </c>
      <c r="D83" s="1" t="str">
        <f>VLOOKUP(14,Textbausteine_401[],Hilfsgrössen!$D$2,FALSE)</f>
        <v>Indice</v>
      </c>
      <c r="E83" s="258" t="s">
        <v>70</v>
      </c>
      <c r="F83" s="9">
        <v>401</v>
      </c>
      <c r="H83" s="91"/>
      <c r="I83" s="91"/>
      <c r="J83" s="91"/>
      <c r="K83" s="91"/>
      <c r="L83" s="91"/>
      <c r="M83" s="91"/>
      <c r="N83" s="91"/>
      <c r="O83" s="91"/>
      <c r="P83" s="91"/>
      <c r="Q83" s="91"/>
      <c r="R83" s="91"/>
      <c r="S83" s="91"/>
      <c r="T83" s="91"/>
      <c r="U83" s="91"/>
      <c r="V83" s="91"/>
      <c r="W83" s="91"/>
      <c r="X83" s="91"/>
      <c r="Y83" s="316" t="s">
        <v>91</v>
      </c>
      <c r="Z83" s="316">
        <v>80</v>
      </c>
    </row>
    <row r="84" spans="2:26" ht="13.5" customHeight="1" x14ac:dyDescent="0.25">
      <c r="B84" s="257"/>
      <c r="C84" s="263" t="str">
        <f>VLOOKUP(88,Textbausteine_401[],Hilfsgrössen!$D$2,FALSE)</f>
        <v>L’avenir de mon emploi</v>
      </c>
      <c r="D84" s="1" t="str">
        <f>VLOOKUP(14,Textbausteine_401[],Hilfsgrössen!$D$2,FALSE)</f>
        <v>Indice</v>
      </c>
      <c r="E84" s="258" t="s">
        <v>78</v>
      </c>
      <c r="F84" s="9">
        <v>401</v>
      </c>
      <c r="H84" s="91" t="s">
        <v>29</v>
      </c>
      <c r="I84" s="91" t="s">
        <v>29</v>
      </c>
      <c r="J84" s="91" t="s">
        <v>29</v>
      </c>
      <c r="K84" s="91" t="s">
        <v>29</v>
      </c>
      <c r="L84" s="91" t="s">
        <v>29</v>
      </c>
      <c r="M84" s="91" t="s">
        <v>29</v>
      </c>
      <c r="N84" s="91" t="s">
        <v>29</v>
      </c>
      <c r="O84" s="91" t="s">
        <v>29</v>
      </c>
      <c r="P84" s="91" t="s">
        <v>29</v>
      </c>
      <c r="Q84" s="91" t="s">
        <v>29</v>
      </c>
      <c r="R84" s="91" t="s">
        <v>29</v>
      </c>
      <c r="S84" s="91" t="s">
        <v>29</v>
      </c>
      <c r="T84" s="91" t="s">
        <v>29</v>
      </c>
      <c r="U84" s="91" t="s">
        <v>29</v>
      </c>
      <c r="V84" s="91" t="s">
        <v>29</v>
      </c>
      <c r="W84" s="91" t="s">
        <v>29</v>
      </c>
      <c r="X84" s="91" t="s">
        <v>29</v>
      </c>
      <c r="Y84" s="316" t="s">
        <v>91</v>
      </c>
      <c r="Z84" s="316">
        <v>75</v>
      </c>
    </row>
    <row r="85" spans="2:26" ht="12.95" customHeight="1" x14ac:dyDescent="0.25">
      <c r="B85" s="257"/>
      <c r="C85" s="263" t="str">
        <f>VLOOKUP(89,Textbausteine_401[],Hilfsgrössen!$D$2,FALSE)</f>
        <v>Notre sondage du personnel</v>
      </c>
      <c r="D85" s="1" t="str">
        <f>VLOOKUP(14,Textbausteine_401[],Hilfsgrössen!$D$2,FALSE)</f>
        <v>Indice</v>
      </c>
      <c r="E85" s="258" t="s">
        <v>72</v>
      </c>
      <c r="F85" s="9">
        <v>401</v>
      </c>
      <c r="H85" s="91"/>
      <c r="I85" s="91"/>
      <c r="J85" s="91"/>
      <c r="K85" s="91"/>
      <c r="L85" s="91"/>
      <c r="M85" s="91"/>
      <c r="N85" s="91"/>
      <c r="O85" s="91"/>
      <c r="P85" s="91"/>
      <c r="Q85" s="91"/>
      <c r="R85" s="91"/>
      <c r="S85" s="91"/>
      <c r="T85" s="91"/>
      <c r="U85" s="91"/>
      <c r="V85" s="91"/>
      <c r="W85" s="91"/>
      <c r="X85" s="91"/>
      <c r="Y85" s="316">
        <v>76</v>
      </c>
      <c r="Z85" s="316">
        <v>79</v>
      </c>
    </row>
    <row r="86" spans="2:26" ht="12.95" customHeight="1" x14ac:dyDescent="0.2">
      <c r="B86" s="256"/>
      <c r="C86" s="263"/>
      <c r="E86" s="240"/>
      <c r="G86" s="35"/>
      <c r="H86" s="91"/>
      <c r="I86" s="91"/>
      <c r="J86" s="91"/>
      <c r="K86" s="91"/>
      <c r="L86" s="91"/>
      <c r="M86" s="91"/>
      <c r="T86" s="9"/>
      <c r="U86" s="9"/>
      <c r="V86" s="9"/>
      <c r="W86" s="9"/>
      <c r="X86" s="9"/>
      <c r="Y86" s="9"/>
      <c r="Z86" s="9"/>
    </row>
    <row r="87" spans="2:26" ht="12.95" customHeight="1" x14ac:dyDescent="0.2">
      <c r="B87" s="256"/>
      <c r="C87" s="262" t="str">
        <f>VLOOKUP(48,Textbausteine_Menu[],Hilfsgrössen!$D$2,FALSE)</f>
        <v>Services de communication</v>
      </c>
      <c r="D87" s="122"/>
      <c r="E87" s="269"/>
      <c r="H87" s="91"/>
      <c r="I87" s="91"/>
      <c r="J87" s="91"/>
      <c r="K87" s="91"/>
      <c r="L87" s="91"/>
      <c r="M87" s="91"/>
      <c r="T87" s="9"/>
      <c r="U87" s="9"/>
      <c r="V87" s="9"/>
      <c r="W87" s="9"/>
      <c r="X87" s="9"/>
      <c r="Y87" s="9"/>
      <c r="Z87" s="9"/>
    </row>
    <row r="88" spans="2:26" ht="12.95" customHeight="1" x14ac:dyDescent="0.2">
      <c r="B88" s="256"/>
      <c r="C88" s="263" t="str">
        <f>VLOOKUP(82,Textbausteine_401[],Hilfsgrössen!$D$2,FALSE)</f>
        <v>Mon travail</v>
      </c>
      <c r="D88" s="1" t="str">
        <f>VLOOKUP(14,Textbausteine_401[],Hilfsgrössen!$D$2,FALSE)</f>
        <v>Indice</v>
      </c>
      <c r="E88" s="269">
        <v>1</v>
      </c>
      <c r="F88" s="9">
        <v>401</v>
      </c>
      <c r="H88" s="91" t="s">
        <v>29</v>
      </c>
      <c r="I88" s="91" t="s">
        <v>29</v>
      </c>
      <c r="J88" s="91" t="s">
        <v>29</v>
      </c>
      <c r="K88" s="91" t="s">
        <v>29</v>
      </c>
      <c r="L88" s="91" t="s">
        <v>29</v>
      </c>
      <c r="M88" s="91" t="s">
        <v>29</v>
      </c>
      <c r="N88" s="91" t="s">
        <v>29</v>
      </c>
      <c r="O88" s="91" t="s">
        <v>29</v>
      </c>
      <c r="P88" s="91" t="s">
        <v>29</v>
      </c>
      <c r="Q88" s="91" t="s">
        <v>29</v>
      </c>
      <c r="R88" s="91" t="s">
        <v>29</v>
      </c>
      <c r="S88" s="91" t="s">
        <v>29</v>
      </c>
      <c r="T88" s="91" t="s">
        <v>29</v>
      </c>
      <c r="U88" s="91" t="s">
        <v>29</v>
      </c>
      <c r="V88" s="91" t="s">
        <v>29</v>
      </c>
      <c r="W88" s="91" t="s">
        <v>29</v>
      </c>
      <c r="X88" s="91" t="s">
        <v>29</v>
      </c>
      <c r="Y88" s="316">
        <v>79</v>
      </c>
      <c r="Z88" s="316">
        <v>79</v>
      </c>
    </row>
    <row r="89" spans="2:26" ht="12.95" customHeight="1" x14ac:dyDescent="0.2">
      <c r="B89" s="256"/>
      <c r="C89" s="264" t="str">
        <f>VLOOKUP(83,Textbausteine_401[],Hilfsgrössen!$D$2,FALSE)</f>
        <v>Mon équipe</v>
      </c>
      <c r="D89" s="122" t="str">
        <f>VLOOKUP(14,Textbausteine_401[],Hilfsgrössen!$D$2,FALSE)</f>
        <v>Indice</v>
      </c>
      <c r="E89" s="258">
        <v>1</v>
      </c>
      <c r="F89" s="9">
        <v>401</v>
      </c>
      <c r="H89" s="91" t="s">
        <v>29</v>
      </c>
      <c r="I89" s="91" t="s">
        <v>29</v>
      </c>
      <c r="J89" s="91" t="s">
        <v>29</v>
      </c>
      <c r="K89" s="91" t="s">
        <v>29</v>
      </c>
      <c r="L89" s="91" t="s">
        <v>29</v>
      </c>
      <c r="M89" s="91" t="s">
        <v>29</v>
      </c>
      <c r="N89" s="91" t="s">
        <v>29</v>
      </c>
      <c r="O89" s="91" t="s">
        <v>29</v>
      </c>
      <c r="P89" s="91" t="s">
        <v>29</v>
      </c>
      <c r="Q89" s="91" t="s">
        <v>29</v>
      </c>
      <c r="R89" s="91" t="s">
        <v>29</v>
      </c>
      <c r="S89" s="91" t="s">
        <v>29</v>
      </c>
      <c r="T89" s="91" t="s">
        <v>29</v>
      </c>
      <c r="U89" s="91" t="s">
        <v>29</v>
      </c>
      <c r="V89" s="91" t="s">
        <v>29</v>
      </c>
      <c r="W89" s="91" t="s">
        <v>29</v>
      </c>
      <c r="X89" s="91" t="s">
        <v>29</v>
      </c>
      <c r="Y89" s="316">
        <v>84</v>
      </c>
      <c r="Z89" s="316">
        <v>84</v>
      </c>
    </row>
    <row r="90" spans="2:26" ht="12.95" customHeight="1" x14ac:dyDescent="0.2">
      <c r="B90" s="256"/>
      <c r="C90" s="263" t="str">
        <f>VLOOKUP(84,Textbausteine_401[],Hilfsgrössen!$D$2,FALSE)</f>
        <v>Mes supérieurs directs</v>
      </c>
      <c r="D90" s="1" t="str">
        <f>VLOOKUP(14,Textbausteine_401[],Hilfsgrössen!$D$2,FALSE)</f>
        <v>Indice</v>
      </c>
      <c r="E90" s="258">
        <v>1</v>
      </c>
      <c r="F90" s="9">
        <v>401</v>
      </c>
      <c r="H90" s="91" t="s">
        <v>29</v>
      </c>
      <c r="I90" s="91" t="s">
        <v>29</v>
      </c>
      <c r="J90" s="91" t="s">
        <v>29</v>
      </c>
      <c r="K90" s="91" t="s">
        <v>29</v>
      </c>
      <c r="L90" s="91" t="s">
        <v>29</v>
      </c>
      <c r="M90" s="91" t="s">
        <v>29</v>
      </c>
      <c r="N90" s="91" t="s">
        <v>29</v>
      </c>
      <c r="O90" s="91" t="s">
        <v>29</v>
      </c>
      <c r="P90" s="91" t="s">
        <v>29</v>
      </c>
      <c r="Q90" s="91" t="s">
        <v>29</v>
      </c>
      <c r="R90" s="91" t="s">
        <v>29</v>
      </c>
      <c r="S90" s="91" t="s">
        <v>29</v>
      </c>
      <c r="T90" s="91" t="s">
        <v>29</v>
      </c>
      <c r="U90" s="91" t="s">
        <v>29</v>
      </c>
      <c r="V90" s="91" t="s">
        <v>29</v>
      </c>
      <c r="W90" s="91" t="s">
        <v>29</v>
      </c>
      <c r="X90" s="91" t="s">
        <v>29</v>
      </c>
      <c r="Y90" s="316">
        <v>85</v>
      </c>
      <c r="Z90" s="316">
        <v>84</v>
      </c>
    </row>
    <row r="91" spans="2:26" ht="12.95" customHeight="1" x14ac:dyDescent="0.25">
      <c r="B91" s="257"/>
      <c r="C91" s="263" t="str">
        <f>VLOOKUP(85,Textbausteine_401[],Hilfsgrössen!$D$2,FALSE)</f>
        <v>Notre culture d’entreprise</v>
      </c>
      <c r="D91" s="1" t="str">
        <f>VLOOKUP(14,Textbausteine_401[],Hilfsgrössen!$D$2,FALSE)</f>
        <v>Indice</v>
      </c>
      <c r="E91" s="258">
        <v>1</v>
      </c>
      <c r="F91" s="9">
        <v>401</v>
      </c>
      <c r="H91" s="91" t="s">
        <v>29</v>
      </c>
      <c r="I91" s="91" t="s">
        <v>29</v>
      </c>
      <c r="J91" s="91" t="s">
        <v>29</v>
      </c>
      <c r="K91" s="91" t="s">
        <v>29</v>
      </c>
      <c r="L91" s="91" t="s">
        <v>29</v>
      </c>
      <c r="M91" s="91" t="s">
        <v>29</v>
      </c>
      <c r="N91" s="91" t="s">
        <v>29</v>
      </c>
      <c r="O91" s="91" t="s">
        <v>29</v>
      </c>
      <c r="P91" s="91" t="s">
        <v>29</v>
      </c>
      <c r="Q91" s="91" t="s">
        <v>29</v>
      </c>
      <c r="R91" s="91" t="s">
        <v>29</v>
      </c>
      <c r="S91" s="91" t="s">
        <v>29</v>
      </c>
      <c r="T91" s="91" t="s">
        <v>29</v>
      </c>
      <c r="U91" s="91" t="s">
        <v>29</v>
      </c>
      <c r="V91" s="91" t="s">
        <v>29</v>
      </c>
      <c r="W91" s="91" t="s">
        <v>29</v>
      </c>
      <c r="X91" s="91" t="s">
        <v>29</v>
      </c>
      <c r="Y91" s="316">
        <v>71</v>
      </c>
      <c r="Z91" s="316">
        <v>75</v>
      </c>
    </row>
    <row r="92" spans="2:26" ht="12.95" customHeight="1" x14ac:dyDescent="0.25">
      <c r="B92" s="257"/>
      <c r="C92" s="263" t="str">
        <f>VLOOKUP(86,Textbausteine_401[],Hilfsgrössen!$D$2,FALSE)</f>
        <v>Notre Poste</v>
      </c>
      <c r="D92" s="1" t="str">
        <f>VLOOKUP(14,Textbausteine_401[],Hilfsgrössen!$D$2,FALSE)</f>
        <v>Indice</v>
      </c>
      <c r="E92" s="258">
        <v>1</v>
      </c>
      <c r="F92" s="9">
        <v>401</v>
      </c>
      <c r="H92" s="91" t="s">
        <v>29</v>
      </c>
      <c r="I92" s="91" t="s">
        <v>29</v>
      </c>
      <c r="J92" s="91" t="s">
        <v>29</v>
      </c>
      <c r="K92" s="91" t="s">
        <v>29</v>
      </c>
      <c r="L92" s="91" t="s">
        <v>29</v>
      </c>
      <c r="M92" s="91" t="s">
        <v>29</v>
      </c>
      <c r="N92" s="91" t="s">
        <v>29</v>
      </c>
      <c r="O92" s="91" t="s">
        <v>29</v>
      </c>
      <c r="P92" s="91" t="s">
        <v>29</v>
      </c>
      <c r="Q92" s="91" t="s">
        <v>29</v>
      </c>
      <c r="R92" s="91" t="s">
        <v>29</v>
      </c>
      <c r="S92" s="91" t="s">
        <v>29</v>
      </c>
      <c r="T92" s="91" t="s">
        <v>29</v>
      </c>
      <c r="U92" s="91" t="s">
        <v>29</v>
      </c>
      <c r="V92" s="91" t="s">
        <v>29</v>
      </c>
      <c r="W92" s="91" t="s">
        <v>29</v>
      </c>
      <c r="X92" s="91" t="s">
        <v>29</v>
      </c>
      <c r="Y92" s="316">
        <v>79</v>
      </c>
      <c r="Z92" s="316">
        <v>79</v>
      </c>
    </row>
    <row r="93" spans="2:26" ht="12.95" customHeight="1" x14ac:dyDescent="0.25">
      <c r="B93" s="257"/>
      <c r="C93" s="263" t="str">
        <f>VLOOKUP(87,Textbausteine_401[],Hilfsgrössen!$D$2,FALSE)</f>
        <v>Mon engagement</v>
      </c>
      <c r="D93" s="1" t="str">
        <f>VLOOKUP(14,Textbausteine_401[],Hilfsgrössen!$D$2,FALSE)</f>
        <v>Indice</v>
      </c>
      <c r="E93" s="258" t="s">
        <v>70</v>
      </c>
      <c r="F93" s="9">
        <v>401</v>
      </c>
      <c r="H93" s="91"/>
      <c r="I93" s="91"/>
      <c r="J93" s="91"/>
      <c r="K93" s="91"/>
      <c r="L93" s="91"/>
      <c r="M93" s="91"/>
      <c r="N93" s="91"/>
      <c r="O93" s="91"/>
      <c r="P93" s="91"/>
      <c r="Q93" s="91"/>
      <c r="R93" s="91"/>
      <c r="S93" s="91"/>
      <c r="T93" s="91"/>
      <c r="U93" s="91"/>
      <c r="V93" s="91"/>
      <c r="W93" s="91"/>
      <c r="X93" s="91"/>
      <c r="Y93" s="316" t="s">
        <v>91</v>
      </c>
      <c r="Z93" s="316">
        <v>85</v>
      </c>
    </row>
    <row r="94" spans="2:26" ht="12.95" customHeight="1" x14ac:dyDescent="0.25">
      <c r="B94" s="257"/>
      <c r="C94" s="263" t="str">
        <f>VLOOKUP(88,Textbausteine_401[],Hilfsgrössen!$D$2,FALSE)</f>
        <v>L’avenir de mon emploi</v>
      </c>
      <c r="D94" s="1" t="str">
        <f>VLOOKUP(14,Textbausteine_401[],Hilfsgrössen!$D$2,FALSE)</f>
        <v>Indice</v>
      </c>
      <c r="E94" s="258" t="s">
        <v>78</v>
      </c>
      <c r="F94" s="9">
        <v>401</v>
      </c>
      <c r="H94" s="91" t="s">
        <v>29</v>
      </c>
      <c r="I94" s="91" t="s">
        <v>29</v>
      </c>
      <c r="J94" s="91" t="s">
        <v>29</v>
      </c>
      <c r="K94" s="91" t="s">
        <v>29</v>
      </c>
      <c r="L94" s="91" t="s">
        <v>29</v>
      </c>
      <c r="M94" s="91" t="s">
        <v>29</v>
      </c>
      <c r="N94" s="91" t="s">
        <v>29</v>
      </c>
      <c r="O94" s="91" t="s">
        <v>29</v>
      </c>
      <c r="P94" s="91" t="s">
        <v>29</v>
      </c>
      <c r="Q94" s="91" t="s">
        <v>29</v>
      </c>
      <c r="R94" s="91" t="s">
        <v>29</v>
      </c>
      <c r="S94" s="91" t="s">
        <v>29</v>
      </c>
      <c r="T94" s="91" t="s">
        <v>29</v>
      </c>
      <c r="U94" s="91" t="s">
        <v>29</v>
      </c>
      <c r="V94" s="91" t="s">
        <v>29</v>
      </c>
      <c r="W94" s="91" t="s">
        <v>29</v>
      </c>
      <c r="X94" s="91" t="s">
        <v>29</v>
      </c>
      <c r="Y94" s="316" t="s">
        <v>91</v>
      </c>
      <c r="Z94" s="316">
        <v>76</v>
      </c>
    </row>
    <row r="95" spans="2:26" ht="12.95" customHeight="1" x14ac:dyDescent="0.25">
      <c r="B95" s="257"/>
      <c r="C95" s="263" t="str">
        <f>VLOOKUP(89,Textbausteine_401[],Hilfsgrössen!$D$2,FALSE)</f>
        <v>Notre sondage du personnel</v>
      </c>
      <c r="D95" s="1" t="str">
        <f>VLOOKUP(14,Textbausteine_401[],Hilfsgrössen!$D$2,FALSE)</f>
        <v>Indice</v>
      </c>
      <c r="E95" s="258" t="s">
        <v>72</v>
      </c>
      <c r="F95" s="9">
        <v>401</v>
      </c>
      <c r="H95" s="91"/>
      <c r="I95" s="91"/>
      <c r="J95" s="91"/>
      <c r="K95" s="91"/>
      <c r="L95" s="91"/>
      <c r="M95" s="91"/>
      <c r="N95" s="91"/>
      <c r="O95" s="91"/>
      <c r="P95" s="91"/>
      <c r="Q95" s="91"/>
      <c r="R95" s="91"/>
      <c r="S95" s="91"/>
      <c r="T95" s="91"/>
      <c r="U95" s="91"/>
      <c r="V95" s="91"/>
      <c r="W95" s="91"/>
      <c r="X95" s="91"/>
      <c r="Y95" s="316">
        <v>80</v>
      </c>
      <c r="Z95" s="316">
        <v>78</v>
      </c>
    </row>
    <row r="96" spans="2:26" ht="12.95" customHeight="1" x14ac:dyDescent="0.2">
      <c r="B96" s="256"/>
      <c r="C96" s="263"/>
      <c r="E96" s="269"/>
      <c r="H96" s="91"/>
      <c r="I96" s="91"/>
      <c r="J96" s="91"/>
      <c r="K96" s="91"/>
      <c r="L96" s="91"/>
      <c r="M96" s="91"/>
      <c r="T96" s="9"/>
      <c r="U96" s="9"/>
      <c r="V96" s="9"/>
      <c r="W96" s="9"/>
      <c r="X96" s="9"/>
      <c r="Y96" s="9"/>
      <c r="Z96" s="9"/>
    </row>
    <row r="97" spans="2:27" ht="12.95" hidden="1" customHeight="1" x14ac:dyDescent="0.2">
      <c r="B97" s="256"/>
      <c r="C97" s="262" t="str">
        <f>VLOOKUP(46,Textbausteine_Menu[],Hilfsgrössen!$D$2,FALSE)</f>
        <v>Swiss Post Solutions</v>
      </c>
      <c r="D97" s="122"/>
      <c r="E97" s="269"/>
      <c r="H97" s="91"/>
      <c r="I97" s="91"/>
      <c r="J97" s="91"/>
      <c r="K97" s="91"/>
      <c r="L97" s="91"/>
      <c r="M97" s="91"/>
      <c r="T97" s="9"/>
      <c r="U97" s="9"/>
      <c r="V97" s="9"/>
      <c r="W97" s="9"/>
      <c r="X97" s="9"/>
      <c r="Y97" s="9"/>
      <c r="Z97" s="9"/>
    </row>
    <row r="98" spans="2:27" ht="12.95" hidden="1" customHeight="1" x14ac:dyDescent="0.2">
      <c r="B98" s="256"/>
      <c r="C98" s="263" t="str">
        <f>VLOOKUP(82,Textbausteine_401[],Hilfsgrössen!$D$2,FALSE)</f>
        <v>Mon travail</v>
      </c>
      <c r="D98" s="1" t="str">
        <f>VLOOKUP(14,Textbausteine_401[],Hilfsgrössen!$D$2,FALSE)</f>
        <v>Indice</v>
      </c>
      <c r="E98" s="269">
        <v>1</v>
      </c>
      <c r="F98" s="9">
        <v>401</v>
      </c>
      <c r="H98" s="91" t="s">
        <v>29</v>
      </c>
      <c r="I98" s="91" t="s">
        <v>29</v>
      </c>
      <c r="J98" s="91" t="s">
        <v>29</v>
      </c>
      <c r="K98" s="91" t="s">
        <v>29</v>
      </c>
      <c r="L98" s="91" t="s">
        <v>29</v>
      </c>
      <c r="M98" s="91" t="s">
        <v>29</v>
      </c>
      <c r="N98" s="91" t="s">
        <v>29</v>
      </c>
      <c r="O98" s="91" t="s">
        <v>29</v>
      </c>
      <c r="P98" s="91" t="s">
        <v>29</v>
      </c>
      <c r="Q98" s="91" t="s">
        <v>29</v>
      </c>
      <c r="R98" s="91" t="s">
        <v>29</v>
      </c>
      <c r="S98" s="91" t="s">
        <v>29</v>
      </c>
      <c r="T98" s="91" t="s">
        <v>29</v>
      </c>
      <c r="U98" s="91" t="s">
        <v>29</v>
      </c>
      <c r="V98" s="91" t="s">
        <v>29</v>
      </c>
      <c r="W98" s="91" t="s">
        <v>29</v>
      </c>
      <c r="X98" s="91" t="s">
        <v>29</v>
      </c>
      <c r="Y98" s="9">
        <v>83</v>
      </c>
      <c r="Z98" s="9"/>
    </row>
    <row r="99" spans="2:27" ht="12.95" hidden="1" customHeight="1" x14ac:dyDescent="0.2">
      <c r="B99" s="256"/>
      <c r="C99" s="264" t="str">
        <f>VLOOKUP(83,Textbausteine_401[],Hilfsgrössen!$D$2,FALSE)</f>
        <v>Mon équipe</v>
      </c>
      <c r="D99" s="122" t="str">
        <f>VLOOKUP(14,Textbausteine_401[],Hilfsgrössen!$D$2,FALSE)</f>
        <v>Indice</v>
      </c>
      <c r="E99" s="258">
        <v>1</v>
      </c>
      <c r="F99" s="9">
        <v>401</v>
      </c>
      <c r="H99" s="91" t="s">
        <v>29</v>
      </c>
      <c r="I99" s="91" t="s">
        <v>29</v>
      </c>
      <c r="J99" s="91" t="s">
        <v>29</v>
      </c>
      <c r="K99" s="91" t="s">
        <v>29</v>
      </c>
      <c r="L99" s="91" t="s">
        <v>29</v>
      </c>
      <c r="M99" s="91" t="s">
        <v>29</v>
      </c>
      <c r="N99" s="91" t="s">
        <v>29</v>
      </c>
      <c r="O99" s="91" t="s">
        <v>29</v>
      </c>
      <c r="P99" s="91" t="s">
        <v>29</v>
      </c>
      <c r="Q99" s="91" t="s">
        <v>29</v>
      </c>
      <c r="R99" s="91" t="s">
        <v>29</v>
      </c>
      <c r="S99" s="91" t="s">
        <v>29</v>
      </c>
      <c r="T99" s="91" t="s">
        <v>29</v>
      </c>
      <c r="U99" s="91" t="s">
        <v>29</v>
      </c>
      <c r="V99" s="91" t="s">
        <v>29</v>
      </c>
      <c r="W99" s="91" t="s">
        <v>29</v>
      </c>
      <c r="X99" s="91" t="s">
        <v>29</v>
      </c>
      <c r="Y99" s="9">
        <v>85</v>
      </c>
      <c r="Z99" s="9"/>
    </row>
    <row r="100" spans="2:27" ht="12.95" hidden="1" customHeight="1" x14ac:dyDescent="0.2">
      <c r="B100" s="256"/>
      <c r="C100" s="263" t="str">
        <f>VLOOKUP(84,Textbausteine_401[],Hilfsgrössen!$D$2,FALSE)</f>
        <v>Mes supérieurs directs</v>
      </c>
      <c r="D100" s="1" t="str">
        <f>VLOOKUP(14,Textbausteine_401[],Hilfsgrössen!$D$2,FALSE)</f>
        <v>Indice</v>
      </c>
      <c r="E100" s="258">
        <v>1</v>
      </c>
      <c r="F100" s="9">
        <v>401</v>
      </c>
      <c r="H100" s="91" t="s">
        <v>29</v>
      </c>
      <c r="I100" s="91" t="s">
        <v>29</v>
      </c>
      <c r="J100" s="91" t="s">
        <v>29</v>
      </c>
      <c r="K100" s="91" t="s">
        <v>29</v>
      </c>
      <c r="L100" s="91" t="s">
        <v>29</v>
      </c>
      <c r="M100" s="91" t="s">
        <v>29</v>
      </c>
      <c r="N100" s="91" t="s">
        <v>29</v>
      </c>
      <c r="O100" s="91" t="s">
        <v>29</v>
      </c>
      <c r="P100" s="91" t="s">
        <v>29</v>
      </c>
      <c r="Q100" s="91" t="s">
        <v>29</v>
      </c>
      <c r="R100" s="91" t="s">
        <v>29</v>
      </c>
      <c r="S100" s="91" t="s">
        <v>29</v>
      </c>
      <c r="T100" s="91" t="s">
        <v>29</v>
      </c>
      <c r="U100" s="91" t="s">
        <v>29</v>
      </c>
      <c r="V100" s="91" t="s">
        <v>29</v>
      </c>
      <c r="W100" s="91" t="s">
        <v>29</v>
      </c>
      <c r="X100" s="91" t="s">
        <v>29</v>
      </c>
      <c r="Y100" s="9">
        <v>87</v>
      </c>
      <c r="Z100" s="9"/>
    </row>
    <row r="101" spans="2:27" ht="12.95" hidden="1" customHeight="1" x14ac:dyDescent="0.25">
      <c r="B101" s="257"/>
      <c r="C101" s="263" t="str">
        <f>VLOOKUP(85,Textbausteine_401[],Hilfsgrössen!$D$2,FALSE)</f>
        <v>Notre culture d’entreprise</v>
      </c>
      <c r="D101" s="1" t="str">
        <f>VLOOKUP(14,Textbausteine_401[],Hilfsgrössen!$D$2,FALSE)</f>
        <v>Indice</v>
      </c>
      <c r="E101" s="258">
        <v>1</v>
      </c>
      <c r="F101" s="9">
        <v>401</v>
      </c>
      <c r="H101" s="91" t="s">
        <v>29</v>
      </c>
      <c r="I101" s="91" t="s">
        <v>29</v>
      </c>
      <c r="J101" s="91" t="s">
        <v>29</v>
      </c>
      <c r="K101" s="91" t="s">
        <v>29</v>
      </c>
      <c r="L101" s="91" t="s">
        <v>29</v>
      </c>
      <c r="M101" s="91" t="s">
        <v>29</v>
      </c>
      <c r="N101" s="91" t="s">
        <v>29</v>
      </c>
      <c r="O101" s="91" t="s">
        <v>29</v>
      </c>
      <c r="P101" s="91" t="s">
        <v>29</v>
      </c>
      <c r="Q101" s="91" t="s">
        <v>29</v>
      </c>
      <c r="R101" s="91" t="s">
        <v>29</v>
      </c>
      <c r="S101" s="91" t="s">
        <v>29</v>
      </c>
      <c r="T101" s="91" t="s">
        <v>29</v>
      </c>
      <c r="U101" s="91" t="s">
        <v>29</v>
      </c>
      <c r="V101" s="91" t="s">
        <v>29</v>
      </c>
      <c r="W101" s="91" t="s">
        <v>29</v>
      </c>
      <c r="X101" s="91" t="s">
        <v>29</v>
      </c>
      <c r="Y101" s="9">
        <v>83</v>
      </c>
      <c r="Z101" s="9"/>
    </row>
    <row r="102" spans="2:27" ht="12.95" hidden="1" customHeight="1" x14ac:dyDescent="0.25">
      <c r="B102" s="257"/>
      <c r="C102" s="263" t="str">
        <f>VLOOKUP(86,Textbausteine_401[],Hilfsgrössen!$D$2,FALSE)</f>
        <v>Notre Poste</v>
      </c>
      <c r="D102" s="1" t="str">
        <f>VLOOKUP(14,Textbausteine_401[],Hilfsgrössen!$D$2,FALSE)</f>
        <v>Indice</v>
      </c>
      <c r="E102" s="258">
        <v>1</v>
      </c>
      <c r="F102" s="9">
        <v>401</v>
      </c>
      <c r="H102" s="91" t="s">
        <v>29</v>
      </c>
      <c r="I102" s="91" t="s">
        <v>29</v>
      </c>
      <c r="J102" s="91" t="s">
        <v>29</v>
      </c>
      <c r="K102" s="91" t="s">
        <v>29</v>
      </c>
      <c r="L102" s="91" t="s">
        <v>29</v>
      </c>
      <c r="M102" s="91" t="s">
        <v>29</v>
      </c>
      <c r="N102" s="91" t="s">
        <v>29</v>
      </c>
      <c r="O102" s="91" t="s">
        <v>29</v>
      </c>
      <c r="P102" s="91" t="s">
        <v>29</v>
      </c>
      <c r="Q102" s="91" t="s">
        <v>29</v>
      </c>
      <c r="R102" s="91" t="s">
        <v>29</v>
      </c>
      <c r="S102" s="91" t="s">
        <v>29</v>
      </c>
      <c r="T102" s="91" t="s">
        <v>29</v>
      </c>
      <c r="U102" s="91" t="s">
        <v>29</v>
      </c>
      <c r="V102" s="91" t="s">
        <v>29</v>
      </c>
      <c r="W102" s="91" t="s">
        <v>29</v>
      </c>
      <c r="X102" s="91" t="s">
        <v>29</v>
      </c>
      <c r="Y102" s="9">
        <v>83</v>
      </c>
      <c r="Z102" s="9"/>
    </row>
    <row r="103" spans="2:27" ht="12.95" hidden="1" customHeight="1" x14ac:dyDescent="0.25">
      <c r="B103" s="257"/>
      <c r="C103" s="263" t="str">
        <f>VLOOKUP(87,Textbausteine_401[],Hilfsgrössen!$D$2,FALSE)</f>
        <v>Mon engagement</v>
      </c>
      <c r="D103" s="1" t="str">
        <f>VLOOKUP(14,Textbausteine_401[],Hilfsgrössen!$D$2,FALSE)</f>
        <v>Indice</v>
      </c>
      <c r="E103" s="258">
        <v>1</v>
      </c>
      <c r="F103" s="9">
        <v>401</v>
      </c>
      <c r="H103" s="91"/>
      <c r="I103" s="91"/>
      <c r="J103" s="91"/>
      <c r="K103" s="91"/>
      <c r="L103" s="91"/>
      <c r="M103" s="91"/>
      <c r="N103" s="91"/>
      <c r="O103" s="91"/>
      <c r="P103" s="91"/>
      <c r="Q103" s="91"/>
      <c r="R103" s="91"/>
      <c r="S103" s="91"/>
      <c r="T103" s="91"/>
      <c r="U103" s="91"/>
      <c r="V103" s="91"/>
      <c r="W103" s="91"/>
      <c r="X103" s="91"/>
      <c r="Y103" s="9"/>
      <c r="Z103" s="9"/>
    </row>
    <row r="104" spans="2:27" ht="12.95" hidden="1" customHeight="1" x14ac:dyDescent="0.25">
      <c r="B104" s="257"/>
      <c r="C104" s="263" t="str">
        <f>VLOOKUP(88,Textbausteine_401[],Hilfsgrössen!$D$2,FALSE)</f>
        <v>L’avenir de mon emploi</v>
      </c>
      <c r="D104" s="1" t="str">
        <f>VLOOKUP(14,Textbausteine_401[],Hilfsgrössen!$D$2,FALSE)</f>
        <v>Indice</v>
      </c>
      <c r="E104" s="258">
        <v>1</v>
      </c>
      <c r="F104" s="9">
        <v>401</v>
      </c>
      <c r="H104" s="91" t="s">
        <v>29</v>
      </c>
      <c r="I104" s="91" t="s">
        <v>29</v>
      </c>
      <c r="J104" s="91" t="s">
        <v>29</v>
      </c>
      <c r="K104" s="91" t="s">
        <v>29</v>
      </c>
      <c r="L104" s="91" t="s">
        <v>29</v>
      </c>
      <c r="M104" s="91" t="s">
        <v>29</v>
      </c>
      <c r="N104" s="91" t="s">
        <v>29</v>
      </c>
      <c r="O104" s="91" t="s">
        <v>29</v>
      </c>
      <c r="P104" s="91" t="s">
        <v>29</v>
      </c>
      <c r="Q104" s="91" t="s">
        <v>29</v>
      </c>
      <c r="R104" s="91" t="s">
        <v>29</v>
      </c>
      <c r="S104" s="91" t="s">
        <v>29</v>
      </c>
      <c r="T104" s="91" t="s">
        <v>29</v>
      </c>
      <c r="U104" s="91" t="s">
        <v>29</v>
      </c>
      <c r="V104" s="91" t="s">
        <v>29</v>
      </c>
      <c r="W104" s="91" t="s">
        <v>29</v>
      </c>
      <c r="X104" s="91" t="s">
        <v>29</v>
      </c>
      <c r="Y104" s="9">
        <v>80</v>
      </c>
      <c r="Z104" s="9"/>
    </row>
    <row r="105" spans="2:27" ht="12.95" hidden="1" customHeight="1" x14ac:dyDescent="0.25">
      <c r="B105" s="257"/>
      <c r="C105" s="263" t="str">
        <f>VLOOKUP(89,Textbausteine_401[],Hilfsgrössen!$D$2,FALSE)</f>
        <v>Notre sondage du personnel</v>
      </c>
      <c r="D105" s="1" t="str">
        <f>VLOOKUP(14,Textbausteine_401[],Hilfsgrössen!$D$2,FALSE)</f>
        <v>Indice</v>
      </c>
      <c r="E105" s="258">
        <v>1</v>
      </c>
      <c r="F105" s="9">
        <v>401</v>
      </c>
      <c r="H105" s="91"/>
      <c r="I105" s="91"/>
      <c r="J105" s="91"/>
      <c r="K105" s="91"/>
      <c r="L105" s="91"/>
      <c r="M105" s="91"/>
      <c r="N105" s="91"/>
      <c r="O105" s="91"/>
      <c r="P105" s="91"/>
      <c r="Q105" s="91"/>
      <c r="R105" s="91"/>
      <c r="S105" s="91"/>
      <c r="T105" s="91"/>
      <c r="U105" s="91"/>
      <c r="V105" s="91"/>
      <c r="W105" s="91"/>
      <c r="X105" s="91"/>
      <c r="Y105" s="9"/>
      <c r="Z105" s="9"/>
    </row>
    <row r="106" spans="2:27" ht="12.95" hidden="1" customHeight="1" x14ac:dyDescent="0.2">
      <c r="B106" s="256"/>
      <c r="C106" s="263"/>
      <c r="E106" s="269"/>
      <c r="G106" s="35"/>
      <c r="H106" s="91"/>
      <c r="I106" s="91"/>
      <c r="J106" s="91"/>
      <c r="K106" s="91"/>
      <c r="L106" s="91"/>
      <c r="M106" s="91"/>
      <c r="T106" s="9"/>
      <c r="U106" s="9"/>
      <c r="V106" s="9"/>
      <c r="W106" s="9"/>
      <c r="X106" s="9"/>
      <c r="Y106" s="9"/>
      <c r="Z106" s="9"/>
    </row>
    <row r="107" spans="2:27" ht="12.95" customHeight="1" x14ac:dyDescent="0.2">
      <c r="B107" s="256"/>
      <c r="C107" s="262" t="str">
        <f>VLOOKUP(47,Textbausteine_Menu[],Hilfsgrössen!$D$2,FALSE)</f>
        <v>RéseauPostal</v>
      </c>
      <c r="D107" s="122"/>
      <c r="E107" s="269"/>
      <c r="H107" s="91"/>
      <c r="I107" s="91"/>
      <c r="J107" s="91"/>
      <c r="K107" s="91"/>
      <c r="L107" s="91"/>
      <c r="M107" s="91"/>
      <c r="T107" s="9"/>
      <c r="U107" s="9"/>
      <c r="V107" s="9"/>
      <c r="W107" s="9"/>
      <c r="X107" s="9"/>
      <c r="Y107" s="9"/>
      <c r="Z107" s="9"/>
    </row>
    <row r="108" spans="2:27" ht="12.95" customHeight="1" x14ac:dyDescent="0.2">
      <c r="B108" s="256"/>
      <c r="C108" s="263" t="str">
        <f>VLOOKUP(82,Textbausteine_401[],Hilfsgrössen!$D$2,FALSE)</f>
        <v>Mon travail</v>
      </c>
      <c r="D108" s="1" t="str">
        <f>VLOOKUP(14,Textbausteine_401[],Hilfsgrössen!$D$2,FALSE)</f>
        <v>Indice</v>
      </c>
      <c r="E108" s="269">
        <v>1</v>
      </c>
      <c r="F108" s="9">
        <v>401</v>
      </c>
      <c r="H108" s="91" t="s">
        <v>29</v>
      </c>
      <c r="I108" s="91" t="s">
        <v>29</v>
      </c>
      <c r="J108" s="91" t="s">
        <v>29</v>
      </c>
      <c r="K108" s="91" t="s">
        <v>29</v>
      </c>
      <c r="L108" s="91" t="s">
        <v>29</v>
      </c>
      <c r="M108" s="91" t="s">
        <v>29</v>
      </c>
      <c r="N108" s="91" t="s">
        <v>29</v>
      </c>
      <c r="O108" s="91" t="s">
        <v>29</v>
      </c>
      <c r="P108" s="91" t="s">
        <v>29</v>
      </c>
      <c r="Q108" s="91" t="s">
        <v>29</v>
      </c>
      <c r="R108" s="91" t="s">
        <v>29</v>
      </c>
      <c r="S108" s="91" t="s">
        <v>29</v>
      </c>
      <c r="T108" s="91" t="s">
        <v>29</v>
      </c>
      <c r="U108" s="91" t="s">
        <v>29</v>
      </c>
      <c r="V108" s="91" t="s">
        <v>29</v>
      </c>
      <c r="W108" s="91" t="s">
        <v>29</v>
      </c>
      <c r="X108" s="91" t="s">
        <v>29</v>
      </c>
      <c r="Y108" s="316">
        <v>73</v>
      </c>
      <c r="Z108" s="316">
        <v>74</v>
      </c>
      <c r="AA108" s="341"/>
    </row>
    <row r="109" spans="2:27" ht="12.95" customHeight="1" x14ac:dyDescent="0.2">
      <c r="B109" s="256"/>
      <c r="C109" s="264" t="str">
        <f>VLOOKUP(83,Textbausteine_401[],Hilfsgrössen!$D$2,FALSE)</f>
        <v>Mon équipe</v>
      </c>
      <c r="D109" s="122" t="str">
        <f>VLOOKUP(14,Textbausteine_401[],Hilfsgrössen!$D$2,FALSE)</f>
        <v>Indice</v>
      </c>
      <c r="E109" s="258">
        <v>1</v>
      </c>
      <c r="F109" s="9">
        <v>401</v>
      </c>
      <c r="H109" s="91" t="s">
        <v>29</v>
      </c>
      <c r="I109" s="91" t="s">
        <v>29</v>
      </c>
      <c r="J109" s="91" t="s">
        <v>29</v>
      </c>
      <c r="K109" s="91" t="s">
        <v>29</v>
      </c>
      <c r="L109" s="91" t="s">
        <v>29</v>
      </c>
      <c r="M109" s="91" t="s">
        <v>29</v>
      </c>
      <c r="N109" s="91" t="s">
        <v>29</v>
      </c>
      <c r="O109" s="91" t="s">
        <v>29</v>
      </c>
      <c r="P109" s="91" t="s">
        <v>29</v>
      </c>
      <c r="Q109" s="91" t="s">
        <v>29</v>
      </c>
      <c r="R109" s="91" t="s">
        <v>29</v>
      </c>
      <c r="S109" s="91" t="s">
        <v>29</v>
      </c>
      <c r="T109" s="91" t="s">
        <v>29</v>
      </c>
      <c r="U109" s="91" t="s">
        <v>29</v>
      </c>
      <c r="V109" s="91" t="s">
        <v>29</v>
      </c>
      <c r="W109" s="91" t="s">
        <v>29</v>
      </c>
      <c r="X109" s="91" t="s">
        <v>29</v>
      </c>
      <c r="Y109" s="316">
        <v>80</v>
      </c>
      <c r="Z109" s="316">
        <v>81</v>
      </c>
    </row>
    <row r="110" spans="2:27" ht="12.95" customHeight="1" x14ac:dyDescent="0.2">
      <c r="B110" s="256"/>
      <c r="C110" s="263" t="str">
        <f>VLOOKUP(84,Textbausteine_401[],Hilfsgrössen!$D$2,FALSE)</f>
        <v>Mes supérieurs directs</v>
      </c>
      <c r="D110" s="1" t="str">
        <f>VLOOKUP(14,Textbausteine_401[],Hilfsgrössen!$D$2,FALSE)</f>
        <v>Indice</v>
      </c>
      <c r="E110" s="258">
        <v>1</v>
      </c>
      <c r="F110" s="9">
        <v>401</v>
      </c>
      <c r="H110" s="91" t="s">
        <v>29</v>
      </c>
      <c r="I110" s="91" t="s">
        <v>29</v>
      </c>
      <c r="J110" s="91" t="s">
        <v>29</v>
      </c>
      <c r="K110" s="91" t="s">
        <v>29</v>
      </c>
      <c r="L110" s="91" t="s">
        <v>29</v>
      </c>
      <c r="M110" s="91" t="s">
        <v>29</v>
      </c>
      <c r="N110" s="91" t="s">
        <v>29</v>
      </c>
      <c r="O110" s="91" t="s">
        <v>29</v>
      </c>
      <c r="P110" s="91" t="s">
        <v>29</v>
      </c>
      <c r="Q110" s="91" t="s">
        <v>29</v>
      </c>
      <c r="R110" s="91" t="s">
        <v>29</v>
      </c>
      <c r="S110" s="91" t="s">
        <v>29</v>
      </c>
      <c r="T110" s="91" t="s">
        <v>29</v>
      </c>
      <c r="U110" s="91" t="s">
        <v>29</v>
      </c>
      <c r="V110" s="91" t="s">
        <v>29</v>
      </c>
      <c r="W110" s="91" t="s">
        <v>29</v>
      </c>
      <c r="X110" s="91" t="s">
        <v>29</v>
      </c>
      <c r="Y110" s="316">
        <v>82</v>
      </c>
      <c r="Z110" s="316">
        <v>83</v>
      </c>
    </row>
    <row r="111" spans="2:27" ht="12.95" customHeight="1" x14ac:dyDescent="0.25">
      <c r="B111" s="257"/>
      <c r="C111" s="263" t="str">
        <f>VLOOKUP(85,Textbausteine_401[],Hilfsgrössen!$D$2,FALSE)</f>
        <v>Notre culture d’entreprise</v>
      </c>
      <c r="D111" s="1" t="str">
        <f>VLOOKUP(14,Textbausteine_401[],Hilfsgrössen!$D$2,FALSE)</f>
        <v>Indice</v>
      </c>
      <c r="E111" s="258">
        <v>1</v>
      </c>
      <c r="F111" s="9">
        <v>401</v>
      </c>
      <c r="H111" s="91" t="s">
        <v>29</v>
      </c>
      <c r="I111" s="91" t="s">
        <v>29</v>
      </c>
      <c r="J111" s="91" t="s">
        <v>29</v>
      </c>
      <c r="K111" s="91" t="s">
        <v>29</v>
      </c>
      <c r="L111" s="91" t="s">
        <v>29</v>
      </c>
      <c r="M111" s="91" t="s">
        <v>29</v>
      </c>
      <c r="N111" s="91" t="s">
        <v>29</v>
      </c>
      <c r="O111" s="91" t="s">
        <v>29</v>
      </c>
      <c r="P111" s="91" t="s">
        <v>29</v>
      </c>
      <c r="Q111" s="91" t="s">
        <v>29</v>
      </c>
      <c r="R111" s="91" t="s">
        <v>29</v>
      </c>
      <c r="S111" s="91" t="s">
        <v>29</v>
      </c>
      <c r="T111" s="91" t="s">
        <v>29</v>
      </c>
      <c r="U111" s="91" t="s">
        <v>29</v>
      </c>
      <c r="V111" s="91" t="s">
        <v>29</v>
      </c>
      <c r="W111" s="91" t="s">
        <v>29</v>
      </c>
      <c r="X111" s="91" t="s">
        <v>29</v>
      </c>
      <c r="Y111" s="316">
        <v>75</v>
      </c>
      <c r="Z111" s="316">
        <v>76</v>
      </c>
    </row>
    <row r="112" spans="2:27" ht="12.95" customHeight="1" x14ac:dyDescent="0.25">
      <c r="B112" s="257"/>
      <c r="C112" s="263" t="str">
        <f>VLOOKUP(86,Textbausteine_401[],Hilfsgrössen!$D$2,FALSE)</f>
        <v>Notre Poste</v>
      </c>
      <c r="D112" s="1" t="str">
        <f>VLOOKUP(14,Textbausteine_401[],Hilfsgrössen!$D$2,FALSE)</f>
        <v>Indice</v>
      </c>
      <c r="E112" s="258">
        <v>1</v>
      </c>
      <c r="F112" s="9">
        <v>401</v>
      </c>
      <c r="H112" s="91" t="s">
        <v>29</v>
      </c>
      <c r="I112" s="91" t="s">
        <v>29</v>
      </c>
      <c r="J112" s="91" t="s">
        <v>29</v>
      </c>
      <c r="K112" s="91" t="s">
        <v>29</v>
      </c>
      <c r="L112" s="91" t="s">
        <v>29</v>
      </c>
      <c r="M112" s="91" t="s">
        <v>29</v>
      </c>
      <c r="N112" s="91" t="s">
        <v>29</v>
      </c>
      <c r="O112" s="91" t="s">
        <v>29</v>
      </c>
      <c r="P112" s="91" t="s">
        <v>29</v>
      </c>
      <c r="Q112" s="91" t="s">
        <v>29</v>
      </c>
      <c r="R112" s="91" t="s">
        <v>29</v>
      </c>
      <c r="S112" s="91" t="s">
        <v>29</v>
      </c>
      <c r="T112" s="91" t="s">
        <v>29</v>
      </c>
      <c r="U112" s="91" t="s">
        <v>29</v>
      </c>
      <c r="V112" s="91" t="s">
        <v>29</v>
      </c>
      <c r="W112" s="91" t="s">
        <v>29</v>
      </c>
      <c r="X112" s="91" t="s">
        <v>29</v>
      </c>
      <c r="Y112" s="316">
        <v>73</v>
      </c>
      <c r="Z112" s="316">
        <v>74</v>
      </c>
    </row>
    <row r="113" spans="2:26" ht="12.95" customHeight="1" x14ac:dyDescent="0.25">
      <c r="B113" s="257"/>
      <c r="C113" s="263" t="str">
        <f>VLOOKUP(87,Textbausteine_401[],Hilfsgrössen!$D$2,FALSE)</f>
        <v>Mon engagement</v>
      </c>
      <c r="D113" s="1" t="str">
        <f>VLOOKUP(14,Textbausteine_401[],Hilfsgrössen!$D$2,FALSE)</f>
        <v>Indice</v>
      </c>
      <c r="E113" s="258" t="s">
        <v>70</v>
      </c>
      <c r="F113" s="9">
        <v>401</v>
      </c>
      <c r="H113" s="91"/>
      <c r="I113" s="91"/>
      <c r="J113" s="91"/>
      <c r="K113" s="91"/>
      <c r="L113" s="91"/>
      <c r="M113" s="91"/>
      <c r="N113" s="91"/>
      <c r="O113" s="91"/>
      <c r="P113" s="91"/>
      <c r="Q113" s="91"/>
      <c r="R113" s="91"/>
      <c r="S113" s="91"/>
      <c r="T113" s="91"/>
      <c r="U113" s="91"/>
      <c r="V113" s="91"/>
      <c r="W113" s="91"/>
      <c r="X113" s="91"/>
      <c r="Y113" s="316" t="s">
        <v>91</v>
      </c>
      <c r="Z113" s="316">
        <v>75</v>
      </c>
    </row>
    <row r="114" spans="2:26" ht="12.95" customHeight="1" x14ac:dyDescent="0.25">
      <c r="B114" s="257"/>
      <c r="C114" s="263" t="str">
        <f>VLOOKUP(88,Textbausteine_401[],Hilfsgrössen!$D$2,FALSE)</f>
        <v>L’avenir de mon emploi</v>
      </c>
      <c r="D114" s="1" t="str">
        <f>VLOOKUP(14,Textbausteine_401[],Hilfsgrössen!$D$2,FALSE)</f>
        <v>Indice</v>
      </c>
      <c r="E114" s="258" t="s">
        <v>78</v>
      </c>
      <c r="F114" s="9">
        <v>401</v>
      </c>
      <c r="H114" s="91" t="s">
        <v>29</v>
      </c>
      <c r="I114" s="91" t="s">
        <v>29</v>
      </c>
      <c r="J114" s="91" t="s">
        <v>29</v>
      </c>
      <c r="K114" s="91" t="s">
        <v>29</v>
      </c>
      <c r="L114" s="91" t="s">
        <v>29</v>
      </c>
      <c r="M114" s="91" t="s">
        <v>29</v>
      </c>
      <c r="N114" s="91" t="s">
        <v>29</v>
      </c>
      <c r="O114" s="91" t="s">
        <v>29</v>
      </c>
      <c r="P114" s="91" t="s">
        <v>29</v>
      </c>
      <c r="Q114" s="91" t="s">
        <v>29</v>
      </c>
      <c r="R114" s="91" t="s">
        <v>29</v>
      </c>
      <c r="S114" s="91" t="s">
        <v>29</v>
      </c>
      <c r="T114" s="91" t="s">
        <v>29</v>
      </c>
      <c r="U114" s="91" t="s">
        <v>29</v>
      </c>
      <c r="V114" s="91" t="s">
        <v>29</v>
      </c>
      <c r="W114" s="91" t="s">
        <v>29</v>
      </c>
      <c r="X114" s="91" t="s">
        <v>29</v>
      </c>
      <c r="Y114" s="316" t="s">
        <v>91</v>
      </c>
      <c r="Z114" s="316">
        <v>65</v>
      </c>
    </row>
    <row r="115" spans="2:26" ht="12.95" customHeight="1" x14ac:dyDescent="0.25">
      <c r="B115" s="257"/>
      <c r="C115" s="263" t="str">
        <f>VLOOKUP(89,Textbausteine_401[],Hilfsgrössen!$D$2,FALSE)</f>
        <v>Notre sondage du personnel</v>
      </c>
      <c r="D115" s="1" t="str">
        <f>VLOOKUP(14,Textbausteine_401[],Hilfsgrössen!$D$2,FALSE)</f>
        <v>Indice</v>
      </c>
      <c r="E115" s="258" t="s">
        <v>72</v>
      </c>
      <c r="F115" s="9">
        <v>401</v>
      </c>
      <c r="H115" s="91"/>
      <c r="I115" s="91"/>
      <c r="J115" s="91"/>
      <c r="K115" s="91"/>
      <c r="L115" s="91"/>
      <c r="M115" s="91"/>
      <c r="N115" s="91"/>
      <c r="O115" s="91"/>
      <c r="P115" s="91"/>
      <c r="Q115" s="91"/>
      <c r="R115" s="91"/>
      <c r="S115" s="91"/>
      <c r="T115" s="91"/>
      <c r="U115" s="91"/>
      <c r="V115" s="91"/>
      <c r="W115" s="91"/>
      <c r="X115" s="91"/>
      <c r="Y115" s="316">
        <v>82</v>
      </c>
      <c r="Z115" s="316">
        <v>84</v>
      </c>
    </row>
    <row r="116" spans="2:26" ht="12.95" customHeight="1" x14ac:dyDescent="0.2">
      <c r="B116" s="256"/>
      <c r="C116" s="263"/>
      <c r="E116" s="240"/>
      <c r="G116" s="35"/>
      <c r="H116" s="91"/>
      <c r="I116" s="91"/>
      <c r="J116" s="91"/>
      <c r="K116" s="91"/>
      <c r="L116" s="91"/>
      <c r="M116" s="91"/>
      <c r="T116" s="9"/>
      <c r="U116" s="9"/>
      <c r="V116" s="9"/>
      <c r="W116" s="9"/>
      <c r="X116" s="9"/>
      <c r="Y116" s="9"/>
      <c r="Z116" s="9"/>
    </row>
    <row r="117" spans="2:26" ht="12.95" customHeight="1" x14ac:dyDescent="0.2">
      <c r="B117" s="256"/>
      <c r="C117" s="262" t="str">
        <f>VLOOKUP(49,Textbausteine_Menu[],Hilfsgrössen!$D$2,FALSE)</f>
        <v>PostFinance</v>
      </c>
      <c r="D117" s="122"/>
      <c r="E117" s="269"/>
      <c r="H117" s="91"/>
      <c r="I117" s="91"/>
      <c r="J117" s="91"/>
      <c r="K117" s="91"/>
      <c r="L117" s="91"/>
      <c r="M117" s="91"/>
      <c r="T117" s="9"/>
      <c r="U117" s="9"/>
      <c r="V117" s="9"/>
      <c r="W117" s="9"/>
      <c r="X117" s="9"/>
      <c r="Y117" s="9"/>
      <c r="Z117" s="9"/>
    </row>
    <row r="118" spans="2:26" ht="12.95" customHeight="1" x14ac:dyDescent="0.2">
      <c r="B118" s="256"/>
      <c r="C118" s="263" t="str">
        <f>VLOOKUP(82,Textbausteine_401[],Hilfsgrössen!$D$2,FALSE)</f>
        <v>Mon travail</v>
      </c>
      <c r="D118" s="1" t="str">
        <f>VLOOKUP(14,Textbausteine_401[],Hilfsgrössen!$D$2,FALSE)</f>
        <v>Indice</v>
      </c>
      <c r="E118" s="269">
        <v>1</v>
      </c>
      <c r="F118" s="9">
        <v>401</v>
      </c>
      <c r="H118" s="91" t="s">
        <v>29</v>
      </c>
      <c r="I118" s="91" t="s">
        <v>29</v>
      </c>
      <c r="J118" s="91" t="s">
        <v>29</v>
      </c>
      <c r="K118" s="91" t="s">
        <v>29</v>
      </c>
      <c r="L118" s="91" t="s">
        <v>29</v>
      </c>
      <c r="M118" s="91" t="s">
        <v>29</v>
      </c>
      <c r="N118" s="91" t="s">
        <v>29</v>
      </c>
      <c r="O118" s="91" t="s">
        <v>29</v>
      </c>
      <c r="P118" s="91" t="s">
        <v>29</v>
      </c>
      <c r="Q118" s="91" t="s">
        <v>29</v>
      </c>
      <c r="R118" s="91" t="s">
        <v>29</v>
      </c>
      <c r="S118" s="91" t="s">
        <v>29</v>
      </c>
      <c r="T118" s="91" t="s">
        <v>29</v>
      </c>
      <c r="U118" s="91" t="s">
        <v>29</v>
      </c>
      <c r="V118" s="91" t="s">
        <v>29</v>
      </c>
      <c r="W118" s="91" t="s">
        <v>29</v>
      </c>
      <c r="X118" s="91" t="s">
        <v>29</v>
      </c>
      <c r="Y118" s="316">
        <v>77</v>
      </c>
      <c r="Z118" s="316">
        <v>79</v>
      </c>
    </row>
    <row r="119" spans="2:26" ht="12.95" customHeight="1" x14ac:dyDescent="0.2">
      <c r="B119" s="256"/>
      <c r="C119" s="264" t="str">
        <f>VLOOKUP(83,Textbausteine_401[],Hilfsgrössen!$D$2,FALSE)</f>
        <v>Mon équipe</v>
      </c>
      <c r="D119" s="122" t="str">
        <f>VLOOKUP(14,Textbausteine_401[],Hilfsgrössen!$D$2,FALSE)</f>
        <v>Indice</v>
      </c>
      <c r="E119" s="258">
        <v>1</v>
      </c>
      <c r="F119" s="9">
        <v>401</v>
      </c>
      <c r="H119" s="91" t="s">
        <v>29</v>
      </c>
      <c r="I119" s="91" t="s">
        <v>29</v>
      </c>
      <c r="J119" s="91" t="s">
        <v>29</v>
      </c>
      <c r="K119" s="91" t="s">
        <v>29</v>
      </c>
      <c r="L119" s="91" t="s">
        <v>29</v>
      </c>
      <c r="M119" s="91" t="s">
        <v>29</v>
      </c>
      <c r="N119" s="91" t="s">
        <v>29</v>
      </c>
      <c r="O119" s="91" t="s">
        <v>29</v>
      </c>
      <c r="P119" s="91" t="s">
        <v>29</v>
      </c>
      <c r="Q119" s="91" t="s">
        <v>29</v>
      </c>
      <c r="R119" s="91" t="s">
        <v>29</v>
      </c>
      <c r="S119" s="91" t="s">
        <v>29</v>
      </c>
      <c r="T119" s="91" t="s">
        <v>29</v>
      </c>
      <c r="U119" s="91" t="s">
        <v>29</v>
      </c>
      <c r="V119" s="91" t="s">
        <v>29</v>
      </c>
      <c r="W119" s="91" t="s">
        <v>29</v>
      </c>
      <c r="X119" s="91" t="s">
        <v>29</v>
      </c>
      <c r="Y119" s="316">
        <v>82</v>
      </c>
      <c r="Z119" s="316">
        <v>84</v>
      </c>
    </row>
    <row r="120" spans="2:26" ht="12.95" customHeight="1" x14ac:dyDescent="0.2">
      <c r="B120" s="256"/>
      <c r="C120" s="263" t="str">
        <f>VLOOKUP(84,Textbausteine_401[],Hilfsgrössen!$D$2,FALSE)</f>
        <v>Mes supérieurs directs</v>
      </c>
      <c r="D120" s="1" t="str">
        <f>VLOOKUP(14,Textbausteine_401[],Hilfsgrössen!$D$2,FALSE)</f>
        <v>Indice</v>
      </c>
      <c r="E120" s="258">
        <v>1</v>
      </c>
      <c r="F120" s="9">
        <v>401</v>
      </c>
      <c r="H120" s="91" t="s">
        <v>29</v>
      </c>
      <c r="I120" s="91" t="s">
        <v>29</v>
      </c>
      <c r="J120" s="91" t="s">
        <v>29</v>
      </c>
      <c r="K120" s="91" t="s">
        <v>29</v>
      </c>
      <c r="L120" s="91" t="s">
        <v>29</v>
      </c>
      <c r="M120" s="91" t="s">
        <v>29</v>
      </c>
      <c r="N120" s="91" t="s">
        <v>29</v>
      </c>
      <c r="O120" s="91" t="s">
        <v>29</v>
      </c>
      <c r="P120" s="91" t="s">
        <v>29</v>
      </c>
      <c r="Q120" s="91" t="s">
        <v>29</v>
      </c>
      <c r="R120" s="91" t="s">
        <v>29</v>
      </c>
      <c r="S120" s="91" t="s">
        <v>29</v>
      </c>
      <c r="T120" s="91" t="s">
        <v>29</v>
      </c>
      <c r="U120" s="91" t="s">
        <v>29</v>
      </c>
      <c r="V120" s="91" t="s">
        <v>29</v>
      </c>
      <c r="W120" s="91" t="s">
        <v>29</v>
      </c>
      <c r="X120" s="91" t="s">
        <v>29</v>
      </c>
      <c r="Y120" s="316">
        <v>87</v>
      </c>
      <c r="Z120" s="316">
        <v>88</v>
      </c>
    </row>
    <row r="121" spans="2:26" ht="12.95" customHeight="1" x14ac:dyDescent="0.25">
      <c r="B121" s="257"/>
      <c r="C121" s="263" t="str">
        <f>VLOOKUP(85,Textbausteine_401[],Hilfsgrössen!$D$2,FALSE)</f>
        <v>Notre culture d’entreprise</v>
      </c>
      <c r="D121" s="1" t="str">
        <f>VLOOKUP(14,Textbausteine_401[],Hilfsgrössen!$D$2,FALSE)</f>
        <v>Indice</v>
      </c>
      <c r="E121" s="258">
        <v>1</v>
      </c>
      <c r="F121" s="9">
        <v>401</v>
      </c>
      <c r="H121" s="91" t="s">
        <v>29</v>
      </c>
      <c r="I121" s="91" t="s">
        <v>29</v>
      </c>
      <c r="J121" s="91" t="s">
        <v>29</v>
      </c>
      <c r="K121" s="91" t="s">
        <v>29</v>
      </c>
      <c r="L121" s="91" t="s">
        <v>29</v>
      </c>
      <c r="M121" s="91" t="s">
        <v>29</v>
      </c>
      <c r="N121" s="91" t="s">
        <v>29</v>
      </c>
      <c r="O121" s="91" t="s">
        <v>29</v>
      </c>
      <c r="P121" s="91" t="s">
        <v>29</v>
      </c>
      <c r="Q121" s="91" t="s">
        <v>29</v>
      </c>
      <c r="R121" s="91" t="s">
        <v>29</v>
      </c>
      <c r="S121" s="91" t="s">
        <v>29</v>
      </c>
      <c r="T121" s="91" t="s">
        <v>29</v>
      </c>
      <c r="U121" s="91" t="s">
        <v>29</v>
      </c>
      <c r="V121" s="91" t="s">
        <v>29</v>
      </c>
      <c r="W121" s="91" t="s">
        <v>29</v>
      </c>
      <c r="X121" s="91" t="s">
        <v>29</v>
      </c>
      <c r="Y121" s="316">
        <v>73</v>
      </c>
      <c r="Z121" s="316">
        <v>75</v>
      </c>
    </row>
    <row r="122" spans="2:26" ht="12.95" customHeight="1" x14ac:dyDescent="0.25">
      <c r="B122" s="257"/>
      <c r="C122" s="263" t="str">
        <f>VLOOKUP(86,Textbausteine_401[],Hilfsgrössen!$D$2,FALSE)</f>
        <v>Notre Poste</v>
      </c>
      <c r="D122" s="1" t="str">
        <f>VLOOKUP(14,Textbausteine_401[],Hilfsgrössen!$D$2,FALSE)</f>
        <v>Indice</v>
      </c>
      <c r="E122" s="258">
        <v>1</v>
      </c>
      <c r="F122" s="9">
        <v>401</v>
      </c>
      <c r="H122" s="91" t="s">
        <v>29</v>
      </c>
      <c r="I122" s="91" t="s">
        <v>29</v>
      </c>
      <c r="J122" s="91" t="s">
        <v>29</v>
      </c>
      <c r="K122" s="91" t="s">
        <v>29</v>
      </c>
      <c r="L122" s="91" t="s">
        <v>29</v>
      </c>
      <c r="M122" s="91" t="s">
        <v>29</v>
      </c>
      <c r="N122" s="91" t="s">
        <v>29</v>
      </c>
      <c r="O122" s="91" t="s">
        <v>29</v>
      </c>
      <c r="P122" s="91" t="s">
        <v>29</v>
      </c>
      <c r="Q122" s="91" t="s">
        <v>29</v>
      </c>
      <c r="R122" s="91" t="s">
        <v>29</v>
      </c>
      <c r="S122" s="91" t="s">
        <v>29</v>
      </c>
      <c r="T122" s="91" t="s">
        <v>29</v>
      </c>
      <c r="U122" s="91" t="s">
        <v>29</v>
      </c>
      <c r="V122" s="91" t="s">
        <v>29</v>
      </c>
      <c r="W122" s="91" t="s">
        <v>29</v>
      </c>
      <c r="X122" s="91" t="s">
        <v>29</v>
      </c>
      <c r="Y122" s="316">
        <v>75</v>
      </c>
      <c r="Z122" s="316">
        <v>78</v>
      </c>
    </row>
    <row r="123" spans="2:26" ht="12.95" customHeight="1" x14ac:dyDescent="0.25">
      <c r="B123" s="257"/>
      <c r="C123" s="263" t="str">
        <f>VLOOKUP(87,Textbausteine_401[],Hilfsgrössen!$D$2,FALSE)</f>
        <v>Mon engagement</v>
      </c>
      <c r="D123" s="1" t="str">
        <f>VLOOKUP(14,Textbausteine_401[],Hilfsgrössen!$D$2,FALSE)</f>
        <v>Indice</v>
      </c>
      <c r="E123" s="258" t="s">
        <v>70</v>
      </c>
      <c r="F123" s="9">
        <v>401</v>
      </c>
      <c r="H123" s="91"/>
      <c r="I123" s="91"/>
      <c r="J123" s="91"/>
      <c r="K123" s="91"/>
      <c r="L123" s="91"/>
      <c r="M123" s="91"/>
      <c r="N123" s="91"/>
      <c r="O123" s="91"/>
      <c r="P123" s="91"/>
      <c r="Q123" s="91"/>
      <c r="R123" s="91"/>
      <c r="S123" s="91"/>
      <c r="T123" s="91"/>
      <c r="U123" s="91"/>
      <c r="V123" s="91"/>
      <c r="W123" s="91"/>
      <c r="X123" s="91"/>
      <c r="Y123" s="316" t="s">
        <v>91</v>
      </c>
      <c r="Z123" s="316">
        <v>82</v>
      </c>
    </row>
    <row r="124" spans="2:26" ht="12.95" customHeight="1" x14ac:dyDescent="0.25">
      <c r="B124" s="257"/>
      <c r="C124" s="263" t="str">
        <f>VLOOKUP(88,Textbausteine_401[],Hilfsgrössen!$D$2,FALSE)</f>
        <v>L’avenir de mon emploi</v>
      </c>
      <c r="D124" s="1" t="str">
        <f>VLOOKUP(14,Textbausteine_401[],Hilfsgrössen!$D$2,FALSE)</f>
        <v>Indice</v>
      </c>
      <c r="E124" s="258" t="s">
        <v>78</v>
      </c>
      <c r="F124" s="9">
        <v>401</v>
      </c>
      <c r="H124" s="91" t="s">
        <v>29</v>
      </c>
      <c r="I124" s="91" t="s">
        <v>29</v>
      </c>
      <c r="J124" s="91" t="s">
        <v>29</v>
      </c>
      <c r="K124" s="91" t="s">
        <v>29</v>
      </c>
      <c r="L124" s="91" t="s">
        <v>29</v>
      </c>
      <c r="M124" s="91" t="s">
        <v>29</v>
      </c>
      <c r="N124" s="91" t="s">
        <v>29</v>
      </c>
      <c r="O124" s="91" t="s">
        <v>29</v>
      </c>
      <c r="P124" s="91" t="s">
        <v>29</v>
      </c>
      <c r="Q124" s="91" t="s">
        <v>29</v>
      </c>
      <c r="R124" s="91" t="s">
        <v>29</v>
      </c>
      <c r="S124" s="91" t="s">
        <v>29</v>
      </c>
      <c r="T124" s="91" t="s">
        <v>29</v>
      </c>
      <c r="U124" s="91" t="s">
        <v>29</v>
      </c>
      <c r="V124" s="91" t="s">
        <v>29</v>
      </c>
      <c r="W124" s="91" t="s">
        <v>29</v>
      </c>
      <c r="X124" s="91" t="s">
        <v>29</v>
      </c>
      <c r="Y124" s="316" t="s">
        <v>91</v>
      </c>
      <c r="Z124" s="316">
        <v>75</v>
      </c>
    </row>
    <row r="125" spans="2:26" ht="12.95" customHeight="1" x14ac:dyDescent="0.25">
      <c r="B125" s="257"/>
      <c r="C125" s="263" t="str">
        <f>VLOOKUP(89,Textbausteine_401[],Hilfsgrössen!$D$2,FALSE)</f>
        <v>Notre sondage du personnel</v>
      </c>
      <c r="D125" s="1" t="str">
        <f>VLOOKUP(14,Textbausteine_401[],Hilfsgrössen!$D$2,FALSE)</f>
        <v>Indice</v>
      </c>
      <c r="E125" s="258" t="s">
        <v>72</v>
      </c>
      <c r="F125" s="9">
        <v>401</v>
      </c>
      <c r="H125" s="91"/>
      <c r="I125" s="91"/>
      <c r="J125" s="91"/>
      <c r="K125" s="91"/>
      <c r="L125" s="91"/>
      <c r="M125" s="91"/>
      <c r="N125" s="91"/>
      <c r="O125" s="91"/>
      <c r="P125" s="91"/>
      <c r="Q125" s="91"/>
      <c r="R125" s="91"/>
      <c r="S125" s="91"/>
      <c r="T125" s="91"/>
      <c r="U125" s="91"/>
      <c r="V125" s="91"/>
      <c r="W125" s="91"/>
      <c r="X125" s="91"/>
      <c r="Y125" s="316">
        <v>81</v>
      </c>
      <c r="Z125" s="316">
        <v>85</v>
      </c>
    </row>
    <row r="126" spans="2:26" ht="12.95" customHeight="1" x14ac:dyDescent="0.2">
      <c r="B126" s="256"/>
      <c r="C126" s="263"/>
      <c r="E126" s="240"/>
      <c r="G126" s="35"/>
      <c r="H126" s="91"/>
      <c r="I126" s="91"/>
      <c r="J126" s="91"/>
      <c r="K126" s="91"/>
      <c r="L126" s="91"/>
      <c r="M126" s="91"/>
      <c r="T126" s="9"/>
      <c r="U126" s="9"/>
      <c r="V126" s="9"/>
      <c r="W126" s="9"/>
      <c r="X126" s="9"/>
      <c r="Y126" s="9"/>
      <c r="Z126" s="9"/>
    </row>
    <row r="127" spans="2:26" ht="12.95" customHeight="1" x14ac:dyDescent="0.2">
      <c r="B127" s="256"/>
      <c r="C127" s="262" t="str">
        <f>VLOOKUP(55,Textbausteine_Menu[],Hilfsgrössen!$D$2,FALSE)</f>
        <v>Services de mobilité</v>
      </c>
      <c r="D127" s="122"/>
      <c r="E127" s="269"/>
      <c r="H127" s="91"/>
      <c r="I127" s="91"/>
      <c r="J127" s="91"/>
      <c r="K127" s="91"/>
      <c r="L127" s="91"/>
      <c r="M127" s="91"/>
      <c r="T127" s="9"/>
      <c r="U127" s="9"/>
      <c r="V127" s="9"/>
      <c r="W127" s="9"/>
      <c r="X127" s="9"/>
      <c r="Y127" s="9"/>
      <c r="Z127" s="9"/>
    </row>
    <row r="128" spans="2:26" ht="12.95" customHeight="1" x14ac:dyDescent="0.2">
      <c r="B128" s="256"/>
      <c r="C128" s="263" t="str">
        <f>VLOOKUP(82,Textbausteine_401[],Hilfsgrössen!$D$2,FALSE)</f>
        <v>Mon travail</v>
      </c>
      <c r="D128" s="1" t="str">
        <f>VLOOKUP(14,Textbausteine_401[],Hilfsgrössen!$D$2,FALSE)</f>
        <v>Indice</v>
      </c>
      <c r="E128" s="269">
        <v>1</v>
      </c>
      <c r="F128" s="9">
        <v>401</v>
      </c>
      <c r="H128" s="91" t="s">
        <v>29</v>
      </c>
      <c r="I128" s="91" t="s">
        <v>29</v>
      </c>
      <c r="J128" s="91" t="s">
        <v>29</v>
      </c>
      <c r="K128" s="91" t="s">
        <v>29</v>
      </c>
      <c r="L128" s="91" t="s">
        <v>29</v>
      </c>
      <c r="M128" s="91" t="s">
        <v>29</v>
      </c>
      <c r="N128" s="91" t="s">
        <v>29</v>
      </c>
      <c r="O128" s="91" t="s">
        <v>29</v>
      </c>
      <c r="P128" s="91" t="s">
        <v>29</v>
      </c>
      <c r="Q128" s="91" t="s">
        <v>29</v>
      </c>
      <c r="R128" s="91" t="s">
        <v>29</v>
      </c>
      <c r="S128" s="91" t="s">
        <v>29</v>
      </c>
      <c r="T128" s="91" t="s">
        <v>29</v>
      </c>
      <c r="U128" s="91" t="s">
        <v>29</v>
      </c>
      <c r="V128" s="91" t="s">
        <v>29</v>
      </c>
      <c r="W128" s="91" t="s">
        <v>29</v>
      </c>
      <c r="X128" s="91" t="s">
        <v>29</v>
      </c>
      <c r="Y128" s="316">
        <v>76</v>
      </c>
      <c r="Z128" s="316">
        <v>72</v>
      </c>
    </row>
    <row r="129" spans="1:89" ht="12.95" customHeight="1" x14ac:dyDescent="0.2">
      <c r="B129" s="256"/>
      <c r="C129" s="264" t="str">
        <f>VLOOKUP(83,Textbausteine_401[],Hilfsgrössen!$D$2,FALSE)</f>
        <v>Mon équipe</v>
      </c>
      <c r="D129" s="122" t="str">
        <f>VLOOKUP(14,Textbausteine_401[],Hilfsgrössen!$D$2,FALSE)</f>
        <v>Indice</v>
      </c>
      <c r="E129" s="258">
        <v>1</v>
      </c>
      <c r="F129" s="9">
        <v>401</v>
      </c>
      <c r="H129" s="91" t="s">
        <v>29</v>
      </c>
      <c r="I129" s="91" t="s">
        <v>29</v>
      </c>
      <c r="J129" s="91" t="s">
        <v>29</v>
      </c>
      <c r="K129" s="91" t="s">
        <v>29</v>
      </c>
      <c r="L129" s="91" t="s">
        <v>29</v>
      </c>
      <c r="M129" s="91" t="s">
        <v>29</v>
      </c>
      <c r="N129" s="91" t="s">
        <v>29</v>
      </c>
      <c r="O129" s="91" t="s">
        <v>29</v>
      </c>
      <c r="P129" s="91" t="s">
        <v>29</v>
      </c>
      <c r="Q129" s="91" t="s">
        <v>29</v>
      </c>
      <c r="R129" s="91" t="s">
        <v>29</v>
      </c>
      <c r="S129" s="91" t="s">
        <v>29</v>
      </c>
      <c r="T129" s="91" t="s">
        <v>29</v>
      </c>
      <c r="U129" s="91" t="s">
        <v>29</v>
      </c>
      <c r="V129" s="91" t="s">
        <v>29</v>
      </c>
      <c r="W129" s="91" t="s">
        <v>29</v>
      </c>
      <c r="X129" s="91" t="s">
        <v>29</v>
      </c>
      <c r="Y129" s="316">
        <v>78</v>
      </c>
      <c r="Z129" s="316">
        <v>75</v>
      </c>
    </row>
    <row r="130" spans="1:89" ht="12.95" customHeight="1" x14ac:dyDescent="0.2">
      <c r="B130" s="256"/>
      <c r="C130" s="263" t="str">
        <f>VLOOKUP(84,Textbausteine_401[],Hilfsgrössen!$D$2,FALSE)</f>
        <v>Mes supérieurs directs</v>
      </c>
      <c r="D130" s="1" t="str">
        <f>VLOOKUP(14,Textbausteine_401[],Hilfsgrössen!$D$2,FALSE)</f>
        <v>Indice</v>
      </c>
      <c r="E130" s="258">
        <v>1</v>
      </c>
      <c r="F130" s="9">
        <v>401</v>
      </c>
      <c r="H130" s="91" t="s">
        <v>29</v>
      </c>
      <c r="I130" s="91" t="s">
        <v>29</v>
      </c>
      <c r="J130" s="91" t="s">
        <v>29</v>
      </c>
      <c r="K130" s="91" t="s">
        <v>29</v>
      </c>
      <c r="L130" s="91" t="s">
        <v>29</v>
      </c>
      <c r="M130" s="91" t="s">
        <v>29</v>
      </c>
      <c r="N130" s="91" t="s">
        <v>29</v>
      </c>
      <c r="O130" s="91" t="s">
        <v>29</v>
      </c>
      <c r="P130" s="91" t="s">
        <v>29</v>
      </c>
      <c r="Q130" s="91" t="s">
        <v>29</v>
      </c>
      <c r="R130" s="91" t="s">
        <v>29</v>
      </c>
      <c r="S130" s="91" t="s">
        <v>29</v>
      </c>
      <c r="T130" s="91" t="s">
        <v>29</v>
      </c>
      <c r="U130" s="91" t="s">
        <v>29</v>
      </c>
      <c r="V130" s="91" t="s">
        <v>29</v>
      </c>
      <c r="W130" s="91" t="s">
        <v>29</v>
      </c>
      <c r="X130" s="91" t="s">
        <v>29</v>
      </c>
      <c r="Y130" s="316">
        <v>79</v>
      </c>
      <c r="Z130" s="316">
        <v>79</v>
      </c>
    </row>
    <row r="131" spans="1:89" ht="12.95" customHeight="1" x14ac:dyDescent="0.25">
      <c r="B131" s="257"/>
      <c r="C131" s="263" t="str">
        <f>VLOOKUP(85,Textbausteine_401[],Hilfsgrössen!$D$2,FALSE)</f>
        <v>Notre culture d’entreprise</v>
      </c>
      <c r="D131" s="1" t="str">
        <f>VLOOKUP(14,Textbausteine_401[],Hilfsgrössen!$D$2,FALSE)</f>
        <v>Indice</v>
      </c>
      <c r="E131" s="258">
        <v>1</v>
      </c>
      <c r="F131" s="9">
        <v>401</v>
      </c>
      <c r="H131" s="91" t="s">
        <v>29</v>
      </c>
      <c r="I131" s="91" t="s">
        <v>29</v>
      </c>
      <c r="J131" s="91" t="s">
        <v>29</v>
      </c>
      <c r="K131" s="91" t="s">
        <v>29</v>
      </c>
      <c r="L131" s="91" t="s">
        <v>29</v>
      </c>
      <c r="M131" s="91" t="s">
        <v>29</v>
      </c>
      <c r="N131" s="91" t="s">
        <v>29</v>
      </c>
      <c r="O131" s="91" t="s">
        <v>29</v>
      </c>
      <c r="P131" s="91" t="s">
        <v>29</v>
      </c>
      <c r="Q131" s="91" t="s">
        <v>29</v>
      </c>
      <c r="R131" s="91" t="s">
        <v>29</v>
      </c>
      <c r="S131" s="91" t="s">
        <v>29</v>
      </c>
      <c r="T131" s="91" t="s">
        <v>29</v>
      </c>
      <c r="U131" s="91" t="s">
        <v>29</v>
      </c>
      <c r="V131" s="91" t="s">
        <v>29</v>
      </c>
      <c r="W131" s="91" t="s">
        <v>29</v>
      </c>
      <c r="X131" s="91" t="s">
        <v>29</v>
      </c>
      <c r="Y131" s="316">
        <v>74</v>
      </c>
      <c r="Z131" s="316">
        <v>72</v>
      </c>
    </row>
    <row r="132" spans="1:89" ht="12.95" customHeight="1" x14ac:dyDescent="0.25">
      <c r="B132" s="257"/>
      <c r="C132" s="263" t="str">
        <f>VLOOKUP(86,Textbausteine_401[],Hilfsgrössen!$D$2,FALSE)</f>
        <v>Notre Poste</v>
      </c>
      <c r="D132" s="1" t="str">
        <f>VLOOKUP(14,Textbausteine_401[],Hilfsgrössen!$D$2,FALSE)</f>
        <v>Indice</v>
      </c>
      <c r="E132" s="258">
        <v>1</v>
      </c>
      <c r="F132" s="9">
        <v>401</v>
      </c>
      <c r="H132" s="91" t="s">
        <v>29</v>
      </c>
      <c r="I132" s="91" t="s">
        <v>29</v>
      </c>
      <c r="J132" s="91" t="s">
        <v>29</v>
      </c>
      <c r="K132" s="91" t="s">
        <v>29</v>
      </c>
      <c r="L132" s="91" t="s">
        <v>29</v>
      </c>
      <c r="M132" s="91" t="s">
        <v>29</v>
      </c>
      <c r="N132" s="91" t="s">
        <v>29</v>
      </c>
      <c r="O132" s="91" t="s">
        <v>29</v>
      </c>
      <c r="P132" s="91" t="s">
        <v>29</v>
      </c>
      <c r="Q132" s="91" t="s">
        <v>29</v>
      </c>
      <c r="R132" s="91" t="s">
        <v>29</v>
      </c>
      <c r="S132" s="91" t="s">
        <v>29</v>
      </c>
      <c r="T132" s="91" t="s">
        <v>29</v>
      </c>
      <c r="U132" s="91" t="s">
        <v>29</v>
      </c>
      <c r="V132" s="91" t="s">
        <v>29</v>
      </c>
      <c r="W132" s="91" t="s">
        <v>29</v>
      </c>
      <c r="X132" s="91" t="s">
        <v>29</v>
      </c>
      <c r="Y132" s="316">
        <v>72</v>
      </c>
      <c r="Z132" s="316">
        <v>70</v>
      </c>
    </row>
    <row r="133" spans="1:89" ht="12.95" customHeight="1" x14ac:dyDescent="0.25">
      <c r="B133" s="257"/>
      <c r="C133" s="263" t="str">
        <f>VLOOKUP(87,Textbausteine_401[],Hilfsgrössen!$D$2,FALSE)</f>
        <v>Mon engagement</v>
      </c>
      <c r="D133" s="1" t="str">
        <f>VLOOKUP(14,Textbausteine_401[],Hilfsgrössen!$D$2,FALSE)</f>
        <v>Indice</v>
      </c>
      <c r="E133" s="258" t="s">
        <v>70</v>
      </c>
      <c r="F133" s="9">
        <v>401</v>
      </c>
      <c r="H133" s="91"/>
      <c r="I133" s="91"/>
      <c r="J133" s="91"/>
      <c r="K133" s="91"/>
      <c r="L133" s="91"/>
      <c r="M133" s="91"/>
      <c r="N133" s="91"/>
      <c r="O133" s="91"/>
      <c r="P133" s="91"/>
      <c r="Q133" s="91"/>
      <c r="R133" s="91"/>
      <c r="S133" s="91"/>
      <c r="T133" s="91"/>
      <c r="U133" s="91"/>
      <c r="V133" s="91"/>
      <c r="W133" s="91"/>
      <c r="X133" s="91"/>
      <c r="Y133" s="316" t="s">
        <v>91</v>
      </c>
      <c r="Z133" s="316">
        <v>81</v>
      </c>
    </row>
    <row r="134" spans="1:89" ht="12.95" customHeight="1" x14ac:dyDescent="0.25">
      <c r="B134" s="257"/>
      <c r="C134" s="263" t="str">
        <f>VLOOKUP(88,Textbausteine_401[],Hilfsgrössen!$D$2,FALSE)</f>
        <v>L’avenir de mon emploi</v>
      </c>
      <c r="D134" s="1" t="str">
        <f>VLOOKUP(14,Textbausteine_401[],Hilfsgrössen!$D$2,FALSE)</f>
        <v>Indice</v>
      </c>
      <c r="E134" s="258" t="s">
        <v>78</v>
      </c>
      <c r="F134" s="9">
        <v>401</v>
      </c>
      <c r="H134" s="91" t="s">
        <v>29</v>
      </c>
      <c r="I134" s="91" t="s">
        <v>29</v>
      </c>
      <c r="J134" s="91" t="s">
        <v>29</v>
      </c>
      <c r="K134" s="91" t="s">
        <v>29</v>
      </c>
      <c r="L134" s="91" t="s">
        <v>29</v>
      </c>
      <c r="M134" s="91" t="s">
        <v>29</v>
      </c>
      <c r="N134" s="91" t="s">
        <v>29</v>
      </c>
      <c r="O134" s="91" t="s">
        <v>29</v>
      </c>
      <c r="P134" s="91" t="s">
        <v>29</v>
      </c>
      <c r="Q134" s="91" t="s">
        <v>29</v>
      </c>
      <c r="R134" s="91" t="s">
        <v>29</v>
      </c>
      <c r="S134" s="91" t="s">
        <v>29</v>
      </c>
      <c r="T134" s="91" t="s">
        <v>29</v>
      </c>
      <c r="U134" s="91" t="s">
        <v>29</v>
      </c>
      <c r="V134" s="91" t="s">
        <v>29</v>
      </c>
      <c r="W134" s="91" t="s">
        <v>29</v>
      </c>
      <c r="X134" s="91" t="s">
        <v>29</v>
      </c>
      <c r="Y134" s="316" t="s">
        <v>91</v>
      </c>
      <c r="Z134" s="316">
        <v>73</v>
      </c>
    </row>
    <row r="135" spans="1:89" ht="12.95" customHeight="1" x14ac:dyDescent="0.25">
      <c r="B135" s="257"/>
      <c r="C135" s="263" t="str">
        <f>VLOOKUP(89,Textbausteine_401[],Hilfsgrössen!$D$2,FALSE)</f>
        <v>Notre sondage du personnel</v>
      </c>
      <c r="D135" s="1" t="str">
        <f>VLOOKUP(14,Textbausteine_401[],Hilfsgrössen!$D$2,FALSE)</f>
        <v>Indice</v>
      </c>
      <c r="E135" s="258" t="s">
        <v>72</v>
      </c>
      <c r="F135" s="9">
        <v>401</v>
      </c>
      <c r="H135" s="91"/>
      <c r="I135" s="91"/>
      <c r="J135" s="91"/>
      <c r="K135" s="91"/>
      <c r="L135" s="91"/>
      <c r="M135" s="91"/>
      <c r="N135" s="91"/>
      <c r="O135" s="91"/>
      <c r="P135" s="91"/>
      <c r="Q135" s="91"/>
      <c r="R135" s="91"/>
      <c r="S135" s="91"/>
      <c r="T135" s="91"/>
      <c r="U135" s="91"/>
      <c r="V135" s="91"/>
      <c r="W135" s="91"/>
      <c r="X135" s="91"/>
      <c r="Y135" s="316">
        <v>73</v>
      </c>
      <c r="Z135" s="316">
        <v>73</v>
      </c>
    </row>
    <row r="136" spans="1:89" ht="12.75" x14ac:dyDescent="0.2">
      <c r="E136" s="258"/>
      <c r="T136" s="9"/>
      <c r="U136" s="9"/>
      <c r="V136" s="9"/>
      <c r="W136" s="9"/>
      <c r="X136" s="9"/>
      <c r="Y136" s="9"/>
      <c r="Z136" s="9"/>
    </row>
    <row r="137" spans="1:89" ht="12.6" customHeight="1" x14ac:dyDescent="0.25">
      <c r="A137" s="324"/>
      <c r="B137" s="277" t="str">
        <f>VLOOKUP(151,Textbausteine_401[],Hilfsgrössen!$D$2,FALSE)</f>
        <v>1) Le sondage du personnel a été remanié en 2021. Le schéma d’évaluation est le suivant:                0 à 49 points: évaluation négative; 50 à 64 points: évaluation positive faible; 65 à 84 points: évaluation positive moyenne; 85 à 100 points: évaluation positive élevée.</v>
      </c>
      <c r="C137" s="48"/>
      <c r="H137" s="99"/>
      <c r="I137" s="99"/>
      <c r="J137" s="99"/>
      <c r="K137" s="99"/>
      <c r="L137" s="99"/>
      <c r="M137" s="99"/>
      <c r="N137" s="91"/>
      <c r="O137" s="91"/>
      <c r="P137" s="91"/>
      <c r="Q137" s="91"/>
      <c r="R137" s="91"/>
      <c r="S137" s="91"/>
      <c r="T137" s="9"/>
      <c r="U137" s="9"/>
      <c r="V137" s="9"/>
      <c r="W137" s="9"/>
      <c r="X137" s="9"/>
      <c r="Y137" s="9"/>
      <c r="Z137" s="9"/>
    </row>
    <row r="138" spans="1:89" ht="12.95" customHeight="1" x14ac:dyDescent="0.25">
      <c r="B138" s="277" t="str">
        <f>VLOOKUP(152,Textbausteine_401[],Hilfsgrössen!$D$2,FALSE)</f>
        <v xml:space="preserve">2) Le groupe SPS a été vendu le 30 mars 2022. Par conséquent, les chiffres clés sont présentés sans le groupe SPS à partir de 2022. Les valeurs de l’exercice précédent ont été ajustées. </v>
      </c>
      <c r="T138" s="9"/>
      <c r="U138" s="9"/>
      <c r="V138" s="9"/>
      <c r="W138" s="9"/>
      <c r="X138" s="9"/>
      <c r="Y138" s="9"/>
      <c r="Z138" s="9"/>
    </row>
    <row r="139" spans="1:89" ht="12.95" customHeight="1" x14ac:dyDescent="0.25">
      <c r="B139" s="277" t="str">
        <f>VLOOKUP(153,Textbausteine_401[],Hilfsgrössen!$D$2,FALSE)</f>
        <v>3) Aucune comparaison dans le temps possible en raison de l’adaptation de l’indice</v>
      </c>
      <c r="G139" s="33"/>
      <c r="T139" s="9"/>
      <c r="U139" s="9"/>
      <c r="V139" s="9"/>
      <c r="W139" s="9"/>
      <c r="X139" s="9"/>
      <c r="Y139" s="9"/>
      <c r="Z139" s="9"/>
    </row>
    <row r="140" spans="1:89" s="366" customFormat="1" ht="12.95" customHeight="1" x14ac:dyDescent="0.25">
      <c r="A140" s="66"/>
      <c r="B140" s="277" t="str">
        <f>VLOOKUP(154,Textbausteine_401[],Hilfsgrössen!$D$2,FALSE)</f>
        <v>4) Nouvel indice 2022 sur le thème «L’avenir de mon emploi»</v>
      </c>
      <c r="E140" s="367"/>
      <c r="F140" s="367"/>
      <c r="G140" s="33"/>
      <c r="H140" s="367"/>
      <c r="I140" s="367"/>
      <c r="J140" s="367"/>
      <c r="K140" s="367"/>
      <c r="L140" s="367"/>
      <c r="M140" s="367"/>
      <c r="N140" s="367"/>
      <c r="O140" s="367"/>
      <c r="P140" s="367"/>
      <c r="Q140" s="367"/>
      <c r="R140" s="367"/>
      <c r="S140" s="367"/>
      <c r="T140" s="367"/>
      <c r="U140" s="367"/>
      <c r="V140" s="367"/>
      <c r="W140" s="367"/>
      <c r="X140" s="367"/>
      <c r="Y140" s="367"/>
      <c r="Z140" s="367"/>
      <c r="AA140" s="367"/>
      <c r="AB140" s="367"/>
      <c r="AC140" s="367"/>
      <c r="AD140" s="367"/>
      <c r="AE140" s="367"/>
      <c r="AF140" s="367"/>
      <c r="AG140" s="367"/>
      <c r="AH140" s="367"/>
      <c r="AI140" s="367"/>
      <c r="AJ140" s="367"/>
      <c r="AK140" s="367"/>
      <c r="AL140" s="367"/>
      <c r="AM140" s="367"/>
      <c r="AN140" s="367"/>
      <c r="AO140" s="367"/>
      <c r="AP140" s="367"/>
      <c r="AQ140" s="367"/>
      <c r="AR140" s="367"/>
      <c r="AS140" s="367"/>
      <c r="AT140" s="367"/>
      <c r="AU140" s="367"/>
      <c r="AV140" s="367"/>
      <c r="AW140" s="367"/>
      <c r="AX140" s="367"/>
      <c r="AY140" s="367"/>
      <c r="AZ140" s="367"/>
      <c r="BA140" s="367"/>
      <c r="BB140" s="367"/>
      <c r="BC140" s="367"/>
      <c r="BD140" s="367"/>
      <c r="BE140" s="367"/>
      <c r="BF140" s="367"/>
      <c r="BG140" s="367"/>
      <c r="BH140" s="367"/>
      <c r="BI140" s="367"/>
      <c r="BJ140" s="367"/>
      <c r="BK140" s="367"/>
      <c r="BL140" s="367"/>
      <c r="BM140" s="367"/>
      <c r="BN140" s="367"/>
      <c r="BO140" s="367"/>
      <c r="BP140" s="367"/>
      <c r="BQ140" s="367"/>
      <c r="BR140" s="367"/>
      <c r="BS140" s="367"/>
      <c r="BT140" s="367"/>
      <c r="BU140" s="367"/>
      <c r="BV140" s="367"/>
      <c r="BW140" s="367"/>
      <c r="BX140" s="367"/>
      <c r="BY140" s="367"/>
      <c r="BZ140" s="367"/>
      <c r="CA140" s="367"/>
      <c r="CB140" s="367"/>
      <c r="CC140" s="367"/>
      <c r="CD140" s="367"/>
      <c r="CE140" s="367"/>
      <c r="CF140" s="367"/>
      <c r="CG140" s="367"/>
      <c r="CH140" s="367"/>
      <c r="CI140" s="367"/>
      <c r="CJ140" s="367"/>
      <c r="CK140" s="367"/>
    </row>
    <row r="141" spans="1:89" ht="12.95" customHeight="1" x14ac:dyDescent="0.2">
      <c r="T141" s="9"/>
      <c r="U141" s="9"/>
      <c r="V141" s="9"/>
      <c r="W141" s="9"/>
      <c r="X141" s="9"/>
      <c r="Y141" s="9"/>
      <c r="Z141" s="9"/>
    </row>
    <row r="142" spans="1:89" ht="12.95" customHeight="1" x14ac:dyDescent="0.2">
      <c r="G142" s="33"/>
      <c r="T142" s="9"/>
      <c r="U142" s="9"/>
      <c r="V142" s="9"/>
      <c r="W142" s="9"/>
      <c r="X142" s="9"/>
      <c r="Y142" s="9"/>
      <c r="Z142" s="9"/>
    </row>
    <row r="147" spans="7:26" ht="12.95" customHeight="1" x14ac:dyDescent="0.2">
      <c r="G147" s="37"/>
      <c r="H147" s="72"/>
      <c r="I147" s="72"/>
      <c r="J147" s="72"/>
      <c r="K147" s="72"/>
      <c r="L147" s="72"/>
      <c r="M147" s="72"/>
    </row>
    <row r="148" spans="7:26" ht="12.95" customHeight="1" x14ac:dyDescent="0.2">
      <c r="G148" s="37"/>
      <c r="H148" s="72"/>
      <c r="I148" s="72"/>
      <c r="J148" s="72"/>
      <c r="K148" s="72"/>
      <c r="L148" s="72"/>
      <c r="M148" s="72"/>
    </row>
    <row r="149" spans="7:26" ht="12.95" customHeight="1" x14ac:dyDescent="0.2">
      <c r="G149" s="37"/>
      <c r="T149" s="75"/>
      <c r="U149" s="75"/>
      <c r="V149" s="75"/>
      <c r="W149" s="75"/>
      <c r="X149" s="75"/>
      <c r="Y149" s="75"/>
      <c r="Z149" s="75"/>
    </row>
    <row r="150" spans="7:26" ht="12.95" customHeight="1" x14ac:dyDescent="0.2">
      <c r="H150" s="7"/>
      <c r="I150" s="7"/>
      <c r="J150" s="7"/>
      <c r="K150" s="7"/>
      <c r="L150" s="7"/>
      <c r="M150" s="7"/>
      <c r="T150" s="75"/>
      <c r="U150" s="75"/>
      <c r="V150" s="75"/>
      <c r="W150" s="75"/>
      <c r="X150" s="75"/>
      <c r="Y150" s="75"/>
      <c r="Z150" s="75"/>
    </row>
    <row r="154" spans="7:26" ht="12.95" customHeight="1" x14ac:dyDescent="0.2">
      <c r="T154" s="81"/>
      <c r="U154" s="81"/>
      <c r="V154" s="81"/>
      <c r="W154" s="81"/>
      <c r="X154" s="81"/>
      <c r="Y154" s="81"/>
      <c r="Z154" s="81"/>
    </row>
    <row r="155" spans="7:26" ht="12.95" customHeight="1" x14ac:dyDescent="0.2">
      <c r="T155" s="81"/>
      <c r="U155" s="81"/>
      <c r="V155" s="81"/>
      <c r="W155" s="81"/>
      <c r="X155" s="81"/>
      <c r="Y155" s="81"/>
      <c r="Z155" s="81"/>
    </row>
    <row r="156" spans="7:26" ht="12.95" customHeight="1" x14ac:dyDescent="0.2">
      <c r="T156" s="81"/>
      <c r="U156" s="81"/>
      <c r="V156" s="81"/>
      <c r="W156" s="81"/>
      <c r="X156" s="81"/>
      <c r="Y156" s="81"/>
      <c r="Z156" s="81"/>
    </row>
    <row r="157" spans="7:26" ht="12.95" customHeight="1" x14ac:dyDescent="0.2">
      <c r="T157" s="81"/>
      <c r="U157" s="81"/>
      <c r="V157" s="81"/>
      <c r="W157" s="81"/>
      <c r="X157" s="81"/>
      <c r="Y157" s="81"/>
      <c r="Z157" s="81"/>
    </row>
    <row r="158" spans="7:26" ht="12.95" customHeight="1" x14ac:dyDescent="0.2">
      <c r="T158" s="81"/>
      <c r="U158" s="81"/>
      <c r="V158" s="81"/>
      <c r="W158" s="81"/>
      <c r="X158" s="81"/>
      <c r="Y158" s="81"/>
      <c r="Z158" s="81"/>
    </row>
    <row r="159" spans="7:26" ht="12.95" customHeight="1" x14ac:dyDescent="0.2">
      <c r="T159" s="81"/>
      <c r="U159" s="81"/>
      <c r="V159" s="81"/>
      <c r="W159" s="81"/>
      <c r="X159" s="81"/>
      <c r="Y159" s="81"/>
      <c r="Z159" s="81"/>
    </row>
    <row r="160" spans="7:26" ht="12.95" customHeight="1" x14ac:dyDescent="0.2">
      <c r="T160" s="81"/>
      <c r="U160" s="81"/>
      <c r="V160" s="81"/>
      <c r="W160" s="81"/>
      <c r="X160" s="81"/>
      <c r="Y160" s="81"/>
      <c r="Z160" s="81"/>
    </row>
    <row r="161" spans="8:26" ht="12.95" customHeight="1" x14ac:dyDescent="0.2">
      <c r="T161" s="81"/>
      <c r="U161" s="81"/>
      <c r="V161" s="81"/>
      <c r="W161" s="81"/>
      <c r="X161" s="81"/>
      <c r="Y161" s="81"/>
      <c r="Z161" s="81"/>
    </row>
    <row r="169" spans="8:26" ht="12.95" customHeight="1" x14ac:dyDescent="0.2">
      <c r="H169" s="72"/>
      <c r="I169" s="72"/>
      <c r="J169" s="72"/>
      <c r="K169" s="72"/>
      <c r="L169" s="72"/>
      <c r="M169" s="72"/>
    </row>
    <row r="170" spans="8:26" ht="12.95" customHeight="1" x14ac:dyDescent="0.2">
      <c r="H170" s="73"/>
      <c r="I170" s="73"/>
      <c r="J170" s="73"/>
      <c r="K170" s="73"/>
      <c r="L170" s="73"/>
      <c r="M170" s="73"/>
    </row>
  </sheetData>
  <sheetProtection algorithmName="SHA-512" hashValue="QctjLyRT0VPPcBKZfPkIjyaXegfWPOetxBNRLrLz2HUaFnmF1fheBp2gsE+15uZVqkBKW+lqrt7rdLNBKQLvNg==" saltValue="QAmlDEwKCV+v9LH3vBE/7Q==" spinCount="100000" sheet="1" objects="1" scenarios="1"/>
  <mergeCells count="6">
    <mergeCell ref="D2:E2"/>
    <mergeCell ref="B63:C64"/>
    <mergeCell ref="B2:C2"/>
    <mergeCell ref="B3:C3"/>
    <mergeCell ref="B12:C13"/>
    <mergeCell ref="B53:C54"/>
  </mergeCells>
  <conditionalFormatting sqref="H12:U19 H25:U27 H21:U23 H29:U30 H28:T28 H43:U43 H34:U41 H32:U32 H46:U66 X46:Y56 X32 X34:X41 X43 X21:X23 X12:Y15 X25:Y25 X16:X19 X26:X30 X58:Y66 X57 H76:Y10024 H67:Y73 AA76:CE10024 AA12:CE73">
    <cfRule type="expression" dxfId="407" priority="283">
      <formula>AND($D12&lt;&gt;"",H$12&lt;&gt;"",H12="")</formula>
    </cfRule>
    <cfRule type="expression" dxfId="406" priority="284">
      <formula>AND($A12="",ABS(H12)=0)</formula>
    </cfRule>
    <cfRule type="expression" dxfId="405" priority="285">
      <formula>AND($A12="",ABS(H12)&lt;10)</formula>
    </cfRule>
    <cfRule type="expression" dxfId="404" priority="286">
      <formula>AND($A12="",ABS(H12)&lt;100)</formula>
    </cfRule>
    <cfRule type="expression" dxfId="403" priority="287">
      <formula>AND($A12="",ABS(H12)&gt;=100)</formula>
    </cfRule>
  </conditionalFormatting>
  <conditionalFormatting sqref="V12:W19 V25:W27 V21:W23 V29:W30 V43:W43 V34:W41 V32:W32 V46:W66">
    <cfRule type="expression" dxfId="402" priority="271">
      <formula>AND($D12&lt;&gt;"",V$12&lt;&gt;"",V12="")</formula>
    </cfRule>
    <cfRule type="expression" dxfId="401" priority="272">
      <formula>AND($A12="",ABS(V12)=0)</formula>
    </cfRule>
    <cfRule type="expression" dxfId="400" priority="273">
      <formula>AND($A12="",ABS(V12)&lt;10)</formula>
    </cfRule>
    <cfRule type="expression" dxfId="399" priority="274">
      <formula>AND($A12="",ABS(V12)&lt;100)</formula>
    </cfRule>
    <cfRule type="expression" dxfId="398" priority="275">
      <formula>AND($A12="",ABS(V12)&gt;=100)</formula>
    </cfRule>
  </conditionalFormatting>
  <conditionalFormatting sqref="Y43">
    <cfRule type="expression" dxfId="397" priority="266">
      <formula>AND($D43&lt;&gt;"",Y$12&lt;&gt;"",Y43="")</formula>
    </cfRule>
    <cfRule type="expression" dxfId="396" priority="267">
      <formula>AND($A43="",ABS(Y43)=0)</formula>
    </cfRule>
    <cfRule type="expression" dxfId="395" priority="268">
      <formula>AND($A43="",ABS(Y43)&lt;10)</formula>
    </cfRule>
    <cfRule type="expression" dxfId="394" priority="269">
      <formula>AND($A43="",ABS(Y43)&lt;100)</formula>
    </cfRule>
    <cfRule type="expression" dxfId="393" priority="270">
      <formula>AND($A43="",ABS(Y43)&gt;=100)</formula>
    </cfRule>
  </conditionalFormatting>
  <conditionalFormatting sqref="Y21:Y23 Y16:Y19">
    <cfRule type="expression" dxfId="392" priority="131">
      <formula>AND($D16&lt;&gt;"",Y$12&lt;&gt;"",Y16="")</formula>
    </cfRule>
    <cfRule type="expression" dxfId="391" priority="132">
      <formula>AND($A16="",ABS(Y16)=0)</formula>
    </cfRule>
    <cfRule type="expression" dxfId="390" priority="133">
      <formula>AND($A16="",ABS(Y16)&lt;10)</formula>
    </cfRule>
    <cfRule type="expression" dxfId="389" priority="134">
      <formula>AND($A16="",ABS(Y16)&lt;100)</formula>
    </cfRule>
    <cfRule type="expression" dxfId="388" priority="135">
      <formula>AND($A16="",ABS(Y16)&gt;=100)</formula>
    </cfRule>
  </conditionalFormatting>
  <conditionalFormatting sqref="Y24">
    <cfRule type="expression" dxfId="387" priority="126">
      <formula>AND($D24&lt;&gt;"",Y$12&lt;&gt;"",Y24="")</formula>
    </cfRule>
    <cfRule type="expression" dxfId="386" priority="127">
      <formula>AND($A24="",ABS(Y24)=0)</formula>
    </cfRule>
    <cfRule type="expression" dxfId="385" priority="128">
      <formula>AND($A24="",ABS(Y24)&lt;10)</formula>
    </cfRule>
    <cfRule type="expression" dxfId="384" priority="129">
      <formula>AND($A24="",ABS(Y24)&lt;100)</formula>
    </cfRule>
    <cfRule type="expression" dxfId="383" priority="130">
      <formula>AND($A24="",ABS(Y24)&gt;=100)</formula>
    </cfRule>
  </conditionalFormatting>
  <conditionalFormatting sqref="Y20">
    <cfRule type="expression" dxfId="382" priority="121">
      <formula>AND($D20&lt;&gt;"",Y$12&lt;&gt;"",Y20="")</formula>
    </cfRule>
    <cfRule type="expression" dxfId="381" priority="122">
      <formula>AND($A20="",ABS(Y20)=0)</formula>
    </cfRule>
    <cfRule type="expression" dxfId="380" priority="123">
      <formula>AND($A20="",ABS(Y20)&lt;10)</formula>
    </cfRule>
    <cfRule type="expression" dxfId="379" priority="124">
      <formula>AND($A20="",ABS(Y20)&lt;100)</formula>
    </cfRule>
    <cfRule type="expression" dxfId="378" priority="125">
      <formula>AND($A20="",ABS(Y20)&gt;=100)</formula>
    </cfRule>
  </conditionalFormatting>
  <conditionalFormatting sqref="Y26:Y30">
    <cfRule type="expression" dxfId="377" priority="116">
      <formula>AND($D26&lt;&gt;"",Y$12&lt;&gt;"",Y26="")</formula>
    </cfRule>
    <cfRule type="expression" dxfId="376" priority="117">
      <formula>AND($A26="",ABS(Y26)=0)</formula>
    </cfRule>
    <cfRule type="expression" dxfId="375" priority="118">
      <formula>AND($A26="",ABS(Y26)&lt;10)</formula>
    </cfRule>
    <cfRule type="expression" dxfId="374" priority="119">
      <formula>AND($A26="",ABS(Y26)&lt;100)</formula>
    </cfRule>
    <cfRule type="expression" dxfId="373" priority="120">
      <formula>AND($A26="",ABS(Y26)&gt;=100)</formula>
    </cfRule>
  </conditionalFormatting>
  <conditionalFormatting sqref="Y31:Y42">
    <cfRule type="expression" dxfId="372" priority="111">
      <formula>AND($D31&lt;&gt;"",Y$12&lt;&gt;"",Y31="")</formula>
    </cfRule>
    <cfRule type="expression" dxfId="371" priority="112">
      <formula>AND($A31="",ABS(Y31)=0)</formula>
    </cfRule>
    <cfRule type="expression" dxfId="370" priority="113">
      <formula>AND($A31="",ABS(Y31)&lt;10)</formula>
    </cfRule>
    <cfRule type="expression" dxfId="369" priority="114">
      <formula>AND($A31="",ABS(Y31)&lt;100)</formula>
    </cfRule>
    <cfRule type="expression" dxfId="368" priority="115">
      <formula>AND($A31="",ABS(Y31)&gt;=100)</formula>
    </cfRule>
  </conditionalFormatting>
  <conditionalFormatting sqref="Y44">
    <cfRule type="expression" dxfId="367" priority="106">
      <formula>AND($D44&lt;&gt;"",Y$12&lt;&gt;"",Y44="")</formula>
    </cfRule>
    <cfRule type="expression" dxfId="366" priority="107">
      <formula>AND($A44="",ABS(Y44)=0)</formula>
    </cfRule>
    <cfRule type="expression" dxfId="365" priority="108">
      <formula>AND($A44="",ABS(Y44)&lt;10)</formula>
    </cfRule>
    <cfRule type="expression" dxfId="364" priority="109">
      <formula>AND($A44="",ABS(Y44)&lt;100)</formula>
    </cfRule>
    <cfRule type="expression" dxfId="363" priority="110">
      <formula>AND($A44="",ABS(Y44)&gt;=100)</formula>
    </cfRule>
  </conditionalFormatting>
  <conditionalFormatting sqref="Y57">
    <cfRule type="expression" dxfId="362" priority="101">
      <formula>AND($D57&lt;&gt;"",Y$12&lt;&gt;"",Y57="")</formula>
    </cfRule>
    <cfRule type="expression" dxfId="361" priority="102">
      <formula>AND($A57="",ABS(Y57)=0)</formula>
    </cfRule>
    <cfRule type="expression" dxfId="360" priority="103">
      <formula>AND($A57="",ABS(Y57)&lt;10)</formula>
    </cfRule>
    <cfRule type="expression" dxfId="359" priority="104">
      <formula>AND($A57="",ABS(Y57)&lt;100)</formula>
    </cfRule>
    <cfRule type="expression" dxfId="358" priority="105">
      <formula>AND($A57="",ABS(Y57)&gt;=100)</formula>
    </cfRule>
  </conditionalFormatting>
  <conditionalFormatting sqref="H74:Y74 AA74:CE74">
    <cfRule type="expression" dxfId="357" priority="2917">
      <formula>AND($D75&lt;&gt;"",H$12&lt;&gt;"",H74="")</formula>
    </cfRule>
    <cfRule type="expression" dxfId="356" priority="2918">
      <formula>AND($A74="",ABS(H74)=0)</formula>
    </cfRule>
    <cfRule type="expression" dxfId="355" priority="2919">
      <formula>AND($A74="",ABS(H74)&lt;10)</formula>
    </cfRule>
    <cfRule type="expression" dxfId="354" priority="2920">
      <formula>AND($A74="",ABS(H74)&lt;100)</formula>
    </cfRule>
    <cfRule type="expression" dxfId="353" priority="2921">
      <formula>AND($A74="",ABS(H74)&gt;=100)</formula>
    </cfRule>
  </conditionalFormatting>
  <conditionalFormatting sqref="H75:Y75 AA75:CE75">
    <cfRule type="expression" dxfId="352" priority="2922">
      <formula>AND(#REF!&lt;&gt;"",H$12&lt;&gt;"",H75="")</formula>
    </cfRule>
    <cfRule type="expression" dxfId="351" priority="2923">
      <formula>AND($A75="",ABS(H75)=0)</formula>
    </cfRule>
    <cfRule type="expression" dxfId="350" priority="2924">
      <formula>AND($A75="",ABS(H75)&lt;10)</formula>
    </cfRule>
    <cfRule type="expression" dxfId="349" priority="2925">
      <formula>AND($A75="",ABS(H75)&lt;100)</formula>
    </cfRule>
    <cfRule type="expression" dxfId="348" priority="2926">
      <formula>AND($A75="",ABS(H75)&gt;=100)</formula>
    </cfRule>
  </conditionalFormatting>
  <conditionalFormatting sqref="Z46:Z56 Z12:Z15 Z25 Z76:Z10024 Z58:Z73">
    <cfRule type="expression" dxfId="347" priority="41">
      <formula>AND($D12&lt;&gt;"",Z$12&lt;&gt;"",Z12="")</formula>
    </cfRule>
    <cfRule type="expression" dxfId="346" priority="42">
      <formula>AND($A12="",ABS(Z12)=0)</formula>
    </cfRule>
    <cfRule type="expression" dxfId="345" priority="43">
      <formula>AND($A12="",ABS(Z12)&lt;10)</formula>
    </cfRule>
    <cfRule type="expression" dxfId="344" priority="44">
      <formula>AND($A12="",ABS(Z12)&lt;100)</formula>
    </cfRule>
    <cfRule type="expression" dxfId="343" priority="45">
      <formula>AND($A12="",ABS(Z12)&gt;=100)</formula>
    </cfRule>
  </conditionalFormatting>
  <conditionalFormatting sqref="Z43">
    <cfRule type="expression" dxfId="342" priority="36">
      <formula>AND($D43&lt;&gt;"",Z$12&lt;&gt;"",Z43="")</formula>
    </cfRule>
    <cfRule type="expression" dxfId="341" priority="37">
      <formula>AND($A43="",ABS(Z43)=0)</formula>
    </cfRule>
    <cfRule type="expression" dxfId="340" priority="38">
      <formula>AND($A43="",ABS(Z43)&lt;10)</formula>
    </cfRule>
    <cfRule type="expression" dxfId="339" priority="39">
      <formula>AND($A43="",ABS(Z43)&lt;100)</formula>
    </cfRule>
    <cfRule type="expression" dxfId="338" priority="40">
      <formula>AND($A43="",ABS(Z43)&gt;=100)</formula>
    </cfRule>
  </conditionalFormatting>
  <conditionalFormatting sqref="Z21:Z23 Z16:Z19">
    <cfRule type="expression" dxfId="337" priority="31">
      <formula>AND($D16&lt;&gt;"",Z$12&lt;&gt;"",Z16="")</formula>
    </cfRule>
    <cfRule type="expression" dxfId="336" priority="32">
      <formula>AND($A16="",ABS(Z16)=0)</formula>
    </cfRule>
    <cfRule type="expression" dxfId="335" priority="33">
      <formula>AND($A16="",ABS(Z16)&lt;10)</formula>
    </cfRule>
    <cfRule type="expression" dxfId="334" priority="34">
      <formula>AND($A16="",ABS(Z16)&lt;100)</formula>
    </cfRule>
    <cfRule type="expression" dxfId="333" priority="35">
      <formula>AND($A16="",ABS(Z16)&gt;=100)</formula>
    </cfRule>
  </conditionalFormatting>
  <conditionalFormatting sqref="Z24">
    <cfRule type="expression" dxfId="332" priority="26">
      <formula>AND($D24&lt;&gt;"",Z$12&lt;&gt;"",Z24="")</formula>
    </cfRule>
    <cfRule type="expression" dxfId="331" priority="27">
      <formula>AND($A24="",ABS(Z24)=0)</formula>
    </cfRule>
    <cfRule type="expression" dxfId="330" priority="28">
      <formula>AND($A24="",ABS(Z24)&lt;10)</formula>
    </cfRule>
    <cfRule type="expression" dxfId="329" priority="29">
      <formula>AND($A24="",ABS(Z24)&lt;100)</formula>
    </cfRule>
    <cfRule type="expression" dxfId="328" priority="30">
      <formula>AND($A24="",ABS(Z24)&gt;=100)</formula>
    </cfRule>
  </conditionalFormatting>
  <conditionalFormatting sqref="Z20">
    <cfRule type="expression" dxfId="327" priority="21">
      <formula>AND($D20&lt;&gt;"",Z$12&lt;&gt;"",Z20="")</formula>
    </cfRule>
    <cfRule type="expression" dxfId="326" priority="22">
      <formula>AND($A20="",ABS(Z20)=0)</formula>
    </cfRule>
    <cfRule type="expression" dxfId="325" priority="23">
      <formula>AND($A20="",ABS(Z20)&lt;10)</formula>
    </cfRule>
    <cfRule type="expression" dxfId="324" priority="24">
      <formula>AND($A20="",ABS(Z20)&lt;100)</formula>
    </cfRule>
    <cfRule type="expression" dxfId="323" priority="25">
      <formula>AND($A20="",ABS(Z20)&gt;=100)</formula>
    </cfRule>
  </conditionalFormatting>
  <conditionalFormatting sqref="Z26:Z30">
    <cfRule type="expression" dxfId="322" priority="16">
      <formula>AND($D26&lt;&gt;"",Z$12&lt;&gt;"",Z26="")</formula>
    </cfRule>
    <cfRule type="expression" dxfId="321" priority="17">
      <formula>AND($A26="",ABS(Z26)=0)</formula>
    </cfRule>
    <cfRule type="expression" dxfId="320" priority="18">
      <formula>AND($A26="",ABS(Z26)&lt;10)</formula>
    </cfRule>
    <cfRule type="expression" dxfId="319" priority="19">
      <formula>AND($A26="",ABS(Z26)&lt;100)</formula>
    </cfRule>
    <cfRule type="expression" dxfId="318" priority="20">
      <formula>AND($A26="",ABS(Z26)&gt;=100)</formula>
    </cfRule>
  </conditionalFormatting>
  <conditionalFormatting sqref="Z31:Z42">
    <cfRule type="expression" dxfId="317" priority="11">
      <formula>AND($D31&lt;&gt;"",Z$12&lt;&gt;"",Z31="")</formula>
    </cfRule>
    <cfRule type="expression" dxfId="316" priority="12">
      <formula>AND($A31="",ABS(Z31)=0)</formula>
    </cfRule>
    <cfRule type="expression" dxfId="315" priority="13">
      <formula>AND($A31="",ABS(Z31)&lt;10)</formula>
    </cfRule>
    <cfRule type="expression" dxfId="314" priority="14">
      <formula>AND($A31="",ABS(Z31)&lt;100)</formula>
    </cfRule>
    <cfRule type="expression" dxfId="313" priority="15">
      <formula>AND($A31="",ABS(Z31)&gt;=100)</formula>
    </cfRule>
  </conditionalFormatting>
  <conditionalFormatting sqref="Z44">
    <cfRule type="expression" dxfId="312" priority="6">
      <formula>AND($D44&lt;&gt;"",Z$12&lt;&gt;"",Z44="")</formula>
    </cfRule>
    <cfRule type="expression" dxfId="311" priority="7">
      <formula>AND($A44="",ABS(Z44)=0)</formula>
    </cfRule>
    <cfRule type="expression" dxfId="310" priority="8">
      <formula>AND($A44="",ABS(Z44)&lt;10)</formula>
    </cfRule>
    <cfRule type="expression" dxfId="309" priority="9">
      <formula>AND($A44="",ABS(Z44)&lt;100)</formula>
    </cfRule>
    <cfRule type="expression" dxfId="308" priority="10">
      <formula>AND($A44="",ABS(Z44)&gt;=100)</formula>
    </cfRule>
  </conditionalFormatting>
  <conditionalFormatting sqref="Z57">
    <cfRule type="expression" dxfId="307" priority="1">
      <formula>AND($D57&lt;&gt;"",Z$12&lt;&gt;"",Z57="")</formula>
    </cfRule>
    <cfRule type="expression" dxfId="306" priority="2">
      <formula>AND($A57="",ABS(Z57)=0)</formula>
    </cfRule>
    <cfRule type="expression" dxfId="305" priority="3">
      <formula>AND($A57="",ABS(Z57)&lt;10)</formula>
    </cfRule>
    <cfRule type="expression" dxfId="304" priority="4">
      <formula>AND($A57="",ABS(Z57)&lt;100)</formula>
    </cfRule>
    <cfRule type="expression" dxfId="303" priority="5">
      <formula>AND($A57="",ABS(Z57)&gt;=100)</formula>
    </cfRule>
  </conditionalFormatting>
  <conditionalFormatting sqref="Z74">
    <cfRule type="expression" dxfId="302" priority="46">
      <formula>AND($D75&lt;&gt;"",Z$12&lt;&gt;"",Z74="")</formula>
    </cfRule>
    <cfRule type="expression" dxfId="301" priority="47">
      <formula>AND($A74="",ABS(Z74)=0)</formula>
    </cfRule>
    <cfRule type="expression" dxfId="300" priority="48">
      <formula>AND($A74="",ABS(Z74)&lt;10)</formula>
    </cfRule>
    <cfRule type="expression" dxfId="299" priority="49">
      <formula>AND($A74="",ABS(Z74)&lt;100)</formula>
    </cfRule>
    <cfRule type="expression" dxfId="298" priority="50">
      <formula>AND($A74="",ABS(Z74)&gt;=100)</formula>
    </cfRule>
  </conditionalFormatting>
  <conditionalFormatting sqref="Z75">
    <cfRule type="expression" dxfId="297" priority="51">
      <formula>AND(#REF!&lt;&gt;"",Z$12&lt;&gt;"",Z75="")</formula>
    </cfRule>
    <cfRule type="expression" dxfId="296" priority="52">
      <formula>AND($A75="",ABS(Z75)=0)</formula>
    </cfRule>
    <cfRule type="expression" dxfId="295" priority="53">
      <formula>AND($A75="",ABS(Z75)&lt;10)</formula>
    </cfRule>
    <cfRule type="expression" dxfId="294" priority="54">
      <formula>AND($A75="",ABS(Z75)&lt;100)</formula>
    </cfRule>
    <cfRule type="expression" dxfId="293" priority="55">
      <formula>AND($A75="",ABS(Z75)&gt;=100)</formula>
    </cfRule>
  </conditionalFormatting>
  <dataValidations count="2">
    <dataValidation type="list" allowBlank="1" showInputMessage="1" showErrorMessage="1" sqref="G2" xr:uid="{00000000-0002-0000-0700-000000000000}">
      <formula1>Sprache</formula1>
    </dataValidation>
    <dataValidation allowBlank="1" showInputMessage="1" showErrorMessage="1" sqref="F2" xr:uid="{AF9FF435-2073-4577-A587-F5E91D1AE4F9}"/>
  </dataValidations>
  <hyperlinks>
    <hyperlink ref="A12" location="GRI_401" display="Ó" xr:uid="{00000000-0004-0000-0700-000000000000}"/>
    <hyperlink ref="A53" location="GRI_401" display="Ó" xr:uid="{00000000-0004-0000-0700-000001000000}"/>
    <hyperlink ref="C7" location="GRI_401_1" display="GRI_401_1" xr:uid="{00000000-0004-0000-0700-000002000000}"/>
    <hyperlink ref="C8" location="GRI_401_3" display="GRI_401_3" xr:uid="{00000000-0004-0000-0700-000003000000}"/>
    <hyperlink ref="D2" location="Home" display="Home" xr:uid="{00000000-0004-0000-0700-000004000000}"/>
    <hyperlink ref="A63" location="GRI_401" display="Ó" xr:uid="{00000000-0004-0000-0700-000005000000}"/>
    <hyperlink ref="C9" location="GRI_401_a" display="Personalumfrage" xr:uid="{00000000-0004-0000-0700-000006000000}"/>
  </hyperlinks>
  <pageMargins left="0.7" right="0.7" top="0.78740157499999996" bottom="0.78740157499999996" header="0.3" footer="0.3"/>
  <pageSetup paperSize="9" orientation="portrait" r:id="rId1"/>
  <ignoredErrors>
    <ignoredError sqref="E44 E16:E24" twoDigitTextYear="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14">
    <tabColor rgb="FF9E2A2F"/>
  </sheetPr>
  <dimension ref="A2:CK146"/>
  <sheetViews>
    <sheetView showGridLines="0" showRowColHeaders="0" zoomScaleNormal="100" workbookViewId="0">
      <pane xSplit="7" topLeftCell="Q1" activePane="topRight" state="frozen"/>
      <selection activeCell="B3" sqref="B3:C3"/>
      <selection pane="topRight" activeCell="B3" sqref="B3:C3"/>
    </sheetView>
  </sheetViews>
  <sheetFormatPr baseColWidth="10" defaultColWidth="10.85546875" defaultRowHeight="12.95" customHeight="1" x14ac:dyDescent="0.2"/>
  <cols>
    <col min="1" max="1" width="2.42578125" style="66" customWidth="1"/>
    <col min="2" max="2" width="2.42578125" style="1" customWidth="1"/>
    <col min="3" max="3" width="77.5703125" style="1" customWidth="1"/>
    <col min="4" max="4" width="30.7109375" style="1" customWidth="1"/>
    <col min="5" max="5" width="9.42578125" style="9" customWidth="1"/>
    <col min="6" max="6" width="14.140625" style="9" customWidth="1"/>
    <col min="7" max="7" width="2.42578125" style="34" customWidth="1"/>
    <col min="8" max="13" width="12" style="9" customWidth="1"/>
    <col min="14" max="19" width="11.7109375" style="9" customWidth="1"/>
    <col min="20" max="26" width="11.7109375" style="11" customWidth="1"/>
    <col min="27" max="89" width="11.7109375" style="9" customWidth="1"/>
    <col min="90" max="16384" width="10.85546875" style="1"/>
  </cols>
  <sheetData>
    <row r="2" spans="1:89" s="89" customFormat="1" ht="26.1" customHeight="1" x14ac:dyDescent="0.2">
      <c r="A2" s="63"/>
      <c r="B2" s="406" t="str">
        <f>UPPER(RIGHT(Inhaltsverzeichnis!$C$29,LEN(Inhaltsverzeichnis!$C$29)-FIND(" – ",Inhaltsverzeichnis!$C$29,1)-2))</f>
        <v>SANTÉ ET SÉCURITÉ AU TRAVAIL</v>
      </c>
      <c r="C2" s="406"/>
      <c r="D2" s="402" t="str">
        <f>VLOOKUP(35,Textbausteine_Menu[],Hilfsgrössen!$D$2,FALSE)</f>
        <v>retour à la table des matières</v>
      </c>
      <c r="E2" s="403"/>
      <c r="F2" s="83" t="s">
        <v>149</v>
      </c>
      <c r="G2" s="96"/>
      <c r="H2" s="67"/>
      <c r="I2" s="67"/>
      <c r="J2" s="67"/>
      <c r="K2" s="67"/>
      <c r="L2" s="67"/>
      <c r="M2" s="67"/>
      <c r="N2" s="27"/>
      <c r="O2" s="27"/>
      <c r="P2" s="27"/>
      <c r="Q2" s="27"/>
      <c r="R2" s="27"/>
      <c r="S2" s="27"/>
      <c r="T2" s="71"/>
      <c r="U2" s="71"/>
      <c r="V2" s="71"/>
      <c r="W2" s="71"/>
      <c r="X2" s="71"/>
      <c r="Y2" s="71"/>
      <c r="Z2" s="71"/>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c r="BA2" s="27"/>
      <c r="BB2" s="27"/>
      <c r="BC2" s="27"/>
      <c r="BD2" s="27"/>
      <c r="BE2" s="27"/>
      <c r="BF2" s="27"/>
      <c r="BG2" s="27"/>
      <c r="BH2" s="27"/>
      <c r="BI2" s="27"/>
      <c r="BJ2" s="27"/>
      <c r="BK2" s="27"/>
      <c r="BL2" s="27"/>
      <c r="BM2" s="27"/>
      <c r="BN2" s="27"/>
      <c r="BO2" s="27"/>
      <c r="BP2" s="27"/>
      <c r="BQ2" s="27"/>
      <c r="BR2" s="27"/>
      <c r="BS2" s="27"/>
      <c r="BT2" s="27"/>
      <c r="BU2" s="27"/>
      <c r="BV2" s="27"/>
      <c r="BW2" s="27"/>
      <c r="BX2" s="27"/>
      <c r="BY2" s="27"/>
      <c r="BZ2" s="27"/>
      <c r="CA2" s="27"/>
      <c r="CB2" s="27"/>
      <c r="CC2" s="27"/>
      <c r="CD2" s="27"/>
      <c r="CE2" s="27"/>
      <c r="CF2" s="27"/>
      <c r="CG2" s="27"/>
      <c r="CH2" s="27"/>
      <c r="CI2" s="27"/>
      <c r="CJ2" s="27"/>
      <c r="CK2" s="27"/>
    </row>
    <row r="3" spans="1:89" s="90" customFormat="1" ht="26.1" customHeight="1" x14ac:dyDescent="0.2">
      <c r="A3" s="64"/>
      <c r="B3" s="407" t="str">
        <f>UPPER("GRI "&amp;LEFT(Inhaltsverzeichnis!$C$29,3))</f>
        <v>GRI 403</v>
      </c>
      <c r="C3" s="407"/>
      <c r="E3" s="27"/>
      <c r="F3" s="27"/>
      <c r="G3" s="32"/>
      <c r="H3" s="27"/>
      <c r="I3" s="27"/>
      <c r="J3" s="27"/>
      <c r="K3" s="27"/>
      <c r="L3" s="27"/>
      <c r="M3" s="27"/>
      <c r="N3" s="27"/>
      <c r="O3" s="27"/>
      <c r="P3" s="27"/>
      <c r="Q3" s="27"/>
      <c r="R3" s="27"/>
      <c r="S3" s="27"/>
      <c r="T3" s="71"/>
      <c r="U3" s="71"/>
      <c r="V3" s="71"/>
      <c r="W3" s="71"/>
      <c r="X3" s="71"/>
      <c r="Y3" s="71"/>
      <c r="Z3" s="71"/>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c r="BA3" s="27"/>
      <c r="BB3" s="27"/>
      <c r="BC3" s="27"/>
      <c r="BD3" s="27"/>
      <c r="BE3" s="27"/>
      <c r="BF3" s="27"/>
      <c r="BG3" s="27"/>
      <c r="BH3" s="27"/>
      <c r="BI3" s="27"/>
      <c r="BJ3" s="27"/>
      <c r="BK3" s="27"/>
      <c r="BL3" s="27"/>
      <c r="BM3" s="27"/>
      <c r="BN3" s="27"/>
      <c r="BO3" s="27"/>
      <c r="BP3" s="27"/>
      <c r="BQ3" s="27"/>
      <c r="BR3" s="27"/>
      <c r="BS3" s="27"/>
      <c r="BT3" s="27"/>
      <c r="BU3" s="27"/>
      <c r="BV3" s="27"/>
      <c r="BW3" s="27"/>
      <c r="BX3" s="27"/>
      <c r="BY3" s="27"/>
      <c r="BZ3" s="27"/>
      <c r="CA3" s="27"/>
      <c r="CB3" s="27"/>
      <c r="CC3" s="27"/>
      <c r="CD3" s="27"/>
      <c r="CE3" s="27"/>
      <c r="CF3" s="27"/>
      <c r="CG3" s="27"/>
      <c r="CH3" s="27"/>
      <c r="CI3" s="27"/>
      <c r="CJ3" s="27"/>
      <c r="CK3" s="27"/>
    </row>
    <row r="6" spans="1:89" s="6" customFormat="1" ht="12.95" customHeight="1" x14ac:dyDescent="0.2">
      <c r="A6" s="65"/>
      <c r="B6" s="6" t="str">
        <f>VLOOKUP(31,Textbausteine_Menu[],Hilfsgrössen!$D$2,FALSE)</f>
        <v>Divulgations</v>
      </c>
      <c r="E6" s="28"/>
      <c r="F6" s="28"/>
      <c r="G6" s="33"/>
      <c r="H6" s="28"/>
      <c r="I6" s="28"/>
      <c r="J6" s="28"/>
      <c r="K6" s="28"/>
      <c r="L6" s="28"/>
      <c r="M6" s="28"/>
      <c r="N6" s="9"/>
      <c r="O6" s="9"/>
      <c r="P6" s="9"/>
      <c r="Q6" s="9"/>
      <c r="R6" s="9"/>
      <c r="S6" s="9"/>
      <c r="T6" s="11"/>
      <c r="U6" s="11"/>
      <c r="V6" s="11"/>
      <c r="W6" s="11"/>
      <c r="X6" s="11"/>
      <c r="Y6" s="11"/>
      <c r="Z6" s="11"/>
      <c r="AA6" s="9"/>
      <c r="AB6" s="9"/>
      <c r="AC6" s="9"/>
      <c r="AD6" s="9"/>
      <c r="AE6" s="9"/>
      <c r="AF6" s="9"/>
      <c r="AG6" s="9"/>
      <c r="AH6" s="9"/>
      <c r="AI6" s="9"/>
      <c r="AJ6" s="9"/>
      <c r="AK6" s="9"/>
      <c r="AL6" s="9"/>
      <c r="AM6" s="9"/>
      <c r="AN6" s="9"/>
      <c r="AO6" s="9"/>
      <c r="AP6" s="9"/>
      <c r="AQ6" s="9"/>
      <c r="AR6" s="9"/>
      <c r="AS6" s="9"/>
      <c r="AT6" s="9"/>
      <c r="AU6" s="9"/>
      <c r="AV6" s="9"/>
      <c r="AW6" s="9"/>
      <c r="AX6" s="9"/>
      <c r="AY6" s="9"/>
      <c r="AZ6" s="9"/>
      <c r="BA6" s="9"/>
      <c r="BB6" s="9"/>
      <c r="BC6" s="9"/>
      <c r="BD6" s="9"/>
      <c r="BE6" s="9"/>
      <c r="BF6" s="9"/>
      <c r="BG6" s="9"/>
      <c r="BH6" s="9"/>
      <c r="BI6" s="9"/>
      <c r="BJ6" s="9"/>
      <c r="BK6" s="9"/>
      <c r="BL6" s="9"/>
      <c r="BM6" s="9"/>
      <c r="BN6" s="9"/>
      <c r="BO6" s="9"/>
      <c r="BP6" s="9"/>
      <c r="BQ6" s="9"/>
      <c r="BR6" s="9"/>
      <c r="BS6" s="9"/>
      <c r="BT6" s="9"/>
      <c r="BU6" s="9"/>
      <c r="BV6" s="9"/>
      <c r="BW6" s="9"/>
      <c r="BX6" s="9"/>
      <c r="BY6" s="9"/>
      <c r="BZ6" s="9"/>
      <c r="CA6" s="9"/>
      <c r="CB6" s="9"/>
      <c r="CC6" s="9"/>
      <c r="CD6" s="9"/>
      <c r="CE6" s="9"/>
      <c r="CF6" s="9"/>
      <c r="CG6" s="9"/>
      <c r="CH6" s="9"/>
      <c r="CI6" s="9"/>
      <c r="CJ6" s="9"/>
      <c r="CK6" s="9"/>
    </row>
    <row r="7" spans="1:89" ht="12.95" customHeight="1" x14ac:dyDescent="0.2">
      <c r="B7" s="2"/>
      <c r="C7" s="85" t="str">
        <f>VLOOKUP(1,Textbausteine_403[],Hilfsgrössen!$D$2,FALSE)</f>
        <v>Gestion de la santé</v>
      </c>
      <c r="D7" s="4"/>
    </row>
    <row r="8" spans="1:89" ht="12.95" customHeight="1" x14ac:dyDescent="0.2">
      <c r="B8" s="2"/>
    </row>
    <row r="9" spans="1:89" ht="12.95" customHeight="1" x14ac:dyDescent="0.2">
      <c r="B9" s="2"/>
    </row>
    <row r="10" spans="1:89" s="6" customFormat="1" ht="12.95" customHeight="1" x14ac:dyDescent="0.2">
      <c r="A10" s="39" t="s">
        <v>27</v>
      </c>
      <c r="B10" s="401" t="str">
        <f>$C$7</f>
        <v>Gestion de la santé</v>
      </c>
      <c r="C10" s="401"/>
      <c r="D10" s="6" t="str">
        <f>VLOOKUP(32,Textbausteine_Menu[],Hilfsgrössen!$D$2,FALSE)</f>
        <v>Unité</v>
      </c>
      <c r="E10" s="28" t="str">
        <f>VLOOKUP(33,Textbausteine_Menu[],Hilfsgrössen!$D$2,FALSE)</f>
        <v>Notes</v>
      </c>
      <c r="F10" s="28" t="str">
        <f>VLOOKUP(34,Textbausteine_Menu[],Hilfsgrössen!$D$2,FALSE)</f>
        <v>GRI</v>
      </c>
      <c r="G10" s="34"/>
      <c r="H10" s="72">
        <v>2004</v>
      </c>
      <c r="I10" s="72">
        <v>2005</v>
      </c>
      <c r="J10" s="72">
        <v>2006</v>
      </c>
      <c r="K10" s="72">
        <v>2007</v>
      </c>
      <c r="L10" s="72">
        <v>2008</v>
      </c>
      <c r="M10" s="72">
        <v>2009</v>
      </c>
      <c r="N10" s="7">
        <v>2010</v>
      </c>
      <c r="O10" s="7">
        <v>2011</v>
      </c>
      <c r="P10" s="7">
        <v>2012</v>
      </c>
      <c r="Q10" s="7">
        <v>2013</v>
      </c>
      <c r="R10" s="7">
        <v>2014</v>
      </c>
      <c r="S10" s="7">
        <v>2015</v>
      </c>
      <c r="T10" s="7">
        <v>2016</v>
      </c>
      <c r="U10" s="7">
        <v>2017</v>
      </c>
      <c r="V10" s="7">
        <v>2018</v>
      </c>
      <c r="W10" s="7">
        <v>2019</v>
      </c>
      <c r="X10" s="7">
        <v>2020</v>
      </c>
      <c r="Y10" s="7">
        <v>2021</v>
      </c>
      <c r="Z10" s="7">
        <v>2022</v>
      </c>
      <c r="AA10" s="7"/>
      <c r="AB10" s="7"/>
      <c r="AC10" s="7"/>
      <c r="AD10" s="7"/>
      <c r="AE10" s="7"/>
      <c r="AF10" s="28"/>
      <c r="AG10" s="28"/>
      <c r="AH10" s="28"/>
      <c r="AI10" s="28"/>
      <c r="AJ10" s="28"/>
      <c r="AK10" s="28"/>
      <c r="AL10" s="28"/>
      <c r="AM10" s="28"/>
      <c r="AN10" s="28"/>
      <c r="AO10" s="28"/>
      <c r="AP10" s="28"/>
      <c r="AQ10" s="28"/>
      <c r="AR10" s="28"/>
      <c r="AS10" s="28"/>
      <c r="AT10" s="28"/>
      <c r="AU10" s="28"/>
      <c r="AV10" s="28"/>
      <c r="AW10" s="28"/>
      <c r="AX10" s="28"/>
      <c r="AY10" s="28"/>
      <c r="AZ10" s="28"/>
      <c r="BA10" s="28"/>
      <c r="BB10" s="28"/>
      <c r="BC10" s="28"/>
      <c r="BD10" s="28"/>
      <c r="BE10" s="28"/>
      <c r="BF10" s="28"/>
      <c r="BG10" s="28"/>
      <c r="BH10" s="28"/>
      <c r="BI10" s="28"/>
      <c r="BJ10" s="28"/>
      <c r="BK10" s="28"/>
      <c r="BL10" s="28"/>
      <c r="BM10" s="28"/>
      <c r="BN10" s="28"/>
      <c r="BO10" s="28"/>
      <c r="BP10" s="28"/>
      <c r="BQ10" s="28"/>
      <c r="BR10" s="28"/>
      <c r="BS10" s="28"/>
      <c r="BT10" s="28"/>
      <c r="BU10" s="28"/>
      <c r="BV10" s="28"/>
      <c r="BW10" s="28"/>
      <c r="BX10" s="28"/>
      <c r="BY10" s="28"/>
      <c r="BZ10" s="28"/>
      <c r="CA10" s="28"/>
      <c r="CB10" s="28"/>
      <c r="CC10" s="28"/>
      <c r="CD10" s="28"/>
      <c r="CE10" s="28"/>
      <c r="CF10" s="28"/>
      <c r="CG10" s="28"/>
      <c r="CH10" s="28"/>
      <c r="CI10" s="28"/>
      <c r="CJ10" s="28"/>
      <c r="CK10" s="28"/>
    </row>
    <row r="11" spans="1:89" s="6" customFormat="1" ht="12.95" customHeight="1" x14ac:dyDescent="0.2">
      <c r="A11" s="65"/>
      <c r="B11" s="401"/>
      <c r="C11" s="401"/>
      <c r="E11" s="28"/>
      <c r="F11" s="28"/>
      <c r="G11" s="34"/>
      <c r="H11" s="73"/>
      <c r="I11" s="73"/>
      <c r="J11" s="73"/>
      <c r="K11" s="73"/>
      <c r="L11" s="73"/>
      <c r="M11" s="73"/>
      <c r="N11" s="73"/>
      <c r="O11" s="73"/>
      <c r="P11" s="73"/>
      <c r="Q11" s="73"/>
      <c r="R11" s="73"/>
      <c r="S11" s="73"/>
      <c r="T11" s="75"/>
      <c r="U11" s="75"/>
      <c r="V11" s="75"/>
      <c r="W11" s="75"/>
      <c r="X11" s="75"/>
      <c r="Y11" s="75"/>
      <c r="Z11" s="75"/>
      <c r="AA11" s="75"/>
      <c r="AB11" s="75"/>
      <c r="AC11" s="75"/>
      <c r="AD11" s="75"/>
      <c r="AE11" s="75"/>
      <c r="AF11" s="73"/>
      <c r="AG11" s="73"/>
      <c r="AH11" s="73"/>
      <c r="AI11" s="73"/>
      <c r="AJ11" s="73"/>
      <c r="AK11" s="73"/>
      <c r="AL11" s="73"/>
      <c r="AM11" s="73"/>
      <c r="AN11" s="73"/>
      <c r="AO11" s="73"/>
      <c r="AP11" s="73"/>
      <c r="AQ11" s="73"/>
      <c r="AR11" s="73"/>
      <c r="AS11" s="73"/>
      <c r="AT11" s="73"/>
      <c r="AU11" s="73"/>
      <c r="AV11" s="73"/>
      <c r="AW11" s="73"/>
      <c r="AX11" s="73"/>
      <c r="AY11" s="73"/>
      <c r="AZ11" s="73"/>
      <c r="BA11" s="73"/>
      <c r="BB11" s="73"/>
      <c r="BC11" s="73"/>
      <c r="BD11" s="73"/>
      <c r="BE11" s="73"/>
      <c r="BF11" s="73"/>
      <c r="BG11" s="73"/>
      <c r="BH11" s="73"/>
      <c r="BI11" s="73"/>
      <c r="BJ11" s="73"/>
      <c r="BK11" s="73"/>
      <c r="BL11" s="73"/>
      <c r="BM11" s="73"/>
      <c r="BN11" s="73"/>
      <c r="BO11" s="73"/>
      <c r="BP11" s="73"/>
      <c r="BQ11" s="73"/>
      <c r="BR11" s="73"/>
      <c r="BS11" s="73"/>
      <c r="BT11" s="73"/>
      <c r="BU11" s="73"/>
      <c r="BV11" s="73"/>
      <c r="BW11" s="73"/>
      <c r="BX11" s="73"/>
      <c r="BY11" s="73"/>
      <c r="BZ11" s="73"/>
      <c r="CA11" s="73"/>
      <c r="CB11" s="73"/>
      <c r="CC11" s="73"/>
      <c r="CD11" s="73"/>
      <c r="CE11" s="73"/>
      <c r="CF11" s="73"/>
      <c r="CG11" s="73"/>
      <c r="CH11" s="73"/>
      <c r="CI11" s="73"/>
      <c r="CJ11" s="73"/>
      <c r="CK11" s="73"/>
    </row>
    <row r="12" spans="1:89" ht="12.95" customHeight="1" x14ac:dyDescent="0.2">
      <c r="B12" s="2"/>
      <c r="E12" s="28"/>
      <c r="F12" s="28"/>
      <c r="G12" s="33"/>
      <c r="AA12" s="11"/>
      <c r="AB12" s="11"/>
      <c r="AC12" s="11"/>
      <c r="AD12" s="11"/>
      <c r="AE12" s="11"/>
    </row>
    <row r="13" spans="1:89" ht="12.95" customHeight="1" x14ac:dyDescent="0.2">
      <c r="B13" s="2" t="str">
        <f>VLOOKUP(37,Textbausteine_Menu[],Hilfsgrössen!$D$2,FALSE)</f>
        <v>Groupe Suisse</v>
      </c>
      <c r="C13" s="2"/>
      <c r="E13" s="10"/>
      <c r="G13" s="33"/>
    </row>
    <row r="14" spans="1:89" ht="12.95" customHeight="1" x14ac:dyDescent="0.2">
      <c r="C14" s="2" t="str">
        <f>VLOOKUP(31,Textbausteine_403[],Hilfsgrössen!$D$2,FALSE)</f>
        <v>Accidents</v>
      </c>
      <c r="H14" s="268"/>
      <c r="I14" s="268"/>
      <c r="J14" s="268"/>
      <c r="K14" s="268"/>
      <c r="L14" s="268"/>
      <c r="M14" s="268"/>
      <c r="N14" s="11"/>
      <c r="O14" s="11"/>
      <c r="R14" s="79"/>
      <c r="S14" s="79"/>
      <c r="AA14" s="15"/>
      <c r="AB14" s="15"/>
      <c r="AC14" s="15"/>
      <c r="AD14" s="15"/>
      <c r="AE14" s="15"/>
    </row>
    <row r="15" spans="1:89" ht="12.95" customHeight="1" x14ac:dyDescent="0.2">
      <c r="C15" s="17" t="str">
        <f>VLOOKUP(32,Textbausteine_403[],Hilfsgrössen!$D$2,FALSE)</f>
        <v>Accidents professionnels</v>
      </c>
      <c r="D15" s="1" t="str">
        <f>VLOOKUP(11,Textbausteine_403[],Hilfsgrössen!$D$2,FALSE)</f>
        <v>Nombre pour 100 unités de personnel</v>
      </c>
      <c r="E15" s="9" t="s">
        <v>69</v>
      </c>
      <c r="F15" s="9" t="s">
        <v>139</v>
      </c>
      <c r="H15" s="220">
        <v>6.4</v>
      </c>
      <c r="I15" s="220">
        <v>6.12</v>
      </c>
      <c r="J15" s="220">
        <v>5.93</v>
      </c>
      <c r="K15" s="220">
        <v>5.48</v>
      </c>
      <c r="L15" s="221">
        <v>6.28</v>
      </c>
      <c r="M15" s="221">
        <v>6.49</v>
      </c>
      <c r="N15" s="187">
        <v>7.49</v>
      </c>
      <c r="O15" s="187">
        <v>6.92</v>
      </c>
      <c r="P15" s="185">
        <v>7.23</v>
      </c>
      <c r="Q15" s="185">
        <v>6.61</v>
      </c>
      <c r="R15" s="222">
        <v>5.92</v>
      </c>
      <c r="S15" s="222">
        <v>6.06</v>
      </c>
      <c r="T15" s="187">
        <v>5.91</v>
      </c>
      <c r="U15" s="187">
        <v>6.4690065933095084</v>
      </c>
      <c r="V15" s="187">
        <v>6.03</v>
      </c>
      <c r="W15" s="187">
        <v>6.4</v>
      </c>
      <c r="X15" s="187">
        <v>6.1336121898858202</v>
      </c>
      <c r="Y15" s="9">
        <v>7.3714120764449396</v>
      </c>
      <c r="Z15" s="9">
        <v>7</v>
      </c>
      <c r="AA15" s="15"/>
      <c r="AB15" s="15"/>
      <c r="AC15" s="15"/>
      <c r="AD15" s="15"/>
      <c r="AE15" s="15"/>
    </row>
    <row r="16" spans="1:89" ht="12.95" customHeight="1" x14ac:dyDescent="0.2">
      <c r="C16" s="26" t="str">
        <f>VLOOKUP(33,Textbausteine_403[],Hilfsgrössen!$D$2,FALSE)</f>
        <v>Accidents professionnels Services logistiques</v>
      </c>
      <c r="D16" s="1" t="str">
        <f>VLOOKUP(11,Textbausteine_403[],Hilfsgrössen!$D$2,FALSE)</f>
        <v>Nombre pour 100 unités de personnel</v>
      </c>
      <c r="E16" s="9">
        <v>9</v>
      </c>
      <c r="F16" s="9" t="s">
        <v>139</v>
      </c>
      <c r="H16" s="101" t="s">
        <v>29</v>
      </c>
      <c r="I16" s="101" t="s">
        <v>29</v>
      </c>
      <c r="J16" s="101" t="s">
        <v>29</v>
      </c>
      <c r="K16" s="101" t="s">
        <v>29</v>
      </c>
      <c r="L16" s="101" t="s">
        <v>29</v>
      </c>
      <c r="M16" s="101" t="s">
        <v>29</v>
      </c>
      <c r="N16" s="101" t="s">
        <v>29</v>
      </c>
      <c r="O16" s="101" t="s">
        <v>29</v>
      </c>
      <c r="P16" s="101" t="s">
        <v>29</v>
      </c>
      <c r="Q16" s="101" t="s">
        <v>29</v>
      </c>
      <c r="R16" s="101" t="s">
        <v>29</v>
      </c>
      <c r="S16" s="101" t="s">
        <v>29</v>
      </c>
      <c r="T16" s="101" t="s">
        <v>29</v>
      </c>
      <c r="U16" s="101" t="s">
        <v>29</v>
      </c>
      <c r="V16" s="101" t="s">
        <v>29</v>
      </c>
      <c r="W16" s="101" t="s">
        <v>29</v>
      </c>
      <c r="X16" s="101" t="s">
        <v>29</v>
      </c>
      <c r="Y16" s="9">
        <v>11.0157827334427</v>
      </c>
      <c r="Z16" s="9">
        <v>10.23</v>
      </c>
      <c r="AA16" s="12"/>
      <c r="AB16" s="12"/>
      <c r="AC16" s="12"/>
      <c r="AD16" s="12"/>
    </row>
    <row r="17" spans="3:31" ht="12.95" customHeight="1" x14ac:dyDescent="0.2">
      <c r="C17" s="26" t="str">
        <f>VLOOKUP(34,Textbausteine_403[],Hilfsgrössen!$D$2,FALSE)</f>
        <v>Accidents professionnels Services de communication</v>
      </c>
      <c r="D17" s="1" t="str">
        <f>VLOOKUP(11,Textbausteine_403[],Hilfsgrössen!$D$2,FALSE)</f>
        <v>Nombre pour 100 unités de personnel</v>
      </c>
      <c r="E17" s="9">
        <v>9</v>
      </c>
      <c r="F17" s="9" t="s">
        <v>139</v>
      </c>
      <c r="H17" s="101" t="s">
        <v>29</v>
      </c>
      <c r="I17" s="101" t="s">
        <v>29</v>
      </c>
      <c r="J17" s="101" t="s">
        <v>29</v>
      </c>
      <c r="K17" s="101" t="s">
        <v>29</v>
      </c>
      <c r="L17" s="101" t="s">
        <v>29</v>
      </c>
      <c r="M17" s="101" t="s">
        <v>29</v>
      </c>
      <c r="N17" s="101" t="s">
        <v>29</v>
      </c>
      <c r="O17" s="101" t="s">
        <v>29</v>
      </c>
      <c r="P17" s="101" t="s">
        <v>29</v>
      </c>
      <c r="Q17" s="101" t="s">
        <v>29</v>
      </c>
      <c r="R17" s="101" t="s">
        <v>29</v>
      </c>
      <c r="S17" s="101" t="s">
        <v>29</v>
      </c>
      <c r="T17" s="101" t="s">
        <v>29</v>
      </c>
      <c r="U17" s="101" t="s">
        <v>29</v>
      </c>
      <c r="V17" s="101" t="s">
        <v>29</v>
      </c>
      <c r="W17" s="101" t="s">
        <v>29</v>
      </c>
      <c r="X17" s="101" t="s">
        <v>29</v>
      </c>
      <c r="Y17" s="9">
        <v>1.0225306098798601</v>
      </c>
      <c r="Z17" s="9">
        <v>1.1100000000000001</v>
      </c>
      <c r="AA17" s="15"/>
      <c r="AB17" s="15"/>
      <c r="AC17" s="15"/>
      <c r="AD17" s="15"/>
      <c r="AE17" s="15"/>
    </row>
    <row r="18" spans="3:31" ht="12.95" customHeight="1" x14ac:dyDescent="0.2">
      <c r="C18" s="26" t="str">
        <f>VLOOKUP(35,Textbausteine_403[],Hilfsgrössen!$D$2,FALSE)</f>
        <v>Accidents professionnels RéseauPostal</v>
      </c>
      <c r="D18" s="1" t="str">
        <f>VLOOKUP(11,Textbausteine_403[],Hilfsgrössen!$D$2,FALSE)</f>
        <v>Nombre pour 100 unités de personnel</v>
      </c>
      <c r="E18" s="9" t="s">
        <v>70</v>
      </c>
      <c r="F18" s="9" t="s">
        <v>139</v>
      </c>
      <c r="H18" s="220">
        <v>5.2</v>
      </c>
      <c r="I18" s="220">
        <v>5.04</v>
      </c>
      <c r="J18" s="220">
        <v>5.09</v>
      </c>
      <c r="K18" s="220">
        <v>4.5999999999999996</v>
      </c>
      <c r="L18" s="221">
        <v>2.57</v>
      </c>
      <c r="M18" s="221">
        <v>2.38</v>
      </c>
      <c r="N18" s="187">
        <v>2.15</v>
      </c>
      <c r="O18" s="187">
        <v>2.77</v>
      </c>
      <c r="P18" s="224">
        <v>2.19</v>
      </c>
      <c r="Q18" s="185">
        <v>2.0299999999999998</v>
      </c>
      <c r="R18" s="222">
        <v>2.17</v>
      </c>
      <c r="S18" s="222">
        <v>2.35</v>
      </c>
      <c r="T18" s="187">
        <v>2.4300000000000002</v>
      </c>
      <c r="U18" s="187">
        <v>2.5757038850614218</v>
      </c>
      <c r="V18" s="187">
        <v>2.48</v>
      </c>
      <c r="W18" s="187">
        <v>2.23</v>
      </c>
      <c r="X18" s="187">
        <v>2.2244388485460802</v>
      </c>
      <c r="Y18" s="9">
        <v>3.39143017893119</v>
      </c>
      <c r="Z18" s="9">
        <v>2.88</v>
      </c>
      <c r="AA18" s="15"/>
      <c r="AB18" s="15"/>
      <c r="AC18" s="15"/>
      <c r="AD18" s="15"/>
    </row>
    <row r="19" spans="3:31" ht="12.95" customHeight="1" x14ac:dyDescent="0.2">
      <c r="C19" s="26" t="str">
        <f>VLOOKUP(36,Textbausteine_403[],Hilfsgrössen!$D$2,FALSE)</f>
        <v>Accidents professionnels PostFinance</v>
      </c>
      <c r="D19" s="1" t="str">
        <f>VLOOKUP(11,Textbausteine_403[],Hilfsgrössen!$D$2,FALSE)</f>
        <v>Nombre pour 100 unités de personnel</v>
      </c>
      <c r="E19" s="9" t="s">
        <v>70</v>
      </c>
      <c r="F19" s="9" t="s">
        <v>139</v>
      </c>
      <c r="H19" s="220">
        <v>1.29</v>
      </c>
      <c r="I19" s="220">
        <v>1.38</v>
      </c>
      <c r="J19" s="220">
        <v>0.83</v>
      </c>
      <c r="K19" s="220">
        <v>0.7</v>
      </c>
      <c r="L19" s="221">
        <v>0.87</v>
      </c>
      <c r="M19" s="221">
        <v>0.85</v>
      </c>
      <c r="N19" s="187">
        <v>0.77</v>
      </c>
      <c r="O19" s="187">
        <v>0.88</v>
      </c>
      <c r="P19" s="185">
        <v>0.92</v>
      </c>
      <c r="Q19" s="185">
        <v>0.64</v>
      </c>
      <c r="R19" s="222">
        <v>0.43</v>
      </c>
      <c r="S19" s="222">
        <v>1.0900000000000001</v>
      </c>
      <c r="T19" s="185">
        <v>0.83</v>
      </c>
      <c r="U19" s="185">
        <v>0.80588269422798275</v>
      </c>
      <c r="V19" s="185">
        <v>0.6</v>
      </c>
      <c r="W19" s="185">
        <v>0.49</v>
      </c>
      <c r="X19" s="185">
        <v>0.55215350603672497</v>
      </c>
      <c r="Y19" s="9">
        <v>0.77233999219988103</v>
      </c>
      <c r="Z19" s="9">
        <v>0.46</v>
      </c>
      <c r="AA19" s="15"/>
      <c r="AB19" s="15"/>
      <c r="AC19" s="15"/>
      <c r="AD19" s="15"/>
      <c r="AE19" s="15"/>
    </row>
    <row r="20" spans="3:31" ht="12.95" customHeight="1" x14ac:dyDescent="0.2">
      <c r="C20" s="26" t="str">
        <f>VLOOKUP(37,Textbausteine_403[],Hilfsgrössen!$D$2,FALSE)</f>
        <v>Accidents professionnels Services de mobilité</v>
      </c>
      <c r="D20" s="1" t="str">
        <f>VLOOKUP(11,Textbausteine_403[],Hilfsgrössen!$D$2,FALSE)</f>
        <v>Nombre pour 100 unités de personnel</v>
      </c>
      <c r="E20" s="9">
        <v>9</v>
      </c>
      <c r="F20" s="9" t="s">
        <v>139</v>
      </c>
      <c r="H20" s="101" t="s">
        <v>29</v>
      </c>
      <c r="I20" s="101" t="s">
        <v>29</v>
      </c>
      <c r="J20" s="101" t="s">
        <v>29</v>
      </c>
      <c r="K20" s="101" t="s">
        <v>29</v>
      </c>
      <c r="L20" s="101" t="s">
        <v>29</v>
      </c>
      <c r="M20" s="101" t="s">
        <v>29</v>
      </c>
      <c r="N20" s="101" t="s">
        <v>29</v>
      </c>
      <c r="O20" s="101" t="s">
        <v>29</v>
      </c>
      <c r="P20" s="101" t="s">
        <v>29</v>
      </c>
      <c r="Q20" s="101" t="s">
        <v>29</v>
      </c>
      <c r="R20" s="101" t="s">
        <v>29</v>
      </c>
      <c r="S20" s="101" t="s">
        <v>29</v>
      </c>
      <c r="T20" s="101" t="s">
        <v>29</v>
      </c>
      <c r="U20" s="101" t="s">
        <v>29</v>
      </c>
      <c r="V20" s="101" t="s">
        <v>29</v>
      </c>
      <c r="W20" s="101" t="s">
        <v>29</v>
      </c>
      <c r="X20" s="101" t="s">
        <v>29</v>
      </c>
      <c r="Y20" s="9">
        <v>3.0649325355973498</v>
      </c>
      <c r="Z20" s="9">
        <v>4.04</v>
      </c>
      <c r="AE20" s="15"/>
    </row>
    <row r="21" spans="3:31" ht="12.95" customHeight="1" x14ac:dyDescent="0.2">
      <c r="C21" s="26" t="str">
        <f>VLOOKUP(38,Textbausteine_403[],Hilfsgrössen!$D$2,FALSE)</f>
        <v>Accidents professionnels Swiss Post International</v>
      </c>
      <c r="D21" s="1" t="str">
        <f>VLOOKUP(11,Textbausteine_403[],Hilfsgrössen!$D$2,FALSE)</f>
        <v>Nombre pour 100 unités de personnel</v>
      </c>
      <c r="E21" s="9" t="s">
        <v>113</v>
      </c>
      <c r="F21" s="9" t="s">
        <v>139</v>
      </c>
      <c r="H21" s="220">
        <v>4.33</v>
      </c>
      <c r="I21" s="220">
        <v>4.16</v>
      </c>
      <c r="J21" s="220">
        <v>3.63</v>
      </c>
      <c r="K21" s="220">
        <v>4.67</v>
      </c>
      <c r="L21" s="225">
        <v>5.19</v>
      </c>
      <c r="M21" s="225">
        <v>6.8</v>
      </c>
      <c r="N21" s="185">
        <v>6.12</v>
      </c>
      <c r="O21" s="185">
        <v>4.45</v>
      </c>
      <c r="P21" s="185" t="s">
        <v>29</v>
      </c>
      <c r="Q21" s="185" t="s">
        <v>29</v>
      </c>
      <c r="R21" s="185" t="s">
        <v>29</v>
      </c>
      <c r="S21" s="185" t="s">
        <v>29</v>
      </c>
      <c r="T21" s="185" t="s">
        <v>29</v>
      </c>
      <c r="U21" s="185" t="s">
        <v>29</v>
      </c>
      <c r="V21" s="185" t="s">
        <v>29</v>
      </c>
      <c r="W21" s="185" t="s">
        <v>29</v>
      </c>
      <c r="X21" s="185" t="s">
        <v>29</v>
      </c>
      <c r="Y21" s="9" t="s">
        <v>29</v>
      </c>
      <c r="Z21" s="9" t="s">
        <v>29</v>
      </c>
    </row>
    <row r="22" spans="3:31" ht="12.95" customHeight="1" x14ac:dyDescent="0.2">
      <c r="C22" s="26" t="str">
        <f>VLOOKUP(39,Textbausteine_403[],Hilfsgrössen!$D$2,FALSE)</f>
        <v>Accidents professionnels Swiss Post Solutions</v>
      </c>
      <c r="D22" s="1" t="str">
        <f>VLOOKUP(11,Textbausteine_403[],Hilfsgrössen!$D$2,FALSE)</f>
        <v>Nombre pour 100 unités de personnel</v>
      </c>
      <c r="E22" s="9" t="s">
        <v>140</v>
      </c>
      <c r="F22" s="9" t="s">
        <v>139</v>
      </c>
      <c r="H22" s="225" t="s">
        <v>29</v>
      </c>
      <c r="I22" s="225" t="s">
        <v>29</v>
      </c>
      <c r="J22" s="225" t="s">
        <v>29</v>
      </c>
      <c r="K22" s="225" t="s">
        <v>29</v>
      </c>
      <c r="L22" s="225">
        <v>2.0699999999999998</v>
      </c>
      <c r="M22" s="225">
        <v>3.2</v>
      </c>
      <c r="N22" s="185">
        <v>3.37</v>
      </c>
      <c r="O22" s="185">
        <v>2.31</v>
      </c>
      <c r="P22" s="185">
        <v>2.06</v>
      </c>
      <c r="Q22" s="185">
        <v>3.03</v>
      </c>
      <c r="R22" s="185">
        <v>2.15</v>
      </c>
      <c r="S22" s="185">
        <v>2.4500000000000002</v>
      </c>
      <c r="T22" s="185">
        <v>2.4700000000000002</v>
      </c>
      <c r="U22" s="185">
        <v>2.8916925967326179</v>
      </c>
      <c r="V22" s="185">
        <v>2.1800000000000002</v>
      </c>
      <c r="W22" s="185">
        <v>1.96</v>
      </c>
      <c r="X22" s="185">
        <v>3.2544547519053202</v>
      </c>
      <c r="Y22" s="9">
        <v>1.62064266584914</v>
      </c>
      <c r="Z22" s="9" t="s">
        <v>29</v>
      </c>
    </row>
    <row r="23" spans="3:31" ht="12.95" customHeight="1" x14ac:dyDescent="0.2">
      <c r="C23" s="26" t="str">
        <f>VLOOKUP(40,Textbausteine_403[],Hilfsgrössen!$D$2,FALSE)</f>
        <v>Accidents professionnels mortels</v>
      </c>
      <c r="D23" s="16" t="str">
        <f>VLOOKUP(12,Textbausteine_403[],Hilfsgrössen!$D$2,FALSE)</f>
        <v>Nombre</v>
      </c>
      <c r="E23" s="9">
        <v>2</v>
      </c>
      <c r="F23" s="9" t="s">
        <v>139</v>
      </c>
      <c r="H23" s="101" t="s">
        <v>29</v>
      </c>
      <c r="I23" s="223" t="s">
        <v>29</v>
      </c>
      <c r="J23" s="223" t="s">
        <v>29</v>
      </c>
      <c r="K23" s="132">
        <v>0</v>
      </c>
      <c r="L23" s="133">
        <v>0</v>
      </c>
      <c r="M23" s="133">
        <v>0</v>
      </c>
      <c r="N23" s="15">
        <v>1</v>
      </c>
      <c r="O23" s="15">
        <v>1</v>
      </c>
      <c r="P23" s="15">
        <v>0</v>
      </c>
      <c r="Q23" s="15">
        <v>0</v>
      </c>
      <c r="R23" s="15">
        <v>0</v>
      </c>
      <c r="S23" s="15">
        <v>0</v>
      </c>
      <c r="T23" s="15">
        <v>0</v>
      </c>
      <c r="U23" s="15">
        <v>1</v>
      </c>
      <c r="V23" s="15">
        <v>0</v>
      </c>
      <c r="W23" s="15">
        <v>0</v>
      </c>
      <c r="X23" s="15">
        <v>2</v>
      </c>
      <c r="Y23" s="9">
        <v>0</v>
      </c>
      <c r="Z23" s="9">
        <v>3</v>
      </c>
    </row>
    <row r="24" spans="3:31" ht="12.95" customHeight="1" x14ac:dyDescent="0.2">
      <c r="C24" s="17" t="str">
        <f>VLOOKUP(41,Textbausteine_403[],Hilfsgrössen!$D$2,FALSE)</f>
        <v xml:space="preserve">Accidents non professionnels   </v>
      </c>
      <c r="D24" s="1" t="str">
        <f>VLOOKUP(11,Textbausteine_403[],Hilfsgrössen!$D$2,FALSE)</f>
        <v>Nombre pour 100 unités de personnel</v>
      </c>
      <c r="E24" s="9" t="s">
        <v>69</v>
      </c>
      <c r="F24" s="9" t="s">
        <v>139</v>
      </c>
      <c r="H24" s="220">
        <v>16.25</v>
      </c>
      <c r="I24" s="220">
        <v>15.09</v>
      </c>
      <c r="J24" s="220">
        <v>15.97</v>
      </c>
      <c r="K24" s="220">
        <v>14.75</v>
      </c>
      <c r="L24" s="221">
        <v>15.61</v>
      </c>
      <c r="M24" s="221">
        <v>15.26</v>
      </c>
      <c r="N24" s="185">
        <v>16.239999999999998</v>
      </c>
      <c r="O24" s="185">
        <v>16.739999999999998</v>
      </c>
      <c r="P24" s="185">
        <v>16.010000000000002</v>
      </c>
      <c r="Q24" s="185">
        <v>15.74</v>
      </c>
      <c r="R24" s="185">
        <v>15.53</v>
      </c>
      <c r="S24" s="185">
        <v>15.99</v>
      </c>
      <c r="T24" s="185">
        <v>15.55</v>
      </c>
      <c r="U24" s="185">
        <v>16.126584462111929</v>
      </c>
      <c r="V24" s="185">
        <v>15.95</v>
      </c>
      <c r="W24" s="185">
        <v>15.41</v>
      </c>
      <c r="X24" s="185">
        <v>14.322108625573501</v>
      </c>
      <c r="Y24" s="185">
        <v>14.338615286412599</v>
      </c>
      <c r="Z24" s="185">
        <v>15.96</v>
      </c>
    </row>
    <row r="25" spans="3:31" ht="12.95" customHeight="1" x14ac:dyDescent="0.2">
      <c r="H25" s="49"/>
      <c r="I25" s="49"/>
      <c r="J25" s="49"/>
      <c r="K25" s="49"/>
      <c r="L25" s="49"/>
      <c r="M25" s="49"/>
      <c r="T25" s="9"/>
      <c r="U25" s="9"/>
      <c r="V25" s="9"/>
      <c r="W25" s="9"/>
      <c r="X25" s="9"/>
      <c r="Y25" s="9"/>
      <c r="Z25" s="9"/>
    </row>
    <row r="26" spans="3:31" ht="12.95" customHeight="1" x14ac:dyDescent="0.2">
      <c r="C26" s="2" t="str">
        <f>VLOOKUP(42,Textbausteine_403[],Hilfsgrössen!$D$2,FALSE)</f>
        <v>Coûts occasionnés par les accidents</v>
      </c>
      <c r="H26" s="49"/>
      <c r="I26" s="49"/>
      <c r="J26" s="49"/>
      <c r="K26" s="49"/>
      <c r="L26" s="49"/>
      <c r="M26" s="49"/>
      <c r="T26" s="9"/>
      <c r="U26" s="9"/>
      <c r="V26" s="9"/>
      <c r="W26" s="9"/>
      <c r="X26" s="9"/>
      <c r="Y26" s="9"/>
      <c r="Z26" s="9"/>
    </row>
    <row r="27" spans="3:31" ht="12.95" customHeight="1" x14ac:dyDescent="0.2">
      <c r="C27" s="13" t="str">
        <f>VLOOKUP(43,Textbausteine_403[],Hilfsgrössen!$D$2,FALSE)</f>
        <v>Accidents professionnels</v>
      </c>
      <c r="D27" s="1" t="str">
        <f>VLOOKUP(13,Textbausteine_403[],Hilfsgrössen!$D$2,FALSE)</f>
        <v>Millions de CHF</v>
      </c>
      <c r="E27" s="9" t="s">
        <v>141</v>
      </c>
      <c r="F27" s="9" t="s">
        <v>139</v>
      </c>
      <c r="H27" s="131">
        <v>47.375999999999998</v>
      </c>
      <c r="I27" s="131">
        <v>43.762161599999999</v>
      </c>
      <c r="J27" s="131">
        <v>41.414052599999991</v>
      </c>
      <c r="K27" s="102">
        <v>37.4</v>
      </c>
      <c r="L27" s="125">
        <v>42.8</v>
      </c>
      <c r="M27" s="99">
        <v>44.2</v>
      </c>
      <c r="N27" s="9">
        <v>51.1</v>
      </c>
      <c r="O27" s="9">
        <v>47</v>
      </c>
      <c r="P27" s="9">
        <v>49.4</v>
      </c>
      <c r="Q27" s="9">
        <v>45.47</v>
      </c>
      <c r="R27" s="9">
        <v>39.4</v>
      </c>
      <c r="S27" s="9">
        <v>38.340000000000003</v>
      </c>
      <c r="T27" s="9">
        <v>16.7</v>
      </c>
      <c r="U27" s="9">
        <v>17.8</v>
      </c>
      <c r="V27" s="9">
        <v>16.14</v>
      </c>
      <c r="W27" s="9">
        <v>16.600000000000001</v>
      </c>
      <c r="X27" s="9">
        <v>15.907044792718063</v>
      </c>
      <c r="Y27" s="9">
        <v>19.253181710621032</v>
      </c>
      <c r="Z27" s="9">
        <v>18.182713087634227</v>
      </c>
    </row>
    <row r="28" spans="3:31" ht="12.95" customHeight="1" x14ac:dyDescent="0.2">
      <c r="C28" s="13" t="str">
        <f>VLOOKUP(44,Textbausteine_403[],Hilfsgrössen!$D$2,FALSE)</f>
        <v>Accidents non professionnels</v>
      </c>
      <c r="D28" s="1" t="str">
        <f>VLOOKUP(13,Textbausteine_403[],Hilfsgrössen!$D$2,FALSE)</f>
        <v>Millions de CHF</v>
      </c>
      <c r="E28" s="9" t="s">
        <v>141</v>
      </c>
      <c r="F28" s="9" t="s">
        <v>139</v>
      </c>
      <c r="H28" s="131">
        <v>47.375999999999998</v>
      </c>
      <c r="I28" s="131">
        <v>43.762161599999999</v>
      </c>
      <c r="J28" s="131">
        <v>41.414052599999991</v>
      </c>
      <c r="K28" s="131">
        <v>37.4</v>
      </c>
      <c r="L28" s="125">
        <v>37.299999999999997</v>
      </c>
      <c r="M28" s="99">
        <v>36.4</v>
      </c>
      <c r="N28" s="9">
        <v>38.700000000000003</v>
      </c>
      <c r="O28" s="9">
        <v>39.6</v>
      </c>
      <c r="P28" s="9">
        <v>38.299999999999997</v>
      </c>
      <c r="Q28" s="9">
        <v>37.29</v>
      </c>
      <c r="R28" s="9">
        <v>36.200000000000003</v>
      </c>
      <c r="S28" s="9">
        <v>35.424900000000001</v>
      </c>
      <c r="T28" s="9">
        <v>40</v>
      </c>
      <c r="U28" s="9">
        <v>40.4</v>
      </c>
      <c r="V28" s="9">
        <v>38.869999999999997</v>
      </c>
      <c r="W28" s="9">
        <v>36.5</v>
      </c>
      <c r="X28" s="9">
        <v>33.809901068110229</v>
      </c>
      <c r="Y28" s="9">
        <v>34.089668534507432</v>
      </c>
      <c r="Z28" s="9">
        <v>37.756580047866102</v>
      </c>
    </row>
    <row r="29" spans="3:31" ht="12.95" customHeight="1" x14ac:dyDescent="0.2">
      <c r="C29" s="13" t="str">
        <f>VLOOKUP(45,Textbausteine_403[],Hilfsgrössen!$D$2,FALSE)</f>
        <v>Accidents professionnels et non professionnels</v>
      </c>
      <c r="D29" s="1" t="str">
        <f>VLOOKUP(13,Textbausteine_403[],Hilfsgrössen!$D$2,FALSE)</f>
        <v>Millions de CHF</v>
      </c>
      <c r="E29" s="9" t="s">
        <v>141</v>
      </c>
      <c r="F29" s="9" t="s">
        <v>139</v>
      </c>
      <c r="H29" s="131">
        <v>94.751999999999995</v>
      </c>
      <c r="I29" s="131">
        <v>87.524323199999998</v>
      </c>
      <c r="J29" s="131">
        <v>82.828105199999982</v>
      </c>
      <c r="K29" s="131">
        <v>74.8</v>
      </c>
      <c r="L29" s="125">
        <v>80.099999999999994</v>
      </c>
      <c r="M29" s="125">
        <v>80.599999999999994</v>
      </c>
      <c r="N29" s="9">
        <v>89.800000000000011</v>
      </c>
      <c r="O29" s="9">
        <v>86.6</v>
      </c>
      <c r="P29" s="9">
        <v>87.699999999999989</v>
      </c>
      <c r="Q29" s="9">
        <v>82.759999999999991</v>
      </c>
      <c r="R29" s="9">
        <v>75.599999999999994</v>
      </c>
      <c r="S29" s="9">
        <v>73.764900000000011</v>
      </c>
      <c r="T29" s="9">
        <v>56.7</v>
      </c>
      <c r="U29" s="9">
        <v>58.2</v>
      </c>
      <c r="V29" s="9">
        <v>55.01</v>
      </c>
      <c r="W29" s="9">
        <v>53.1</v>
      </c>
      <c r="X29" s="9">
        <v>49.716945860828289</v>
      </c>
      <c r="Y29" s="9">
        <v>53.34285024512846</v>
      </c>
      <c r="Z29" s="9">
        <v>55.939293135500328</v>
      </c>
    </row>
    <row r="30" spans="3:31" ht="12.95" customHeight="1" x14ac:dyDescent="0.2">
      <c r="F30" s="11"/>
      <c r="H30" s="49"/>
      <c r="I30" s="49"/>
      <c r="J30" s="49"/>
      <c r="K30" s="49"/>
      <c r="L30" s="49"/>
      <c r="M30" s="49"/>
      <c r="T30" s="9"/>
      <c r="U30" s="9"/>
      <c r="V30" s="9"/>
      <c r="W30" s="9"/>
      <c r="X30" s="9"/>
      <c r="Y30" s="9"/>
      <c r="Z30" s="9"/>
    </row>
    <row r="31" spans="3:31" ht="12.95" customHeight="1" x14ac:dyDescent="0.2">
      <c r="C31" s="2" t="str">
        <f>VLOOKUP(46,Textbausteine_403[],Hilfsgrössen!$D$2,FALSE)</f>
        <v>Absences par suite de maladie ou d'accident</v>
      </c>
      <c r="G31" s="267"/>
      <c r="H31" s="51"/>
      <c r="I31" s="51"/>
      <c r="J31" s="51"/>
      <c r="K31" s="51"/>
      <c r="L31" s="51"/>
      <c r="M31" s="51"/>
      <c r="T31" s="9"/>
      <c r="U31" s="9"/>
      <c r="V31" s="9"/>
      <c r="W31" s="9"/>
      <c r="X31" s="9"/>
      <c r="Y31" s="9"/>
      <c r="Z31" s="9"/>
    </row>
    <row r="32" spans="3:31" ht="12.95" customHeight="1" x14ac:dyDescent="0.2">
      <c r="C32" s="13" t="str">
        <f>VLOOKUP(47,Textbausteine_403[],Hilfsgrössen!$D$2,FALSE)</f>
        <v>Absences pour raisons médicales</v>
      </c>
      <c r="D32" s="1" t="str">
        <f>VLOOKUP(14,Textbausteine_403[],Hilfsgrössen!$D$2,FALSE)</f>
        <v>Jours d'absence par personne</v>
      </c>
      <c r="E32" s="9" t="s">
        <v>142</v>
      </c>
      <c r="F32" s="9" t="s">
        <v>139</v>
      </c>
      <c r="H32" s="129">
        <v>12.46</v>
      </c>
      <c r="I32" s="129">
        <v>11.9</v>
      </c>
      <c r="J32" s="129">
        <v>11.41</v>
      </c>
      <c r="K32" s="129">
        <v>10.95</v>
      </c>
      <c r="L32" s="130">
        <v>10.69</v>
      </c>
      <c r="M32" s="130">
        <v>10.36</v>
      </c>
      <c r="N32" s="226">
        <v>10.54</v>
      </c>
      <c r="O32" s="226">
        <v>10.83</v>
      </c>
      <c r="P32" s="226">
        <v>11.01</v>
      </c>
      <c r="Q32" s="226">
        <v>11.59</v>
      </c>
      <c r="R32" s="226">
        <v>11.82</v>
      </c>
      <c r="S32" s="226">
        <v>12.36</v>
      </c>
      <c r="T32" s="226">
        <v>12.53</v>
      </c>
      <c r="U32" s="226">
        <v>12.85</v>
      </c>
      <c r="V32" s="226">
        <v>13.18</v>
      </c>
      <c r="W32" s="226">
        <v>13.26</v>
      </c>
      <c r="X32" s="226">
        <v>13.3440856684387</v>
      </c>
      <c r="Y32" s="226">
        <v>13.9567228000711</v>
      </c>
      <c r="Z32" s="226">
        <v>15.8056343189835</v>
      </c>
    </row>
    <row r="33" spans="1:89" ht="12.95" customHeight="1" x14ac:dyDescent="0.2">
      <c r="C33" s="26" t="str">
        <f>VLOOKUP(48,Textbausteine_403[],Hilfsgrössen!$D$2,FALSE)</f>
        <v>Absences de courte durée</v>
      </c>
      <c r="D33" s="1" t="str">
        <f>VLOOKUP(14,Textbausteine_403[],Hilfsgrössen!$D$2,FALSE)</f>
        <v>Jours d'absence par personne</v>
      </c>
      <c r="E33" s="9" t="s">
        <v>142</v>
      </c>
      <c r="F33" s="9" t="s">
        <v>139</v>
      </c>
      <c r="H33" s="129">
        <v>1.27</v>
      </c>
      <c r="I33" s="129">
        <v>1.38</v>
      </c>
      <c r="J33" s="129">
        <v>1.34</v>
      </c>
      <c r="K33" s="129">
        <v>1.46</v>
      </c>
      <c r="L33" s="130">
        <v>1.54</v>
      </c>
      <c r="M33" s="130">
        <v>1.69</v>
      </c>
      <c r="N33" s="226">
        <v>1.54</v>
      </c>
      <c r="O33" s="226">
        <v>1.58</v>
      </c>
      <c r="P33" s="226">
        <v>1.58</v>
      </c>
      <c r="Q33" s="226">
        <v>1.7027223666216518</v>
      </c>
      <c r="R33" s="226">
        <v>1.56</v>
      </c>
      <c r="S33" s="226">
        <v>1.7</v>
      </c>
      <c r="T33" s="226">
        <v>1.7</v>
      </c>
      <c r="U33" s="226">
        <v>1.66</v>
      </c>
      <c r="V33" s="226">
        <v>1.74</v>
      </c>
      <c r="W33" s="226">
        <v>1.8</v>
      </c>
      <c r="X33" s="226">
        <v>1.4077147417077001</v>
      </c>
      <c r="Y33" s="9">
        <v>1.5238757273572701</v>
      </c>
      <c r="Z33" s="9">
        <v>2.3829223068208001</v>
      </c>
    </row>
    <row r="34" spans="1:89" ht="12.95" customHeight="1" x14ac:dyDescent="0.2">
      <c r="C34" s="26" t="str">
        <f>VLOOKUP(49,Textbausteine_403[],Hilfsgrössen!$D$2,FALSE)</f>
        <v>Maladie</v>
      </c>
      <c r="D34" s="1" t="str">
        <f>VLOOKUP(14,Textbausteine_403[],Hilfsgrössen!$D$2,FALSE)</f>
        <v>Jours d'absence par personne</v>
      </c>
      <c r="E34" s="9" t="s">
        <v>142</v>
      </c>
      <c r="F34" s="11" t="s">
        <v>139</v>
      </c>
      <c r="H34" s="129">
        <v>8.23</v>
      </c>
      <c r="I34" s="129">
        <v>7.71</v>
      </c>
      <c r="J34" s="129">
        <v>7.34</v>
      </c>
      <c r="K34" s="129">
        <v>7.03</v>
      </c>
      <c r="L34" s="130">
        <v>6.87</v>
      </c>
      <c r="M34" s="130">
        <v>6.31</v>
      </c>
      <c r="N34" s="226">
        <v>6.56</v>
      </c>
      <c r="O34" s="226">
        <v>6.87</v>
      </c>
      <c r="P34" s="226">
        <v>7.02</v>
      </c>
      <c r="Q34" s="226">
        <v>7.3864796161702015</v>
      </c>
      <c r="R34" s="226">
        <v>7.88</v>
      </c>
      <c r="S34" s="226">
        <v>8.1</v>
      </c>
      <c r="T34" s="226">
        <v>8.3699999999999992</v>
      </c>
      <c r="U34" s="226">
        <v>8.75</v>
      </c>
      <c r="V34" s="226">
        <v>8.9</v>
      </c>
      <c r="W34" s="226">
        <v>8.94</v>
      </c>
      <c r="X34" s="226">
        <v>9.3546874219152407</v>
      </c>
      <c r="Y34" s="9">
        <v>9.5806625075681495</v>
      </c>
      <c r="Z34" s="9">
        <v>10.470423024658199</v>
      </c>
    </row>
    <row r="35" spans="1:89" ht="12.95" customHeight="1" x14ac:dyDescent="0.2">
      <c r="C35" s="26" t="str">
        <f>VLOOKUP(50,Textbausteine_403[],Hilfsgrössen!$D$2,FALSE)</f>
        <v>Accidents professionnels</v>
      </c>
      <c r="D35" s="1" t="str">
        <f>VLOOKUP(14,Textbausteine_403[],Hilfsgrössen!$D$2,FALSE)</f>
        <v>Jours d'absence par personne</v>
      </c>
      <c r="E35" s="9" t="s">
        <v>142</v>
      </c>
      <c r="F35" s="11" t="s">
        <v>139</v>
      </c>
      <c r="G35" s="267"/>
      <c r="H35" s="129">
        <v>0.89</v>
      </c>
      <c r="I35" s="129">
        <v>0.85</v>
      </c>
      <c r="J35" s="129">
        <v>0.86</v>
      </c>
      <c r="K35" s="129">
        <v>0.69</v>
      </c>
      <c r="L35" s="130">
        <v>0.71</v>
      </c>
      <c r="M35" s="130">
        <v>0.78</v>
      </c>
      <c r="N35" s="226">
        <v>0.89</v>
      </c>
      <c r="O35" s="226">
        <v>0.8</v>
      </c>
      <c r="P35" s="226">
        <v>0.82</v>
      </c>
      <c r="Q35" s="226">
        <v>0.80571355007129164</v>
      </c>
      <c r="R35" s="226">
        <v>0.66</v>
      </c>
      <c r="S35" s="226">
        <v>0.8</v>
      </c>
      <c r="T35" s="226">
        <v>0.82</v>
      </c>
      <c r="U35" s="226">
        <v>0.84</v>
      </c>
      <c r="V35" s="226">
        <v>0.86</v>
      </c>
      <c r="W35" s="226">
        <v>0.85</v>
      </c>
      <c r="X35" s="226">
        <v>0.94783599418187003</v>
      </c>
      <c r="Y35" s="9">
        <v>1.13114469265019</v>
      </c>
      <c r="Z35" s="9">
        <v>1.0393141980860401</v>
      </c>
    </row>
    <row r="36" spans="1:89" ht="12.95" customHeight="1" x14ac:dyDescent="0.2">
      <c r="C36" s="26" t="str">
        <f>VLOOKUP(51,Textbausteine_403[],Hilfsgrössen!$D$2,FALSE)</f>
        <v>Accidents non professionnels</v>
      </c>
      <c r="D36" s="1" t="str">
        <f>VLOOKUP(14,Textbausteine_403[],Hilfsgrössen!$D$2,FALSE)</f>
        <v>Jours d'absence par personne</v>
      </c>
      <c r="E36" s="9" t="s">
        <v>142</v>
      </c>
      <c r="F36" s="9" t="s">
        <v>139</v>
      </c>
      <c r="G36" s="267"/>
      <c r="H36" s="129">
        <v>2.0699999999999998</v>
      </c>
      <c r="I36" s="129">
        <v>1.96</v>
      </c>
      <c r="J36" s="129">
        <v>1.87</v>
      </c>
      <c r="K36" s="102">
        <v>1.77</v>
      </c>
      <c r="L36" s="99">
        <v>1.57</v>
      </c>
      <c r="M36" s="99">
        <v>1.58</v>
      </c>
      <c r="N36" s="9">
        <v>1.55</v>
      </c>
      <c r="O36" s="9">
        <v>1.6</v>
      </c>
      <c r="P36" s="9">
        <v>1.6</v>
      </c>
      <c r="Q36" s="9">
        <v>1.6920094658812532</v>
      </c>
      <c r="R36" s="9">
        <v>1.71</v>
      </c>
      <c r="S36" s="9">
        <v>1.75</v>
      </c>
      <c r="T36" s="9">
        <v>1.65</v>
      </c>
      <c r="U36" s="9">
        <v>1.6</v>
      </c>
      <c r="V36" s="9">
        <v>1.68</v>
      </c>
      <c r="W36" s="9">
        <v>1.67</v>
      </c>
      <c r="X36" s="9">
        <v>1.6338475106338699</v>
      </c>
      <c r="Y36" s="9">
        <v>1.72103987249553</v>
      </c>
      <c r="Z36" s="9">
        <v>1.9129747894184801</v>
      </c>
    </row>
    <row r="37" spans="1:89" ht="12.95" customHeight="1" x14ac:dyDescent="0.2">
      <c r="C37" s="13" t="str">
        <f>VLOOKUP(52,Textbausteine_403[],Hilfsgrössen!$D$2,FALSE)</f>
        <v>Absences</v>
      </c>
      <c r="D37" s="1" t="str">
        <f>VLOOKUP(15,Textbausteine_403[],Hilfsgrössen!$D$2,FALSE)</f>
        <v>Jours par an</v>
      </c>
      <c r="E37" s="9" t="s">
        <v>142</v>
      </c>
      <c r="F37" s="9" t="s">
        <v>139</v>
      </c>
      <c r="H37" s="132">
        <v>480097</v>
      </c>
      <c r="I37" s="132">
        <v>439975</v>
      </c>
      <c r="J37" s="132">
        <v>411575</v>
      </c>
      <c r="K37" s="132">
        <v>380052</v>
      </c>
      <c r="L37" s="133">
        <v>373709</v>
      </c>
      <c r="M37" s="133">
        <v>361782</v>
      </c>
      <c r="N37" s="9">
        <v>365273</v>
      </c>
      <c r="O37" s="9">
        <v>376546</v>
      </c>
      <c r="P37" s="9">
        <v>379940</v>
      </c>
      <c r="Q37" s="9">
        <v>391090.99119047617</v>
      </c>
      <c r="R37" s="9">
        <v>394906</v>
      </c>
      <c r="S37" s="9">
        <v>409737</v>
      </c>
      <c r="T37" s="9">
        <v>417145</v>
      </c>
      <c r="U37" s="9">
        <v>416269</v>
      </c>
      <c r="V37" s="9">
        <v>415111</v>
      </c>
      <c r="W37" s="9">
        <v>412579</v>
      </c>
      <c r="X37" s="9">
        <v>414296.22857142898</v>
      </c>
      <c r="Y37" s="9">
        <v>436458.00595238101</v>
      </c>
      <c r="Z37" s="9">
        <v>486796.76988095202</v>
      </c>
    </row>
    <row r="38" spans="1:89" ht="12.95" customHeight="1" x14ac:dyDescent="0.2">
      <c r="C38" s="26" t="str">
        <f>VLOOKUP(53,Textbausteine_403[],Hilfsgrössen!$D$2,FALSE)</f>
        <v>Coûts salariaux occasionnés par les absences</v>
      </c>
      <c r="D38" s="1" t="str">
        <f>VLOOKUP(13,Textbausteine_403[],Hilfsgrössen!$D$2,FALSE)</f>
        <v>Millions de CHF</v>
      </c>
      <c r="E38" s="9" t="s">
        <v>142</v>
      </c>
      <c r="F38" s="11" t="s">
        <v>139</v>
      </c>
      <c r="H38" s="102">
        <v>129.69999999999999</v>
      </c>
      <c r="I38" s="102">
        <v>126.3</v>
      </c>
      <c r="J38" s="102">
        <v>121.4</v>
      </c>
      <c r="K38" s="131">
        <v>115</v>
      </c>
      <c r="L38" s="99">
        <v>118.5</v>
      </c>
      <c r="M38" s="99">
        <v>117.6</v>
      </c>
      <c r="N38" s="9">
        <v>121.3</v>
      </c>
      <c r="O38" s="9">
        <v>124.2</v>
      </c>
      <c r="P38" s="9">
        <v>127.3</v>
      </c>
      <c r="Q38" s="9">
        <v>132.27313689290401</v>
      </c>
      <c r="R38" s="9">
        <v>134</v>
      </c>
      <c r="S38" s="9">
        <v>139.30000000000001</v>
      </c>
      <c r="T38" s="9">
        <v>138.30000000000001</v>
      </c>
      <c r="U38" s="9">
        <v>139.4</v>
      </c>
      <c r="V38" s="9">
        <v>139.4</v>
      </c>
      <c r="W38" s="9">
        <v>138</v>
      </c>
      <c r="X38" s="9">
        <v>141</v>
      </c>
      <c r="Y38" s="9">
        <v>150</v>
      </c>
      <c r="Z38" s="9">
        <v>165</v>
      </c>
    </row>
    <row r="39" spans="1:89" ht="12.95" customHeight="1" x14ac:dyDescent="0.2">
      <c r="E39" s="11"/>
      <c r="F39" s="11"/>
      <c r="G39" s="267"/>
      <c r="H39" s="49"/>
      <c r="I39" s="49"/>
      <c r="J39" s="49"/>
      <c r="K39" s="49"/>
      <c r="L39" s="49"/>
      <c r="M39" s="49"/>
      <c r="T39" s="9"/>
      <c r="U39" s="9"/>
      <c r="V39" s="9"/>
      <c r="W39" s="9"/>
      <c r="X39" s="9"/>
      <c r="Y39" s="9"/>
      <c r="Z39" s="9"/>
    </row>
    <row r="40" spans="1:89" ht="12.95" customHeight="1" x14ac:dyDescent="0.2">
      <c r="C40" s="113" t="str">
        <f>VLOOKUP(54,Textbausteine_403[],Hilfsgrössen!$D$2,FALSE)</f>
        <v>Représentation au sein de la commission du personnel pour la surveillance de la protection de la santé / sécurité au travail</v>
      </c>
      <c r="E40" s="11"/>
      <c r="G40" s="267"/>
      <c r="H40" s="49"/>
      <c r="I40" s="49"/>
      <c r="J40" s="49"/>
      <c r="K40" s="49"/>
      <c r="L40" s="49"/>
      <c r="M40" s="49"/>
      <c r="T40" s="9"/>
      <c r="U40" s="9"/>
      <c r="V40" s="9"/>
      <c r="W40" s="9"/>
      <c r="X40" s="9"/>
      <c r="Y40" s="9"/>
      <c r="Z40" s="9"/>
    </row>
    <row r="41" spans="1:89" ht="12.95" customHeight="1" x14ac:dyDescent="0.2">
      <c r="C41" s="17" t="str">
        <f>VLOOKUP(55,Textbausteine_403[],Hilfsgrössen!$D$2,FALSE)</f>
        <v>Représentations au sein de la commission du personnel</v>
      </c>
      <c r="D41" s="16" t="str">
        <f>VLOOKUP(11,Textbausteine_403[],Hilfsgrössen!$D$2,FALSE)</f>
        <v>Nombre pour 100 unités de personnel</v>
      </c>
      <c r="E41" s="11" t="s">
        <v>143</v>
      </c>
      <c r="F41" s="9" t="s">
        <v>144</v>
      </c>
      <c r="H41" s="49" t="s">
        <v>29</v>
      </c>
      <c r="I41" s="49" t="s">
        <v>29</v>
      </c>
      <c r="J41" s="49" t="s">
        <v>29</v>
      </c>
      <c r="K41" s="49" t="s">
        <v>29</v>
      </c>
      <c r="L41" s="49" t="s">
        <v>29</v>
      </c>
      <c r="M41" s="49" t="s">
        <v>29</v>
      </c>
      <c r="N41" s="49" t="s">
        <v>29</v>
      </c>
      <c r="O41" s="49" t="s">
        <v>29</v>
      </c>
      <c r="P41" s="9">
        <v>0.23</v>
      </c>
      <c r="Q41" s="9">
        <v>0.24</v>
      </c>
      <c r="R41" s="9">
        <v>0.24</v>
      </c>
      <c r="S41" s="9">
        <v>0.24</v>
      </c>
      <c r="T41" s="9" t="s">
        <v>29</v>
      </c>
      <c r="U41" s="9" t="s">
        <v>29</v>
      </c>
      <c r="V41" s="9" t="s">
        <v>29</v>
      </c>
      <c r="W41" s="9" t="s">
        <v>29</v>
      </c>
      <c r="X41" s="9" t="s">
        <v>29</v>
      </c>
      <c r="Y41" s="9" t="s">
        <v>29</v>
      </c>
      <c r="Z41" s="9" t="s">
        <v>29</v>
      </c>
    </row>
    <row r="42" spans="1:89" ht="12.95" customHeight="1" x14ac:dyDescent="0.2">
      <c r="E42" s="11"/>
      <c r="H42" s="49"/>
      <c r="I42" s="49"/>
      <c r="J42" s="49"/>
      <c r="K42" s="49"/>
      <c r="L42" s="49"/>
      <c r="M42" s="49"/>
      <c r="T42" s="9"/>
      <c r="U42" s="9"/>
      <c r="V42" s="9"/>
      <c r="W42" s="9"/>
      <c r="X42" s="9"/>
      <c r="Y42" s="9"/>
      <c r="Z42" s="9"/>
    </row>
    <row r="43" spans="1:89" ht="12.95" customHeight="1" x14ac:dyDescent="0.25">
      <c r="B43" s="266" t="str">
        <f>VLOOKUP(131,Textbausteine_403[],Hilfsgrössen!$D$2,FALSE)</f>
        <v>1) Une unité de personnel correspond à un poste à plein temps.</v>
      </c>
      <c r="E43" s="11"/>
      <c r="H43" s="49"/>
      <c r="I43" s="49"/>
      <c r="J43" s="49"/>
      <c r="K43" s="49"/>
      <c r="L43" s="49"/>
      <c r="M43" s="49"/>
      <c r="T43" s="9"/>
      <c r="U43" s="9"/>
      <c r="V43" s="9"/>
      <c r="W43" s="9"/>
      <c r="X43" s="9"/>
      <c r="Y43" s="9"/>
      <c r="Z43" s="9"/>
    </row>
    <row r="44" spans="1:89" s="371" customFormat="1" ht="12.95" customHeight="1" x14ac:dyDescent="0.25">
      <c r="A44" s="376"/>
      <c r="B44" s="340" t="str">
        <f>VLOOKUP(132,Textbausteine_403[],Hilfsgrössen!$D$2,FALSE)</f>
        <v>2) Groupe Suisse: données du systèmes du personnel, actuellement sans données sur 1402 unités du personnel ou 5582 personnes des sociétés du groupe B-Sped Logistics (Suisse) SA, Epsilon SA, Direct Mail Company AG, PubliBike SA, Destinas AG, KLARA Business SA, Relatra AG, BPS Speditions-Service AG, Arlesheim, BPS Speditions-Service AG, Pfungen, Walli-Trans AG, ASMIQ AG, notime AG, notime (Suisse) SA, Dialog Verwaltungs-Data AG, SwissSign SA, Tresorit AG, Bring! Labs AG, Livesystems Group SA, Livesystems SA, Livesystems dooh SA, Iemoli Trasporti SA, InTraLog Hermes AG, InTraLog Overseas AG, Otto Schmidt SA, Steriplus AG, Stericenter SA, Mediwar AG, Marcel Blanc et Cie SA, Unblu Inc., Groupe T2i Suisse SA, Hacknowledge SA, Stella Brandenberger Transporte AG, axsana AG, eoscop AG, H. Bucher Internationale Transporte AG, adiacom AG, Kickbag GmbH</v>
      </c>
      <c r="E44" s="372"/>
      <c r="F44" s="372"/>
      <c r="G44" s="373"/>
      <c r="H44" s="49"/>
      <c r="I44" s="49"/>
      <c r="J44" s="49"/>
      <c r="K44" s="49"/>
      <c r="L44" s="49"/>
      <c r="M44" s="49"/>
      <c r="N44" s="372"/>
      <c r="O44" s="372"/>
      <c r="P44" s="372"/>
      <c r="Q44" s="372"/>
      <c r="R44" s="372"/>
      <c r="S44" s="372"/>
      <c r="T44" s="372"/>
      <c r="U44" s="372"/>
      <c r="V44" s="372"/>
      <c r="W44" s="372"/>
      <c r="X44" s="372"/>
      <c r="Y44" s="372"/>
      <c r="Z44" s="372"/>
      <c r="AA44" s="372"/>
      <c r="AB44" s="372"/>
      <c r="AC44" s="372"/>
      <c r="AD44" s="372"/>
      <c r="AE44" s="372"/>
      <c r="AF44" s="372"/>
      <c r="AG44" s="372"/>
      <c r="AH44" s="372"/>
      <c r="AI44" s="372"/>
      <c r="AJ44" s="372"/>
      <c r="AK44" s="372"/>
      <c r="AL44" s="372"/>
      <c r="AM44" s="372"/>
      <c r="AN44" s="372"/>
      <c r="AO44" s="372"/>
      <c r="AP44" s="372"/>
      <c r="AQ44" s="372"/>
      <c r="AR44" s="372"/>
      <c r="AS44" s="372"/>
      <c r="AT44" s="372"/>
      <c r="AU44" s="372"/>
      <c r="AV44" s="372"/>
      <c r="AW44" s="372"/>
      <c r="AX44" s="372"/>
      <c r="AY44" s="372"/>
      <c r="AZ44" s="372"/>
      <c r="BA44" s="372"/>
      <c r="BB44" s="372"/>
      <c r="BC44" s="372"/>
      <c r="BD44" s="372"/>
      <c r="BE44" s="372"/>
      <c r="BF44" s="372"/>
      <c r="BG44" s="372"/>
      <c r="BH44" s="372"/>
      <c r="BI44" s="372"/>
      <c r="BJ44" s="372"/>
      <c r="BK44" s="372"/>
      <c r="BL44" s="372"/>
      <c r="BM44" s="372"/>
      <c r="BN44" s="372"/>
      <c r="BO44" s="372"/>
      <c r="BP44" s="372"/>
      <c r="BQ44" s="372"/>
      <c r="BR44" s="372"/>
      <c r="BS44" s="372"/>
      <c r="BT44" s="372"/>
      <c r="BU44" s="372"/>
      <c r="BV44" s="372"/>
      <c r="BW44" s="372"/>
      <c r="BX44" s="372"/>
      <c r="BY44" s="372"/>
      <c r="BZ44" s="372"/>
      <c r="CA44" s="372"/>
      <c r="CB44" s="372"/>
      <c r="CC44" s="372"/>
      <c r="CD44" s="372"/>
      <c r="CE44" s="372"/>
      <c r="CF44" s="372"/>
      <c r="CG44" s="372"/>
      <c r="CH44" s="372"/>
      <c r="CI44" s="372"/>
      <c r="CJ44" s="372"/>
      <c r="CK44" s="372"/>
    </row>
    <row r="45" spans="1:89" ht="12.95" customHeight="1" x14ac:dyDescent="0.25">
      <c r="B45" s="266" t="str">
        <f>VLOOKUP(133,Textbausteine_403[],Hilfsgrössen!$D$2,FALSE)</f>
        <v>3) Sans les apprentis</v>
      </c>
      <c r="F45" s="11"/>
      <c r="H45" s="49"/>
      <c r="I45" s="49"/>
      <c r="J45" s="49"/>
      <c r="K45" s="49"/>
      <c r="L45" s="49"/>
      <c r="M45" s="49"/>
      <c r="T45" s="9"/>
      <c r="U45" s="9"/>
      <c r="V45" s="9"/>
      <c r="W45" s="9"/>
      <c r="X45" s="9"/>
      <c r="Y45" s="9"/>
      <c r="Z45" s="9"/>
    </row>
    <row r="46" spans="1:89" s="273" customFormat="1" ht="12.95" customHeight="1" x14ac:dyDescent="0.25">
      <c r="A46" s="281"/>
      <c r="B46" s="266" t="str">
        <f>VLOOKUP(134,Textbausteine_403[],Hilfsgrössen!$D$2,FALSE)</f>
        <v xml:space="preserve">4) Depuis 2012, Swiss Post International ne constitue plus un segment autonome. Les valeurs la concernant ont été répercutées à partir du 1er janvier 2012 sur les unités d’affaires PostMail et PostLogistics, lesquelles sont rattachées au segment Services logistiques depuis le 1er janvier 2021. </v>
      </c>
      <c r="E46" s="274"/>
      <c r="F46" s="274"/>
      <c r="G46" s="282"/>
      <c r="H46" s="283"/>
      <c r="I46" s="283"/>
      <c r="J46" s="283"/>
      <c r="K46" s="283"/>
      <c r="L46" s="283"/>
      <c r="M46" s="283"/>
      <c r="N46" s="274"/>
      <c r="O46" s="274"/>
      <c r="P46" s="274"/>
      <c r="Q46" s="274"/>
      <c r="R46" s="274"/>
      <c r="S46" s="274"/>
      <c r="T46" s="274"/>
      <c r="U46" s="274"/>
      <c r="V46" s="274"/>
      <c r="W46" s="274"/>
      <c r="X46" s="274"/>
      <c r="Y46" s="274"/>
      <c r="Z46" s="274"/>
      <c r="AA46" s="274"/>
      <c r="AB46" s="274"/>
      <c r="AC46" s="274"/>
      <c r="AD46" s="274"/>
      <c r="AE46" s="274"/>
      <c r="AF46" s="274"/>
      <c r="AG46" s="274"/>
      <c r="AH46" s="274"/>
      <c r="AI46" s="274"/>
      <c r="AJ46" s="274"/>
      <c r="AK46" s="274"/>
      <c r="AL46" s="274"/>
      <c r="AM46" s="274"/>
      <c r="AN46" s="274"/>
      <c r="AO46" s="274"/>
      <c r="AP46" s="274"/>
      <c r="AQ46" s="274"/>
      <c r="AR46" s="274"/>
      <c r="AS46" s="274"/>
      <c r="AT46" s="274"/>
      <c r="AU46" s="274"/>
      <c r="AV46" s="274"/>
      <c r="AW46" s="274"/>
      <c r="AX46" s="274"/>
      <c r="AY46" s="274"/>
      <c r="AZ46" s="274"/>
      <c r="BA46" s="274"/>
      <c r="BB46" s="274"/>
      <c r="BC46" s="274"/>
      <c r="BD46" s="274"/>
      <c r="BE46" s="274"/>
      <c r="BF46" s="274"/>
      <c r="BG46" s="274"/>
      <c r="BH46" s="274"/>
      <c r="BI46" s="274"/>
      <c r="BJ46" s="274"/>
      <c r="BK46" s="274"/>
      <c r="BL46" s="274"/>
      <c r="BM46" s="274"/>
      <c r="BN46" s="274"/>
      <c r="BO46" s="274"/>
      <c r="BP46" s="274"/>
      <c r="BQ46" s="274"/>
      <c r="BR46" s="274"/>
      <c r="BS46" s="274"/>
      <c r="BT46" s="274"/>
      <c r="BU46" s="274"/>
      <c r="BV46" s="274"/>
      <c r="BW46" s="274"/>
      <c r="BX46" s="274"/>
      <c r="BY46" s="274"/>
      <c r="BZ46" s="274"/>
      <c r="CA46" s="274"/>
      <c r="CB46" s="274"/>
      <c r="CC46" s="274"/>
      <c r="CD46" s="274"/>
      <c r="CE46" s="274"/>
      <c r="CF46" s="274"/>
      <c r="CG46" s="274"/>
      <c r="CH46" s="274"/>
      <c r="CI46" s="274"/>
      <c r="CJ46" s="274"/>
      <c r="CK46" s="274"/>
    </row>
    <row r="47" spans="1:89" s="326" customFormat="1" ht="12.95" customHeight="1" x14ac:dyDescent="0.25">
      <c r="A47" s="376"/>
      <c r="B47" s="334" t="str">
        <f>VLOOKUP(135,Textbausteine_403[],Hilfsgrössen!$D$2,FALSE)</f>
        <v>5) L'unité du groupe Swiss Post Solutions n'existant que depuis le 1er octobre 2007, aucune valeur ne peut être présentée pour les années précédentes.</v>
      </c>
      <c r="E47" s="328"/>
      <c r="F47" s="328"/>
      <c r="G47" s="329"/>
      <c r="H47" s="49"/>
      <c r="I47" s="49"/>
      <c r="J47" s="49"/>
      <c r="K47" s="49"/>
      <c r="L47" s="49"/>
      <c r="M47" s="49"/>
      <c r="N47" s="328"/>
      <c r="O47" s="328"/>
      <c r="P47" s="328"/>
      <c r="Q47" s="328"/>
      <c r="R47" s="328"/>
      <c r="S47" s="328"/>
      <c r="T47" s="328"/>
      <c r="U47" s="328"/>
      <c r="V47" s="328"/>
      <c r="W47" s="328"/>
      <c r="X47" s="328"/>
      <c r="Y47" s="328"/>
      <c r="Z47" s="328"/>
      <c r="AA47" s="328"/>
      <c r="AB47" s="328"/>
      <c r="AC47" s="328"/>
      <c r="AD47" s="328"/>
      <c r="AE47" s="328"/>
      <c r="AF47" s="328"/>
      <c r="AG47" s="328"/>
      <c r="AH47" s="328"/>
      <c r="AI47" s="328"/>
      <c r="AJ47" s="328"/>
      <c r="AK47" s="328"/>
      <c r="AL47" s="328"/>
      <c r="AM47" s="328"/>
      <c r="AN47" s="328"/>
      <c r="AO47" s="328"/>
      <c r="AP47" s="328"/>
      <c r="AQ47" s="328"/>
      <c r="AR47" s="328"/>
      <c r="AS47" s="328"/>
      <c r="AT47" s="328"/>
      <c r="AU47" s="328"/>
      <c r="AV47" s="328"/>
      <c r="AW47" s="328"/>
      <c r="AX47" s="328"/>
      <c r="AY47" s="328"/>
      <c r="AZ47" s="328"/>
      <c r="BA47" s="328"/>
      <c r="BB47" s="328"/>
      <c r="BC47" s="328"/>
      <c r="BD47" s="328"/>
      <c r="BE47" s="328"/>
      <c r="BF47" s="328"/>
      <c r="BG47" s="328"/>
      <c r="BH47" s="328"/>
      <c r="BI47" s="328"/>
      <c r="BJ47" s="328"/>
      <c r="BK47" s="328"/>
      <c r="BL47" s="328"/>
      <c r="BM47" s="328"/>
      <c r="BN47" s="328"/>
      <c r="BO47" s="328"/>
      <c r="BP47" s="328"/>
      <c r="BQ47" s="328"/>
      <c r="BR47" s="328"/>
      <c r="BS47" s="328"/>
      <c r="BT47" s="328"/>
      <c r="BU47" s="328"/>
      <c r="BV47" s="328"/>
      <c r="BW47" s="328"/>
      <c r="BX47" s="328"/>
      <c r="BY47" s="328"/>
      <c r="BZ47" s="328"/>
      <c r="CA47" s="328"/>
      <c r="CB47" s="328"/>
      <c r="CC47" s="328"/>
      <c r="CD47" s="328"/>
      <c r="CE47" s="328"/>
      <c r="CF47" s="328"/>
      <c r="CG47" s="328"/>
      <c r="CH47" s="328"/>
      <c r="CI47" s="328"/>
      <c r="CJ47" s="328"/>
      <c r="CK47" s="328"/>
    </row>
    <row r="48" spans="1:89" ht="12.95" customHeight="1" x14ac:dyDescent="0.25">
      <c r="B48" s="266" t="str">
        <f>VLOOKUP(136,Textbausteine_403[],Hilfsgrössen!$D$2,FALSE)</f>
        <v>6) Les coûts sont calculés à l'aide des coûts moyens par cas. Nombre d'accidents professionnels et nombre d'accidents-bagatelle, multipliés par les coûts moyens liés aux accidents selon calculs de la SUVA.</v>
      </c>
      <c r="F48" s="11"/>
      <c r="H48" s="49"/>
      <c r="I48" s="49"/>
      <c r="J48" s="49"/>
      <c r="K48" s="49"/>
      <c r="L48" s="49"/>
      <c r="M48" s="49"/>
      <c r="T48" s="9"/>
      <c r="U48" s="9"/>
      <c r="V48" s="9"/>
      <c r="W48" s="9"/>
      <c r="X48" s="9"/>
      <c r="Y48" s="9"/>
      <c r="Z48" s="9"/>
    </row>
    <row r="49" spans="2:26" ht="12.95" customHeight="1" x14ac:dyDescent="0.25">
      <c r="B49" s="266" t="str">
        <f>VLOOKUP(137,Textbausteine_403[],Hilfsgrössen!$D$2,FALSE)</f>
        <v>7) Selon la CCT, les rapports de travail sont maintenus durant 2 ans en cas de maladie ou d'accident. Pour les contrats de travail relevant du Code des obligations, les rapports de travail peuvent être résiliés après 6 mois. Ces chiffres ne peuvent donc pas être comparés avec ceux d'autres entreprises.</v>
      </c>
      <c r="G49" s="267"/>
      <c r="H49" s="49"/>
      <c r="I49" s="49"/>
      <c r="J49" s="49"/>
      <c r="K49" s="49"/>
      <c r="L49" s="49"/>
      <c r="M49" s="49"/>
      <c r="T49" s="9"/>
      <c r="U49" s="9"/>
      <c r="V49" s="9"/>
      <c r="W49" s="9"/>
      <c r="X49" s="9"/>
      <c r="Y49" s="9"/>
      <c r="Z49" s="9"/>
    </row>
    <row r="50" spans="2:26" ht="12.95" customHeight="1" x14ac:dyDescent="0.25">
      <c r="B50" s="266" t="str">
        <f>VLOOKUP(138,Textbausteine_403[],Hilfsgrössen!$D$2,FALSE)</f>
        <v>8) La commission du personnel a été supprimée avec effet au 1er janvier 2016.</v>
      </c>
      <c r="H50" s="49"/>
      <c r="I50" s="49"/>
      <c r="J50" s="49"/>
      <c r="K50" s="49"/>
      <c r="L50" s="49"/>
      <c r="M50" s="49"/>
      <c r="T50" s="9"/>
      <c r="U50" s="9"/>
      <c r="V50" s="9"/>
      <c r="W50" s="9"/>
      <c r="X50" s="9"/>
      <c r="Y50" s="9"/>
      <c r="Z50" s="9"/>
    </row>
    <row r="51" spans="2:26" ht="12.95" customHeight="1" x14ac:dyDescent="0.25">
      <c r="B51" s="266" t="str">
        <f>VLOOKUP(139,Textbausteine_403[],Hilfsgrössen!$D$2,FALSE)</f>
        <v>9) Les segments Services logistiques, Services de communication et Services de mobilité sont opérationnels depuis le 1er janvier 2021. Il n’existe aucune valeur comparative des exercices précédents.</v>
      </c>
      <c r="T51" s="9"/>
      <c r="U51" s="9"/>
      <c r="V51" s="9"/>
      <c r="W51" s="9"/>
      <c r="X51" s="9"/>
      <c r="Y51" s="9"/>
      <c r="Z51" s="9"/>
    </row>
    <row r="52" spans="2:26" ht="12.95" customHeight="1" x14ac:dyDescent="0.2">
      <c r="H52" s="72"/>
      <c r="I52" s="72"/>
      <c r="J52" s="72"/>
      <c r="K52" s="72"/>
      <c r="L52" s="72"/>
      <c r="M52" s="72"/>
      <c r="T52" s="9"/>
      <c r="U52" s="9"/>
      <c r="V52" s="9"/>
      <c r="W52" s="9"/>
      <c r="X52" s="9"/>
      <c r="Y52" s="9"/>
      <c r="Z52" s="9"/>
    </row>
    <row r="53" spans="2:26" ht="12.95" customHeight="1" x14ac:dyDescent="0.2">
      <c r="H53" s="49"/>
      <c r="I53" s="49"/>
      <c r="J53" s="49"/>
      <c r="K53" s="49"/>
      <c r="L53" s="49"/>
      <c r="M53" s="49"/>
      <c r="T53" s="9"/>
      <c r="U53" s="9"/>
      <c r="V53" s="9"/>
      <c r="W53" s="9"/>
      <c r="X53" s="9"/>
      <c r="Y53" s="9"/>
      <c r="Z53" s="9"/>
    </row>
    <row r="54" spans="2:26" ht="12.95" customHeight="1" x14ac:dyDescent="0.2">
      <c r="H54" s="49"/>
      <c r="I54" s="49"/>
      <c r="J54" s="49"/>
      <c r="K54" s="49"/>
      <c r="L54" s="49"/>
      <c r="M54" s="49"/>
      <c r="T54" s="9"/>
      <c r="U54" s="9"/>
      <c r="V54" s="9"/>
      <c r="W54" s="9"/>
      <c r="X54" s="9"/>
      <c r="Y54" s="9"/>
      <c r="Z54" s="9"/>
    </row>
    <row r="55" spans="2:26" ht="12.95" customHeight="1" x14ac:dyDescent="0.2">
      <c r="H55" s="49"/>
      <c r="I55" s="49"/>
      <c r="J55" s="49"/>
      <c r="K55" s="49"/>
      <c r="L55" s="49"/>
      <c r="M55" s="49"/>
      <c r="T55" s="9"/>
      <c r="U55" s="9"/>
      <c r="V55" s="9"/>
      <c r="W55" s="9"/>
      <c r="X55" s="9"/>
      <c r="Y55" s="9"/>
      <c r="Z55" s="9"/>
    </row>
    <row r="56" spans="2:26" ht="12.95" customHeight="1" x14ac:dyDescent="0.2">
      <c r="H56" s="49"/>
      <c r="I56" s="49"/>
      <c r="J56" s="49"/>
      <c r="K56" s="49"/>
      <c r="L56" s="49"/>
      <c r="M56" s="49"/>
      <c r="T56" s="9"/>
      <c r="U56" s="9"/>
      <c r="V56" s="9"/>
      <c r="W56" s="9"/>
      <c r="X56" s="9"/>
      <c r="Y56" s="9"/>
      <c r="Z56" s="9"/>
    </row>
    <row r="57" spans="2:26" ht="12.95" customHeight="1" x14ac:dyDescent="0.2">
      <c r="H57" s="49"/>
      <c r="I57" s="49"/>
      <c r="J57" s="49"/>
      <c r="K57" s="49"/>
      <c r="L57" s="49"/>
      <c r="M57" s="49"/>
      <c r="T57" s="9"/>
      <c r="U57" s="9"/>
      <c r="V57" s="9"/>
      <c r="W57" s="9"/>
      <c r="X57" s="9"/>
      <c r="Y57" s="9"/>
      <c r="Z57" s="9"/>
    </row>
    <row r="58" spans="2:26" ht="12.95" customHeight="1" x14ac:dyDescent="0.2">
      <c r="E58" s="11"/>
      <c r="H58" s="49"/>
      <c r="I58" s="49"/>
      <c r="J58" s="49"/>
      <c r="K58" s="49"/>
      <c r="L58" s="49"/>
      <c r="M58" s="49"/>
      <c r="T58" s="9"/>
      <c r="U58" s="9"/>
      <c r="V58" s="9"/>
      <c r="W58" s="9"/>
      <c r="X58" s="9"/>
      <c r="Y58" s="9"/>
      <c r="Z58" s="9"/>
    </row>
    <row r="59" spans="2:26" ht="12.95" customHeight="1" x14ac:dyDescent="0.2">
      <c r="E59" s="11"/>
      <c r="H59" s="49"/>
      <c r="I59" s="49"/>
      <c r="J59" s="49"/>
      <c r="K59" s="49"/>
      <c r="L59" s="49"/>
      <c r="M59" s="49"/>
      <c r="T59" s="9"/>
      <c r="U59" s="9"/>
      <c r="V59" s="9"/>
      <c r="W59" s="9"/>
      <c r="X59" s="9"/>
      <c r="Y59" s="9"/>
      <c r="Z59" s="9"/>
    </row>
    <row r="60" spans="2:26" ht="12.95" customHeight="1" x14ac:dyDescent="0.2">
      <c r="E60" s="11"/>
      <c r="H60" s="49"/>
      <c r="I60" s="49"/>
      <c r="J60" s="49"/>
      <c r="K60" s="49"/>
      <c r="L60" s="49"/>
      <c r="M60" s="49"/>
      <c r="T60" s="9"/>
      <c r="U60" s="9"/>
      <c r="V60" s="9"/>
      <c r="W60" s="9"/>
      <c r="X60" s="9"/>
      <c r="Y60" s="9"/>
      <c r="Z60" s="9"/>
    </row>
    <row r="61" spans="2:26" ht="12.95" customHeight="1" x14ac:dyDescent="0.2">
      <c r="H61" s="49"/>
      <c r="I61" s="49"/>
      <c r="J61" s="49"/>
      <c r="K61" s="49"/>
      <c r="L61" s="49"/>
      <c r="M61" s="49"/>
      <c r="T61" s="9"/>
      <c r="U61" s="9"/>
      <c r="V61" s="9"/>
      <c r="W61" s="9"/>
      <c r="X61" s="9"/>
      <c r="Y61" s="9"/>
      <c r="Z61" s="9"/>
    </row>
    <row r="62" spans="2:26" ht="12.95" customHeight="1" x14ac:dyDescent="0.2">
      <c r="H62" s="49"/>
      <c r="I62" s="49"/>
      <c r="J62" s="49"/>
      <c r="K62" s="49"/>
      <c r="L62" s="49"/>
      <c r="M62" s="49"/>
      <c r="T62" s="9"/>
      <c r="U62" s="9"/>
      <c r="V62" s="9"/>
      <c r="W62" s="9"/>
      <c r="X62" s="9"/>
      <c r="Y62" s="9"/>
      <c r="Z62" s="9"/>
    </row>
    <row r="63" spans="2:26" ht="12.95" customHeight="1" x14ac:dyDescent="0.2">
      <c r="E63" s="29"/>
      <c r="F63" s="29"/>
      <c r="H63" s="49"/>
      <c r="I63" s="49"/>
      <c r="J63" s="49"/>
      <c r="K63" s="49"/>
      <c r="L63" s="49"/>
      <c r="M63" s="49"/>
      <c r="T63" s="9"/>
      <c r="U63" s="9"/>
      <c r="V63" s="9"/>
      <c r="W63" s="9"/>
      <c r="X63" s="9"/>
      <c r="Y63" s="9"/>
      <c r="Z63" s="9"/>
    </row>
    <row r="64" spans="2:26" ht="12.95" customHeight="1" x14ac:dyDescent="0.2">
      <c r="E64" s="29"/>
      <c r="F64" s="29"/>
      <c r="G64" s="35"/>
      <c r="H64" s="49"/>
      <c r="I64" s="49"/>
      <c r="J64" s="49"/>
      <c r="K64" s="49"/>
      <c r="L64" s="49"/>
      <c r="M64" s="49"/>
      <c r="T64" s="9"/>
      <c r="U64" s="9"/>
      <c r="V64" s="9"/>
      <c r="W64" s="9"/>
      <c r="X64" s="9"/>
      <c r="Y64" s="9"/>
      <c r="Z64" s="9"/>
    </row>
    <row r="65" spans="5:26" ht="12.95" customHeight="1" x14ac:dyDescent="0.2">
      <c r="E65" s="29"/>
      <c r="F65" s="29"/>
      <c r="G65" s="35"/>
      <c r="H65" s="49"/>
      <c r="I65" s="49"/>
      <c r="J65" s="49"/>
      <c r="K65" s="49"/>
      <c r="L65" s="49"/>
      <c r="M65" s="49"/>
      <c r="T65" s="9"/>
      <c r="U65" s="9"/>
      <c r="V65" s="9"/>
      <c r="W65" s="9"/>
      <c r="X65" s="9"/>
      <c r="Y65" s="9"/>
      <c r="Z65" s="9"/>
    </row>
    <row r="66" spans="5:26" ht="12.95" customHeight="1" x14ac:dyDescent="0.2">
      <c r="E66" s="29"/>
      <c r="F66" s="29"/>
      <c r="G66" s="35"/>
      <c r="H66" s="49"/>
      <c r="I66" s="49"/>
      <c r="J66" s="49"/>
      <c r="K66" s="49"/>
      <c r="L66" s="49"/>
      <c r="M66" s="49"/>
    </row>
    <row r="67" spans="5:26" ht="12.95" customHeight="1" x14ac:dyDescent="0.2">
      <c r="E67" s="29"/>
      <c r="F67" s="29"/>
      <c r="G67" s="35"/>
      <c r="H67" s="49"/>
      <c r="I67" s="49"/>
      <c r="J67" s="49"/>
      <c r="K67" s="49"/>
      <c r="L67" s="49"/>
      <c r="M67" s="49"/>
    </row>
    <row r="68" spans="5:26" ht="12.95" customHeight="1" x14ac:dyDescent="0.25">
      <c r="E68" s="30"/>
      <c r="F68" s="30"/>
      <c r="G68" s="35"/>
      <c r="H68" s="49"/>
      <c r="I68" s="49"/>
      <c r="J68" s="49"/>
      <c r="K68" s="49"/>
      <c r="L68" s="49"/>
      <c r="M68" s="49"/>
    </row>
    <row r="69" spans="5:26" ht="12.95" customHeight="1" x14ac:dyDescent="0.25">
      <c r="G69" s="36"/>
      <c r="H69" s="49"/>
      <c r="I69" s="49"/>
      <c r="J69" s="49"/>
      <c r="K69" s="49"/>
      <c r="L69" s="49"/>
      <c r="M69" s="49"/>
    </row>
    <row r="72" spans="5:26" ht="12.95" customHeight="1" x14ac:dyDescent="0.2">
      <c r="E72" s="28"/>
      <c r="F72" s="28"/>
    </row>
    <row r="73" spans="5:26" ht="12.95" customHeight="1" x14ac:dyDescent="0.2">
      <c r="E73" s="28"/>
      <c r="F73" s="28"/>
      <c r="G73" s="33"/>
    </row>
    <row r="74" spans="5:26" ht="12.95" customHeight="1" x14ac:dyDescent="0.2">
      <c r="E74" s="11"/>
      <c r="G74" s="33"/>
      <c r="T74" s="75"/>
      <c r="U74" s="75"/>
      <c r="V74" s="75"/>
      <c r="W74" s="75"/>
      <c r="X74" s="75"/>
      <c r="Y74" s="75"/>
      <c r="Z74" s="75"/>
    </row>
    <row r="75" spans="5:26" ht="12.95" customHeight="1" x14ac:dyDescent="0.2">
      <c r="E75" s="28"/>
      <c r="F75" s="28"/>
      <c r="H75" s="51"/>
      <c r="I75" s="51"/>
      <c r="J75" s="51"/>
      <c r="K75" s="51"/>
      <c r="L75" s="51"/>
      <c r="M75" s="51"/>
      <c r="T75" s="75"/>
      <c r="U75" s="75"/>
      <c r="V75" s="75"/>
      <c r="W75" s="75"/>
      <c r="X75" s="75"/>
      <c r="Y75" s="75"/>
      <c r="Z75" s="75"/>
    </row>
    <row r="76" spans="5:26" ht="12.95" customHeight="1" x14ac:dyDescent="0.2">
      <c r="E76" s="11"/>
      <c r="G76" s="33"/>
      <c r="H76" s="51"/>
      <c r="I76" s="51"/>
      <c r="J76" s="51"/>
      <c r="K76" s="51"/>
      <c r="L76" s="51"/>
      <c r="M76" s="51"/>
    </row>
    <row r="77" spans="5:26" ht="12.95" customHeight="1" x14ac:dyDescent="0.2">
      <c r="E77" s="11"/>
      <c r="H77" s="51"/>
      <c r="I77" s="51"/>
      <c r="J77" s="51"/>
      <c r="K77" s="51"/>
      <c r="L77" s="51"/>
      <c r="M77" s="51"/>
      <c r="T77" s="9"/>
      <c r="U77" s="9"/>
      <c r="V77" s="9"/>
      <c r="W77" s="9"/>
      <c r="X77" s="9"/>
      <c r="Y77" s="9"/>
      <c r="Z77" s="9"/>
    </row>
    <row r="78" spans="5:26" ht="12.95" customHeight="1" x14ac:dyDescent="0.2">
      <c r="E78" s="11"/>
      <c r="H78" s="72"/>
      <c r="I78" s="72"/>
      <c r="J78" s="72"/>
      <c r="K78" s="72"/>
      <c r="L78" s="72"/>
      <c r="M78" s="72"/>
      <c r="T78" s="9"/>
      <c r="U78" s="9"/>
      <c r="V78" s="9"/>
      <c r="W78" s="9"/>
      <c r="X78" s="9"/>
      <c r="Y78" s="9"/>
      <c r="Z78" s="9"/>
    </row>
    <row r="79" spans="5:26" ht="12.95" customHeight="1" x14ac:dyDescent="0.2">
      <c r="E79" s="11"/>
      <c r="H79" s="73"/>
      <c r="I79" s="73"/>
      <c r="J79" s="73"/>
      <c r="K79" s="73"/>
      <c r="L79" s="73"/>
      <c r="M79" s="73"/>
      <c r="T79" s="9"/>
      <c r="U79" s="9"/>
      <c r="V79" s="9"/>
      <c r="W79" s="9"/>
      <c r="X79" s="9"/>
      <c r="Y79" s="9"/>
      <c r="Z79" s="9"/>
    </row>
    <row r="80" spans="5:26" ht="12.95" customHeight="1" x14ac:dyDescent="0.2">
      <c r="E80" s="31"/>
      <c r="F80" s="31"/>
      <c r="T80" s="9"/>
      <c r="U80" s="9"/>
      <c r="V80" s="9"/>
      <c r="W80" s="9"/>
      <c r="X80" s="9"/>
      <c r="Y80" s="9"/>
      <c r="Z80" s="9"/>
    </row>
    <row r="81" spans="5:26" ht="12.95" customHeight="1" x14ac:dyDescent="0.2">
      <c r="E81" s="31"/>
      <c r="F81" s="31"/>
      <c r="T81" s="9"/>
      <c r="U81" s="9"/>
      <c r="V81" s="9"/>
      <c r="W81" s="9"/>
      <c r="X81" s="9"/>
      <c r="Y81" s="9"/>
      <c r="Z81" s="9"/>
    </row>
    <row r="82" spans="5:26" ht="12.95" customHeight="1" x14ac:dyDescent="0.2">
      <c r="E82" s="31"/>
      <c r="F82" s="31"/>
      <c r="H82" s="268"/>
      <c r="I82" s="268"/>
      <c r="J82" s="268"/>
      <c r="K82" s="268"/>
      <c r="L82" s="268"/>
      <c r="M82" s="268"/>
      <c r="T82" s="9"/>
      <c r="U82" s="9"/>
      <c r="V82" s="9"/>
      <c r="W82" s="9"/>
      <c r="X82" s="9"/>
      <c r="Y82" s="9"/>
      <c r="Z82" s="9"/>
    </row>
    <row r="83" spans="5:26" ht="12.95" customHeight="1" x14ac:dyDescent="0.2">
      <c r="H83" s="268"/>
      <c r="I83" s="268"/>
      <c r="J83" s="268"/>
      <c r="K83" s="268"/>
      <c r="L83" s="268"/>
      <c r="M83" s="268"/>
      <c r="T83" s="9"/>
      <c r="U83" s="9"/>
      <c r="V83" s="9"/>
      <c r="W83" s="9"/>
      <c r="X83" s="9"/>
      <c r="Y83" s="9"/>
      <c r="Z83" s="9"/>
    </row>
    <row r="84" spans="5:26" ht="12.95" customHeight="1" x14ac:dyDescent="0.2">
      <c r="H84" s="268"/>
      <c r="I84" s="268"/>
      <c r="J84" s="268"/>
      <c r="K84" s="268"/>
      <c r="L84" s="268"/>
      <c r="M84" s="268"/>
      <c r="T84" s="9"/>
      <c r="U84" s="9"/>
      <c r="V84" s="9"/>
      <c r="W84" s="9"/>
      <c r="X84" s="9"/>
      <c r="Y84" s="9"/>
      <c r="Z84" s="9"/>
    </row>
    <row r="85" spans="5:26" ht="12.95" customHeight="1" x14ac:dyDescent="0.2">
      <c r="H85" s="268"/>
      <c r="I85" s="268"/>
      <c r="J85" s="268"/>
      <c r="K85" s="268"/>
      <c r="L85" s="268"/>
      <c r="M85" s="268"/>
      <c r="T85" s="75"/>
      <c r="U85" s="75"/>
      <c r="V85" s="75"/>
      <c r="W85" s="75"/>
      <c r="X85" s="75"/>
      <c r="Y85" s="75"/>
      <c r="Z85" s="75"/>
    </row>
    <row r="86" spans="5:26" ht="12.95" customHeight="1" x14ac:dyDescent="0.2">
      <c r="H86" s="51"/>
      <c r="I86" s="51"/>
      <c r="J86" s="51"/>
      <c r="K86" s="51"/>
      <c r="L86" s="51"/>
      <c r="M86" s="51"/>
      <c r="T86" s="75"/>
      <c r="U86" s="75"/>
      <c r="V86" s="75"/>
      <c r="W86" s="75"/>
      <c r="X86" s="75"/>
      <c r="Y86" s="75"/>
      <c r="Z86" s="75"/>
    </row>
    <row r="87" spans="5:26" ht="12.95" customHeight="1" x14ac:dyDescent="0.2">
      <c r="H87" s="51"/>
      <c r="I87" s="51"/>
      <c r="J87" s="51"/>
      <c r="K87" s="51"/>
      <c r="L87" s="51"/>
      <c r="M87" s="51"/>
    </row>
    <row r="88" spans="5:26" ht="12.95" customHeight="1" x14ac:dyDescent="0.2">
      <c r="H88" s="51"/>
      <c r="I88" s="51"/>
      <c r="J88" s="51"/>
      <c r="K88" s="51"/>
      <c r="L88" s="51"/>
      <c r="M88" s="51"/>
    </row>
    <row r="89" spans="5:26" ht="12.95" customHeight="1" x14ac:dyDescent="0.2">
      <c r="H89" s="72"/>
      <c r="I89" s="72"/>
      <c r="J89" s="72"/>
      <c r="K89" s="72"/>
      <c r="L89" s="72"/>
      <c r="M89" s="72"/>
    </row>
    <row r="90" spans="5:26" ht="12.95" customHeight="1" x14ac:dyDescent="0.2">
      <c r="H90" s="72"/>
      <c r="I90" s="72"/>
      <c r="J90" s="72"/>
      <c r="K90" s="72"/>
      <c r="L90" s="72"/>
      <c r="M90" s="72"/>
      <c r="T90" s="9"/>
      <c r="U90" s="9"/>
      <c r="V90" s="9"/>
      <c r="W90" s="9"/>
      <c r="X90" s="9"/>
      <c r="Y90" s="9"/>
      <c r="Z90" s="9"/>
    </row>
    <row r="91" spans="5:26" ht="12.95" customHeight="1" x14ac:dyDescent="0.2">
      <c r="T91" s="9"/>
      <c r="U91" s="9"/>
      <c r="V91" s="9"/>
      <c r="W91" s="9"/>
      <c r="X91" s="9"/>
      <c r="Y91" s="9"/>
      <c r="Z91" s="9"/>
    </row>
    <row r="92" spans="5:26" ht="12.95" customHeight="1" x14ac:dyDescent="0.2">
      <c r="T92" s="9"/>
      <c r="U92" s="9"/>
      <c r="V92" s="9"/>
      <c r="W92" s="9"/>
      <c r="X92" s="9"/>
      <c r="Y92" s="9"/>
      <c r="Z92" s="9"/>
    </row>
    <row r="93" spans="5:26" ht="12.95" customHeight="1" x14ac:dyDescent="0.2">
      <c r="T93" s="9"/>
      <c r="U93" s="9"/>
      <c r="V93" s="9"/>
      <c r="W93" s="9"/>
      <c r="X93" s="9"/>
      <c r="Y93" s="9"/>
      <c r="Z93" s="9"/>
    </row>
    <row r="94" spans="5:26" ht="12.95" customHeight="1" x14ac:dyDescent="0.2">
      <c r="H94" s="268"/>
      <c r="I94" s="268"/>
      <c r="J94" s="268"/>
      <c r="K94" s="268"/>
      <c r="L94" s="268"/>
      <c r="M94" s="268"/>
      <c r="T94" s="9"/>
      <c r="U94" s="9"/>
      <c r="V94" s="9"/>
      <c r="W94" s="9"/>
      <c r="X94" s="9"/>
      <c r="Y94" s="9"/>
      <c r="Z94" s="9"/>
    </row>
    <row r="95" spans="5:26" ht="12.95" customHeight="1" x14ac:dyDescent="0.2">
      <c r="H95" s="268"/>
      <c r="I95" s="268"/>
      <c r="J95" s="268"/>
      <c r="K95" s="268"/>
      <c r="L95" s="268"/>
      <c r="M95" s="268"/>
      <c r="T95" s="9"/>
      <c r="U95" s="9"/>
      <c r="V95" s="9"/>
      <c r="W95" s="9"/>
      <c r="X95" s="9"/>
      <c r="Y95" s="9"/>
      <c r="Z95" s="9"/>
    </row>
    <row r="96" spans="5:26" ht="12.95" customHeight="1" x14ac:dyDescent="0.2">
      <c r="H96" s="268"/>
      <c r="I96" s="268"/>
      <c r="J96" s="268"/>
      <c r="K96" s="268"/>
      <c r="L96" s="268"/>
      <c r="M96" s="268"/>
      <c r="T96" s="9"/>
      <c r="U96" s="9"/>
      <c r="V96" s="9"/>
      <c r="W96" s="9"/>
      <c r="X96" s="9"/>
      <c r="Y96" s="9"/>
      <c r="Z96" s="9"/>
    </row>
    <row r="97" spans="7:26" ht="12.95" customHeight="1" x14ac:dyDescent="0.2">
      <c r="H97" s="268"/>
      <c r="I97" s="268"/>
      <c r="J97" s="268"/>
      <c r="K97" s="268"/>
      <c r="L97" s="268"/>
      <c r="M97" s="268"/>
      <c r="T97" s="9"/>
      <c r="U97" s="9"/>
      <c r="V97" s="9"/>
      <c r="W97" s="9"/>
      <c r="X97" s="9"/>
      <c r="Y97" s="9"/>
      <c r="Z97" s="9"/>
    </row>
    <row r="98" spans="7:26" ht="12.95" customHeight="1" x14ac:dyDescent="0.2">
      <c r="H98" s="268"/>
      <c r="I98" s="268"/>
      <c r="J98" s="268"/>
      <c r="K98" s="268"/>
      <c r="L98" s="268"/>
      <c r="M98" s="268"/>
      <c r="T98" s="9"/>
      <c r="U98" s="9"/>
      <c r="V98" s="9"/>
      <c r="W98" s="9"/>
      <c r="X98" s="9"/>
      <c r="Y98" s="9"/>
      <c r="Z98" s="9"/>
    </row>
    <row r="99" spans="7:26" ht="12.95" customHeight="1" x14ac:dyDescent="0.2">
      <c r="H99" s="268"/>
      <c r="I99" s="268"/>
      <c r="J99" s="268"/>
      <c r="K99" s="268"/>
      <c r="L99" s="268"/>
      <c r="M99" s="268"/>
      <c r="T99" s="9"/>
      <c r="U99" s="9"/>
      <c r="V99" s="9"/>
      <c r="W99" s="9"/>
      <c r="X99" s="9"/>
      <c r="Y99" s="9"/>
      <c r="Z99" s="9"/>
    </row>
    <row r="100" spans="7:26" ht="12.95" customHeight="1" x14ac:dyDescent="0.2">
      <c r="H100" s="268"/>
      <c r="I100" s="268"/>
      <c r="J100" s="268"/>
      <c r="K100" s="268"/>
      <c r="L100" s="268"/>
      <c r="M100" s="268"/>
      <c r="T100" s="9"/>
      <c r="U100" s="9"/>
      <c r="V100" s="9"/>
      <c r="W100" s="9"/>
      <c r="X100" s="9"/>
      <c r="Y100" s="9"/>
      <c r="Z100" s="9"/>
    </row>
    <row r="101" spans="7:26" ht="12.95" customHeight="1" x14ac:dyDescent="0.2">
      <c r="H101" s="268"/>
      <c r="I101" s="268"/>
      <c r="J101" s="268"/>
      <c r="K101" s="268"/>
      <c r="L101" s="268"/>
      <c r="M101" s="268"/>
      <c r="T101" s="9"/>
      <c r="U101" s="9"/>
      <c r="V101" s="9"/>
      <c r="W101" s="9"/>
      <c r="X101" s="9"/>
      <c r="Y101" s="9"/>
      <c r="Z101" s="9"/>
    </row>
    <row r="102" spans="7:26" ht="12.95" customHeight="1" x14ac:dyDescent="0.2">
      <c r="H102" s="268"/>
      <c r="I102" s="268"/>
      <c r="J102" s="268"/>
      <c r="K102" s="268"/>
      <c r="L102" s="268"/>
      <c r="M102" s="268"/>
      <c r="T102" s="9"/>
      <c r="U102" s="9"/>
      <c r="V102" s="9"/>
      <c r="W102" s="9"/>
      <c r="X102" s="9"/>
      <c r="Y102" s="9"/>
      <c r="Z102" s="9"/>
    </row>
    <row r="103" spans="7:26" ht="12.95" customHeight="1" x14ac:dyDescent="0.2">
      <c r="H103" s="268"/>
      <c r="I103" s="268"/>
      <c r="J103" s="268"/>
      <c r="K103" s="268"/>
      <c r="L103" s="268"/>
      <c r="M103" s="268"/>
      <c r="T103" s="9"/>
      <c r="U103" s="9"/>
      <c r="V103" s="9"/>
      <c r="W103" s="9"/>
      <c r="X103" s="9"/>
      <c r="Y103" s="9"/>
      <c r="Z103" s="9"/>
    </row>
    <row r="104" spans="7:26" ht="12.95" customHeight="1" x14ac:dyDescent="0.2">
      <c r="H104" s="268"/>
      <c r="I104" s="268"/>
      <c r="J104" s="268"/>
      <c r="K104" s="268"/>
      <c r="L104" s="268"/>
      <c r="M104" s="268"/>
      <c r="T104" s="9"/>
      <c r="U104" s="9"/>
      <c r="V104" s="9"/>
      <c r="W104" s="9"/>
      <c r="X104" s="9"/>
      <c r="Y104" s="9"/>
      <c r="Z104" s="9"/>
    </row>
    <row r="105" spans="7:26" ht="12.95" customHeight="1" x14ac:dyDescent="0.2">
      <c r="H105" s="268"/>
      <c r="I105" s="268"/>
      <c r="J105" s="268"/>
      <c r="K105" s="268"/>
      <c r="L105" s="268"/>
      <c r="M105" s="268"/>
      <c r="T105" s="9"/>
      <c r="U105" s="9"/>
      <c r="V105" s="9"/>
      <c r="W105" s="9"/>
      <c r="X105" s="9"/>
      <c r="Y105" s="9"/>
      <c r="Z105" s="9"/>
    </row>
    <row r="106" spans="7:26" ht="12.95" customHeight="1" x14ac:dyDescent="0.2">
      <c r="H106" s="268"/>
      <c r="I106" s="268"/>
      <c r="J106" s="268"/>
      <c r="K106" s="268"/>
      <c r="L106" s="268"/>
      <c r="M106" s="268"/>
      <c r="T106" s="9"/>
      <c r="U106" s="9"/>
      <c r="V106" s="9"/>
      <c r="W106" s="9"/>
      <c r="X106" s="9"/>
      <c r="Y106" s="9"/>
      <c r="Z106" s="9"/>
    </row>
    <row r="107" spans="7:26" ht="12.95" customHeight="1" x14ac:dyDescent="0.2">
      <c r="H107" s="268"/>
      <c r="I107" s="268"/>
      <c r="J107" s="268"/>
      <c r="K107" s="268"/>
      <c r="L107" s="268"/>
      <c r="M107" s="268"/>
      <c r="T107" s="9"/>
      <c r="U107" s="9"/>
      <c r="V107" s="9"/>
      <c r="W107" s="9"/>
      <c r="X107" s="9"/>
      <c r="Y107" s="9"/>
      <c r="Z107" s="9"/>
    </row>
    <row r="108" spans="7:26" ht="12.95" customHeight="1" x14ac:dyDescent="0.2">
      <c r="H108" s="268"/>
      <c r="I108" s="268"/>
      <c r="J108" s="268"/>
      <c r="K108" s="268"/>
      <c r="L108" s="268"/>
      <c r="M108" s="268"/>
    </row>
    <row r="109" spans="7:26" ht="12.95" customHeight="1" x14ac:dyDescent="0.2">
      <c r="H109" s="268"/>
      <c r="I109" s="268"/>
      <c r="J109" s="268"/>
      <c r="K109" s="268"/>
      <c r="L109" s="268"/>
      <c r="M109" s="268"/>
    </row>
    <row r="110" spans="7:26" ht="12.95" customHeight="1" x14ac:dyDescent="0.2">
      <c r="H110" s="268"/>
      <c r="I110" s="268"/>
      <c r="J110" s="268"/>
      <c r="K110" s="268"/>
      <c r="L110" s="268"/>
      <c r="M110" s="268"/>
    </row>
    <row r="111" spans="7:26" ht="12.95" customHeight="1" x14ac:dyDescent="0.2">
      <c r="G111" s="33"/>
      <c r="H111" s="268"/>
      <c r="I111" s="268"/>
      <c r="J111" s="268"/>
      <c r="K111" s="268"/>
      <c r="L111" s="268"/>
      <c r="M111" s="268"/>
    </row>
    <row r="112" spans="7:26" ht="12.95" customHeight="1" x14ac:dyDescent="0.2">
      <c r="G112" s="33"/>
    </row>
    <row r="114" spans="7:26" ht="12.95" customHeight="1" x14ac:dyDescent="0.2">
      <c r="G114" s="33"/>
      <c r="T114" s="75"/>
      <c r="U114" s="75"/>
      <c r="V114" s="75"/>
      <c r="W114" s="75"/>
      <c r="X114" s="75"/>
      <c r="Y114" s="75"/>
      <c r="Z114" s="75"/>
    </row>
    <row r="115" spans="7:26" ht="12.95" customHeight="1" x14ac:dyDescent="0.2">
      <c r="T115" s="75"/>
      <c r="U115" s="75"/>
      <c r="V115" s="75"/>
      <c r="W115" s="75"/>
      <c r="X115" s="75"/>
      <c r="Y115" s="75"/>
      <c r="Z115" s="75"/>
    </row>
    <row r="118" spans="7:26" ht="12.95" customHeight="1" x14ac:dyDescent="0.2">
      <c r="H118" s="72"/>
      <c r="I118" s="72"/>
      <c r="J118" s="72"/>
      <c r="K118" s="72"/>
      <c r="L118" s="72"/>
      <c r="M118" s="72"/>
    </row>
    <row r="119" spans="7:26" ht="12.95" customHeight="1" x14ac:dyDescent="0.2">
      <c r="G119" s="37"/>
      <c r="H119" s="72"/>
      <c r="I119" s="72"/>
      <c r="J119" s="72"/>
      <c r="K119" s="72"/>
      <c r="L119" s="72"/>
      <c r="M119" s="72"/>
      <c r="T119" s="81"/>
      <c r="U119" s="81"/>
      <c r="V119" s="81"/>
      <c r="W119" s="81"/>
      <c r="X119" s="81"/>
      <c r="Y119" s="81"/>
      <c r="Z119" s="81"/>
    </row>
    <row r="120" spans="7:26" ht="12.95" customHeight="1" x14ac:dyDescent="0.2">
      <c r="G120" s="37"/>
      <c r="T120" s="81"/>
      <c r="U120" s="81"/>
      <c r="V120" s="81"/>
      <c r="W120" s="81"/>
      <c r="X120" s="81"/>
      <c r="Y120" s="81"/>
      <c r="Z120" s="81"/>
    </row>
    <row r="121" spans="7:26" ht="12.95" customHeight="1" x14ac:dyDescent="0.2">
      <c r="G121" s="37"/>
      <c r="H121" s="7"/>
      <c r="I121" s="7"/>
      <c r="J121" s="7"/>
      <c r="K121" s="7"/>
      <c r="L121" s="7"/>
      <c r="M121" s="7"/>
      <c r="T121" s="81"/>
      <c r="U121" s="81"/>
      <c r="V121" s="81"/>
      <c r="W121" s="81"/>
      <c r="X121" s="81"/>
      <c r="Y121" s="81"/>
      <c r="Z121" s="81"/>
    </row>
    <row r="122" spans="7:26" ht="12.95" customHeight="1" x14ac:dyDescent="0.2">
      <c r="T122" s="81"/>
      <c r="U122" s="81"/>
      <c r="V122" s="81"/>
      <c r="W122" s="81"/>
      <c r="X122" s="81"/>
      <c r="Y122" s="81"/>
      <c r="Z122" s="81"/>
    </row>
    <row r="123" spans="7:26" ht="12.95" customHeight="1" x14ac:dyDescent="0.2">
      <c r="T123" s="81"/>
      <c r="U123" s="81"/>
      <c r="V123" s="81"/>
      <c r="W123" s="81"/>
      <c r="X123" s="81"/>
      <c r="Y123" s="81"/>
      <c r="Z123" s="81"/>
    </row>
    <row r="124" spans="7:26" ht="12.95" customHeight="1" x14ac:dyDescent="0.2">
      <c r="T124" s="81"/>
      <c r="U124" s="81"/>
      <c r="V124" s="81"/>
      <c r="W124" s="81"/>
      <c r="X124" s="81"/>
      <c r="Y124" s="81"/>
      <c r="Z124" s="81"/>
    </row>
    <row r="125" spans="7:26" ht="12.95" customHeight="1" x14ac:dyDescent="0.2">
      <c r="T125" s="81"/>
      <c r="U125" s="81"/>
      <c r="V125" s="81"/>
      <c r="W125" s="81"/>
      <c r="X125" s="81"/>
      <c r="Y125" s="81"/>
      <c r="Z125" s="81"/>
    </row>
    <row r="126" spans="7:26" ht="12.95" customHeight="1" x14ac:dyDescent="0.2">
      <c r="T126" s="81"/>
      <c r="U126" s="81"/>
      <c r="V126" s="81"/>
      <c r="W126" s="81"/>
      <c r="X126" s="81"/>
      <c r="Y126" s="81"/>
      <c r="Z126" s="81"/>
    </row>
    <row r="140" spans="8:13" ht="12.95" customHeight="1" x14ac:dyDescent="0.2">
      <c r="H140" s="72"/>
      <c r="I140" s="72"/>
      <c r="J140" s="72"/>
      <c r="K140" s="72"/>
      <c r="L140" s="72"/>
      <c r="M140" s="72"/>
    </row>
    <row r="141" spans="8:13" ht="12.95" customHeight="1" x14ac:dyDescent="0.2">
      <c r="H141" s="73"/>
      <c r="I141" s="73"/>
      <c r="J141" s="73"/>
      <c r="K141" s="73"/>
      <c r="L141" s="73"/>
      <c r="M141" s="73"/>
    </row>
    <row r="144" spans="8:13" ht="12.95" customHeight="1" x14ac:dyDescent="0.2">
      <c r="H144" s="268"/>
      <c r="I144" s="268"/>
      <c r="J144" s="268"/>
      <c r="K144" s="268"/>
      <c r="L144" s="268"/>
      <c r="M144" s="268"/>
    </row>
    <row r="145" spans="8:13" ht="12.95" customHeight="1" x14ac:dyDescent="0.2">
      <c r="H145" s="268"/>
      <c r="I145" s="268"/>
      <c r="J145" s="268"/>
      <c r="K145" s="268"/>
      <c r="L145" s="268"/>
      <c r="M145" s="268"/>
    </row>
    <row r="146" spans="8:13" ht="12.95" customHeight="1" x14ac:dyDescent="0.2">
      <c r="H146" s="268"/>
      <c r="I146" s="268"/>
      <c r="J146" s="268"/>
      <c r="K146" s="268"/>
      <c r="L146" s="268"/>
      <c r="M146" s="268"/>
    </row>
  </sheetData>
  <sheetProtection algorithmName="SHA-512" hashValue="WeCH7riRDeFWXCJ+z3lKXJqR/UgmXtuIKx+Ayy7zspKAyx0ZE5qg5v8pt9T/N4+lgi1AaNszrobmguUyY84Mag==" saltValue="e48/DiCcgQNXjFr1QT0jew==" spinCount="100000" sheet="1" objects="1" scenarios="1"/>
  <mergeCells count="4">
    <mergeCell ref="B2:C2"/>
    <mergeCell ref="B3:C3"/>
    <mergeCell ref="B10:C11"/>
    <mergeCell ref="D2:E2"/>
  </mergeCells>
  <conditionalFormatting sqref="H10:Y14 H25:X31 H23 H39:Y40 H36:X38 H42:Y10000 H41:X41 AA10:CE10000">
    <cfRule type="expression" dxfId="292" priority="141">
      <formula>AND($D10&lt;&gt;"",H$10&lt;&gt;"",H10="")</formula>
    </cfRule>
    <cfRule type="expression" dxfId="291" priority="142">
      <formula>AND($A10="",ABS(H10)=0)</formula>
    </cfRule>
    <cfRule type="expression" dxfId="290" priority="143">
      <formula>AND($A10="",ABS(H10)&lt;10)</formula>
    </cfRule>
    <cfRule type="expression" dxfId="289" priority="144">
      <formula>AND($A10="",ABS(H10)&lt;100)</formula>
    </cfRule>
    <cfRule type="expression" dxfId="288" priority="146">
      <formula>AND($A10="",ABS(H10)&gt;=100)</formula>
    </cfRule>
  </conditionalFormatting>
  <conditionalFormatting sqref="H20:X20">
    <cfRule type="expression" dxfId="287" priority="111">
      <formula>AND($D20&lt;&gt;"",H$10&lt;&gt;"",H20="")</formula>
    </cfRule>
    <cfRule type="expression" dxfId="286" priority="112">
      <formula>AND($A20="",ABS(H20)=0)</formula>
    </cfRule>
    <cfRule type="expression" dxfId="285" priority="113">
      <formula>AND($A20="",ABS(H20)&lt;10)</formula>
    </cfRule>
    <cfRule type="expression" dxfId="284" priority="114">
      <formula>AND($A20="",ABS(H20)&lt;100)</formula>
    </cfRule>
    <cfRule type="expression" dxfId="283" priority="115">
      <formula>AND($A20="",ABS(H20)&gt;=100)</formula>
    </cfRule>
  </conditionalFormatting>
  <conditionalFormatting sqref="Y25:Y31 Y36:Y38">
    <cfRule type="expression" dxfId="282" priority="106">
      <formula>AND($D25&lt;&gt;"",Y$10&lt;&gt;"",Y25="")</formula>
    </cfRule>
    <cfRule type="expression" dxfId="281" priority="107">
      <formula>AND($A25="",ABS(Y25)=0)</formula>
    </cfRule>
    <cfRule type="expression" dxfId="280" priority="108">
      <formula>AND($A25="",ABS(Y25)&lt;10)</formula>
    </cfRule>
    <cfRule type="expression" dxfId="279" priority="109">
      <formula>AND($A25="",ABS(Y25)&lt;100)</formula>
    </cfRule>
    <cfRule type="expression" dxfId="278" priority="110">
      <formula>AND($A25="",ABS(Y25)&gt;=100)</formula>
    </cfRule>
  </conditionalFormatting>
  <conditionalFormatting sqref="H16:X16">
    <cfRule type="expression" dxfId="277" priority="121">
      <formula>AND($D16&lt;&gt;"",H$10&lt;&gt;"",H16="")</formula>
    </cfRule>
    <cfRule type="expression" dxfId="276" priority="122">
      <formula>AND($A16="",ABS(H16)=0)</formula>
    </cfRule>
    <cfRule type="expression" dxfId="275" priority="123">
      <formula>AND($A16="",ABS(H16)&lt;10)</formula>
    </cfRule>
    <cfRule type="expression" dxfId="274" priority="124">
      <formula>AND($A16="",ABS(H16)&lt;100)</formula>
    </cfRule>
    <cfRule type="expression" dxfId="273" priority="125">
      <formula>AND($A16="",ABS(H16)&gt;=100)</formula>
    </cfRule>
  </conditionalFormatting>
  <conditionalFormatting sqref="H17:X17">
    <cfRule type="expression" dxfId="272" priority="116">
      <formula>AND($D17&lt;&gt;"",H$10&lt;&gt;"",H17="")</formula>
    </cfRule>
    <cfRule type="expression" dxfId="271" priority="117">
      <formula>AND($A17="",ABS(H17)=0)</formula>
    </cfRule>
    <cfRule type="expression" dxfId="270" priority="118">
      <formula>AND($A17="",ABS(H17)&lt;10)</formula>
    </cfRule>
    <cfRule type="expression" dxfId="269" priority="119">
      <formula>AND($A17="",ABS(H17)&lt;100)</formula>
    </cfRule>
    <cfRule type="expression" dxfId="268" priority="120">
      <formula>AND($A17="",ABS(H17)&gt;=100)</formula>
    </cfRule>
  </conditionalFormatting>
  <conditionalFormatting sqref="Y15:Y23">
    <cfRule type="expression" dxfId="267" priority="101">
      <formula>AND($D15&lt;&gt;"",Y$10&lt;&gt;"",Y15="")</formula>
    </cfRule>
    <cfRule type="expression" dxfId="266" priority="102">
      <formula>AND($A15="",ABS(Y15)=0)</formula>
    </cfRule>
    <cfRule type="expression" dxfId="265" priority="103">
      <formula>AND($A15="",ABS(Y15)&lt;10)</formula>
    </cfRule>
    <cfRule type="expression" dxfId="264" priority="104">
      <formula>AND($A15="",ABS(Y15)&lt;100)</formula>
    </cfRule>
    <cfRule type="expression" dxfId="263" priority="105">
      <formula>AND($A15="",ABS(Y15)&gt;=100)</formula>
    </cfRule>
  </conditionalFormatting>
  <conditionalFormatting sqref="Y33:Y35">
    <cfRule type="expression" dxfId="262" priority="96">
      <formula>AND($D33&lt;&gt;"",Y$10&lt;&gt;"",Y33="")</formula>
    </cfRule>
    <cfRule type="expression" dxfId="261" priority="97">
      <formula>AND($A33="",ABS(Y33)=0)</formula>
    </cfRule>
    <cfRule type="expression" dxfId="260" priority="98">
      <formula>AND($A33="",ABS(Y33)&lt;10)</formula>
    </cfRule>
    <cfRule type="expression" dxfId="259" priority="99">
      <formula>AND($A33="",ABS(Y33)&lt;100)</formula>
    </cfRule>
    <cfRule type="expression" dxfId="258" priority="100">
      <formula>AND($A33="",ABS(Y33)&gt;=100)</formula>
    </cfRule>
  </conditionalFormatting>
  <conditionalFormatting sqref="Y41">
    <cfRule type="expression" dxfId="257" priority="91">
      <formula>AND($D41&lt;&gt;"",Y$10&lt;&gt;"",Y41="")</formula>
    </cfRule>
    <cfRule type="expression" dxfId="256" priority="92">
      <formula>AND($A41="",ABS(Y41)=0)</formula>
    </cfRule>
    <cfRule type="expression" dxfId="255" priority="93">
      <formula>AND($A41="",ABS(Y41)&lt;10)</formula>
    </cfRule>
    <cfRule type="expression" dxfId="254" priority="94">
      <formula>AND($A41="",ABS(Y41)&lt;100)</formula>
    </cfRule>
    <cfRule type="expression" dxfId="253" priority="95">
      <formula>AND($A41="",ABS(Y41)&gt;=100)</formula>
    </cfRule>
  </conditionalFormatting>
  <conditionalFormatting sqref="Z10:Z14 Z39:Z40 Z42:Z10000">
    <cfRule type="expression" dxfId="252" priority="21">
      <formula>AND($D10&lt;&gt;"",Z$10&lt;&gt;"",Z10="")</formula>
    </cfRule>
    <cfRule type="expression" dxfId="251" priority="22">
      <formula>AND($A10="",ABS(Z10)=0)</formula>
    </cfRule>
    <cfRule type="expression" dxfId="250" priority="23">
      <formula>AND($A10="",ABS(Z10)&lt;10)</formula>
    </cfRule>
    <cfRule type="expression" dxfId="249" priority="24">
      <formula>AND($A10="",ABS(Z10)&lt;100)</formula>
    </cfRule>
    <cfRule type="expression" dxfId="248" priority="25">
      <formula>AND($A10="",ABS(Z10)&gt;=100)</formula>
    </cfRule>
  </conditionalFormatting>
  <conditionalFormatting sqref="Z25:Z31 Z36:Z38">
    <cfRule type="expression" dxfId="247" priority="16">
      <formula>AND($D25&lt;&gt;"",Z$10&lt;&gt;"",Z25="")</formula>
    </cfRule>
    <cfRule type="expression" dxfId="246" priority="17">
      <formula>AND($A25="",ABS(Z25)=0)</formula>
    </cfRule>
    <cfRule type="expression" dxfId="245" priority="18">
      <formula>AND($A25="",ABS(Z25)&lt;10)</formula>
    </cfRule>
    <cfRule type="expression" dxfId="244" priority="19">
      <formula>AND($A25="",ABS(Z25)&lt;100)</formula>
    </cfRule>
    <cfRule type="expression" dxfId="243" priority="20">
      <formula>AND($A25="",ABS(Z25)&gt;=100)</formula>
    </cfRule>
  </conditionalFormatting>
  <conditionalFormatting sqref="Z15:Z23">
    <cfRule type="expression" dxfId="242" priority="11">
      <formula>AND($D15&lt;&gt;"",Z$10&lt;&gt;"",Z15="")</formula>
    </cfRule>
    <cfRule type="expression" dxfId="241" priority="12">
      <formula>AND($A15="",ABS(Z15)=0)</formula>
    </cfRule>
    <cfRule type="expression" dxfId="240" priority="13">
      <formula>AND($A15="",ABS(Z15)&lt;10)</formula>
    </cfRule>
    <cfRule type="expression" dxfId="239" priority="14">
      <formula>AND($A15="",ABS(Z15)&lt;100)</formula>
    </cfRule>
    <cfRule type="expression" dxfId="238" priority="15">
      <formula>AND($A15="",ABS(Z15)&gt;=100)</formula>
    </cfRule>
  </conditionalFormatting>
  <conditionalFormatting sqref="Z33:Z35">
    <cfRule type="expression" dxfId="237" priority="6">
      <formula>AND($D33&lt;&gt;"",Z$10&lt;&gt;"",Z33="")</formula>
    </cfRule>
    <cfRule type="expression" dxfId="236" priority="7">
      <formula>AND($A33="",ABS(Z33)=0)</formula>
    </cfRule>
    <cfRule type="expression" dxfId="235" priority="8">
      <formula>AND($A33="",ABS(Z33)&lt;10)</formula>
    </cfRule>
    <cfRule type="expression" dxfId="234" priority="9">
      <formula>AND($A33="",ABS(Z33)&lt;100)</formula>
    </cfRule>
    <cfRule type="expression" dxfId="233" priority="10">
      <formula>AND($A33="",ABS(Z33)&gt;=100)</formula>
    </cfRule>
  </conditionalFormatting>
  <conditionalFormatting sqref="Z41">
    <cfRule type="expression" dxfId="232" priority="1">
      <formula>AND($D41&lt;&gt;"",Z$10&lt;&gt;"",Z41="")</formula>
    </cfRule>
    <cfRule type="expression" dxfId="231" priority="2">
      <formula>AND($A41="",ABS(Z41)=0)</formula>
    </cfRule>
    <cfRule type="expression" dxfId="230" priority="3">
      <formula>AND($A41="",ABS(Z41)&lt;10)</formula>
    </cfRule>
    <cfRule type="expression" dxfId="229" priority="4">
      <formula>AND($A41="",ABS(Z41)&lt;100)</formula>
    </cfRule>
    <cfRule type="expression" dxfId="228" priority="5">
      <formula>AND($A41="",ABS(Z41)&gt;=100)</formula>
    </cfRule>
  </conditionalFormatting>
  <dataValidations count="2">
    <dataValidation type="list" allowBlank="1" showInputMessage="1" showErrorMessage="1" sqref="G2" xr:uid="{00000000-0002-0000-0800-000000000000}">
      <formula1>Sprache</formula1>
    </dataValidation>
    <dataValidation allowBlank="1" showInputMessage="1" showErrorMessage="1" sqref="F2" xr:uid="{A71B7E57-9D50-4E0A-B81C-11FF834B1E50}"/>
  </dataValidations>
  <hyperlinks>
    <hyperlink ref="A10" location="GRI_403" display="Ó" xr:uid="{00000000-0004-0000-0800-000000000000}"/>
    <hyperlink ref="C7" location="GRI_403_2a" display="GRI_403_2a" xr:uid="{00000000-0004-0000-0800-000001000000}"/>
    <hyperlink ref="D2" location="Home" display="Home" xr:uid="{00000000-0004-0000-0800-000002000000}"/>
  </hyperlinks>
  <pageMargins left="0.7" right="0.7" top="0.78740157499999996" bottom="0.78740157499999996" header="0.3" footer="0.3"/>
  <pageSetup paperSize="9" orientation="portrait" r:id="rId1"/>
  <ignoredErrors>
    <ignoredError sqref="D23" formula="1"/>
    <ignoredError sqref="E15:E38" twoDigitTextYear="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DB0D1BFC79D9EF4781D9E402C9FC5796" ma:contentTypeVersion="17" ma:contentTypeDescription="Ein neues Dokument erstellen." ma:contentTypeScope="" ma:versionID="f2e5b6e674bd4af1a85ece9c5f63718c">
  <xsd:schema xmlns:xsd="http://www.w3.org/2001/XMLSchema" xmlns:xs="http://www.w3.org/2001/XMLSchema" xmlns:p="http://schemas.microsoft.com/office/2006/metadata/properties" xmlns:ns2="71185480-5d99-49c8-ac08-5b2d9481a24f" xmlns:ns3="e5237527-2ab6-4e81-b4e2-87959196660d" targetNamespace="http://schemas.microsoft.com/office/2006/metadata/properties" ma:root="true" ma:fieldsID="b16cb3feaa9b5ce7db08298f7ea379e6" ns2:_="" ns3:_="">
    <xsd:import namespace="71185480-5d99-49c8-ac08-5b2d9481a24f"/>
    <xsd:import namespace="e5237527-2ab6-4e81-b4e2-87959196660d"/>
    <xsd:element name="properties">
      <xsd:complexType>
        <xsd:sequence>
          <xsd:element name="documentManagement">
            <xsd:complexType>
              <xsd:all>
                <xsd:element ref="ns2:_dlc_DocId" minOccurs="0"/>
                <xsd:element ref="ns2:_dlc_DocIdUrl" minOccurs="0"/>
                <xsd:element ref="ns2:_dlc_DocIdPersistId" minOccurs="0"/>
                <xsd:element ref="ns3:MediaServiceMetadata" minOccurs="0"/>
                <xsd:element ref="ns3:MediaServiceFastMetadata" minOccurs="0"/>
                <xsd:element ref="ns3:MediaServiceAutoKeyPoints" minOccurs="0"/>
                <xsd:element ref="ns3:MediaServiceKeyPoints"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Location" minOccurs="0"/>
                <xsd:element ref="ns2:SharedWithUsers" minOccurs="0"/>
                <xsd:element ref="ns2:SharedWithDetails" minOccurs="0"/>
                <xsd:element ref="ns3:MediaLengthInSeconds" minOccurs="0"/>
                <xsd:element ref="ns3:lcf76f155ced4ddcb4097134ff3c332f" minOccurs="0"/>
                <xsd:element ref="ns2: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1185480-5d99-49c8-ac08-5b2d9481a24f" elementFormDefault="qualified">
    <xsd:import namespace="http://schemas.microsoft.com/office/2006/documentManagement/types"/>
    <xsd:import namespace="http://schemas.microsoft.com/office/infopath/2007/PartnerControls"/>
    <xsd:element name="_dlc_DocId" ma:index="8" nillable="true" ma:displayName="Wert der Dokument-ID" ma:description="Der Wert der diesem Element zugewiesenen Dokument-ID." ma:internalName="_dlc_DocId" ma:readOnly="true">
      <xsd:simpleType>
        <xsd:restriction base="dms:Text"/>
      </xsd:simpleType>
    </xsd:element>
    <xsd:element name="_dlc_DocIdUrl" ma:index="9" nillable="true" ma:displayName="Dokument-ID" ma:description="Permanenter Hyperlink zu diesem Dok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Beständige ID" ma:description="ID beim Hinzufügen beibehalten." ma:hidden="true" ma:internalName="_dlc_DocIdPersistId" ma:readOnly="true">
      <xsd:simpleType>
        <xsd:restriction base="dms:Boolean"/>
      </xsd:simpleType>
    </xsd:element>
    <xsd:element name="SharedWithUsers" ma:index="21" nillable="true" ma:displayName="Freigegeben f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2" nillable="true" ma:displayName="Freigegeben für - Details" ma:internalName="SharedWithDetails" ma:readOnly="true">
      <xsd:simpleType>
        <xsd:restriction base="dms:Note">
          <xsd:maxLength value="255"/>
        </xsd:restriction>
      </xsd:simpleType>
    </xsd:element>
    <xsd:element name="TaxCatchAll" ma:index="26" nillable="true" ma:displayName="Taxonomy Catch All Column" ma:hidden="true" ma:list="{8f995f93-fbdc-4b0b-baa1-81f1cad15308}" ma:internalName="TaxCatchAll" ma:showField="CatchAllData" ma:web="71185480-5d99-49c8-ac08-5b2d9481a24f">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e5237527-2ab6-4e81-b4e2-87959196660d"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DateTaken" ma:index="15" nillable="true" ma:displayName="MediaServiceDateTaken" ma:hidden="true" ma:internalName="MediaServiceDateTaken" ma:readOnly="true">
      <xsd:simpleType>
        <xsd:restriction base="dms:Text"/>
      </xsd:simpleType>
    </xsd:element>
    <xsd:element name="MediaServiceAutoTags" ma:index="16" nillable="true" ma:displayName="Tags" ma:internalName="MediaServiceAutoTags"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Location" ma:index="20" nillable="true" ma:displayName="Location" ma:internalName="MediaServiceLocation" ma:readOnly="true">
      <xsd:simpleType>
        <xsd:restriction base="dms:Text"/>
      </xsd:simpleType>
    </xsd:element>
    <xsd:element name="MediaLengthInSeconds" ma:index="23" nillable="true" ma:displayName="Length (seconds)" ma:internalName="MediaLengthInSeconds" ma:readOnly="true">
      <xsd:simpleType>
        <xsd:restriction base="dms:Unknown"/>
      </xsd:simpleType>
    </xsd:element>
    <xsd:element name="lcf76f155ced4ddcb4097134ff3c332f" ma:index="25" nillable="true" ma:taxonomy="true" ma:internalName="lcf76f155ced4ddcb4097134ff3c332f" ma:taxonomyFieldName="MediaServiceImageTags" ma:displayName="Bildmarkierungen" ma:readOnly="false" ma:fieldId="{5cf76f15-5ced-4ddc-b409-7134ff3c332f}" ma:taxonomyMulti="true" ma:sspId="444f4fa3-b52a-4625-8e29-87d37a0be7e4" ma:termSetId="09814cd3-568e-fe90-9814-8d621ff8fb84" ma:anchorId="fba54fb3-c3e1-fe81-a776-ca4b69148c4d" ma:open="tru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_dlc_DocId xmlns="71185480-5d99-49c8-ac08-5b2d9481a24f">SPO1566-640659238-128063</_dlc_DocId>
    <_dlc_DocIdUrl xmlns="71185480-5d99-49c8-ac08-5b2d9481a24f">
      <Url>https://postchag.sharepoint.com/sites/corpdev/_layouts/15/DocIdRedir.aspx?ID=SPO1566-640659238-128063</Url>
      <Description>SPO1566-640659238-128063</Description>
    </_dlc_DocIdUrl>
    <SharedWithUsers xmlns="71185480-5d99-49c8-ac08-5b2d9481a24f">
      <UserInfo>
        <DisplayName>Haenseler Marco, F11</DisplayName>
        <AccountId>1976</AccountId>
        <AccountType/>
      </UserInfo>
      <UserInfo>
        <DisplayName>Callea Angela, F11</DisplayName>
        <AccountId>1977</AccountId>
        <AccountType/>
      </UserInfo>
      <UserInfo>
        <DisplayName>Hulliger Oliver, F11</DisplayName>
        <AccountId>1978</AccountId>
        <AccountType/>
      </UserInfo>
      <UserInfo>
        <DisplayName>Moeri Isabelle, KS</DisplayName>
        <AccountId>478</AccountId>
        <AccountType/>
      </UserInfo>
      <UserInfo>
        <DisplayName>Gerber Daniel, KS</DisplayName>
        <AccountId>373</AccountId>
        <AccountType/>
      </UserInfo>
      <UserInfo>
        <DisplayName>Hofer Stephanie, K GP KS</DisplayName>
        <AccountId>555</AccountId>
        <AccountType/>
      </UserInfo>
      <UserInfo>
        <DisplayName>Bernath Annina, F6</DisplayName>
        <AccountId>325</AccountId>
        <AccountType/>
      </UserInfo>
      <UserInfo>
        <DisplayName>Knuchel Stefan, F6</DisplayName>
        <AccountId>326</AccountId>
        <AccountType/>
      </UserInfo>
      <UserInfo>
        <DisplayName>Saner Dominik, PA51</DisplayName>
        <AccountId>114</AccountId>
        <AccountType/>
      </UserInfo>
      <UserInfo>
        <DisplayName>Nigg Mischa, P Strat</DisplayName>
        <AccountId>1848</AccountId>
        <AccountType/>
      </UserInfo>
    </SharedWithUsers>
    <TaxCatchAll xmlns="71185480-5d99-49c8-ac08-5b2d9481a24f" xsi:nil="true"/>
    <lcf76f155ced4ddcb4097134ff3c332f xmlns="e5237527-2ab6-4e81-b4e2-87959196660d">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1A8624E8-AAFC-411B-BFB4-DF2DAF9EA90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1185480-5d99-49c8-ac08-5b2d9481a24f"/>
    <ds:schemaRef ds:uri="e5237527-2ab6-4e81-b4e2-87959196660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E2D43FC1-FAC9-4E65-B419-EAF3AF8807B6}">
  <ds:schemaRefs>
    <ds:schemaRef ds:uri="http://schemas.microsoft.com/sharepoint/events"/>
  </ds:schemaRefs>
</ds:datastoreItem>
</file>

<file path=customXml/itemProps3.xml><?xml version="1.0" encoding="utf-8"?>
<ds:datastoreItem xmlns:ds="http://schemas.openxmlformats.org/officeDocument/2006/customXml" ds:itemID="{DF9B0E1E-8FC4-47C6-924F-7162C91DA4BD}">
  <ds:schemaRefs>
    <ds:schemaRef ds:uri="http://schemas.microsoft.com/sharepoint/v3/contenttype/forms"/>
  </ds:schemaRefs>
</ds:datastoreItem>
</file>

<file path=customXml/itemProps4.xml><?xml version="1.0" encoding="utf-8"?>
<ds:datastoreItem xmlns:ds="http://schemas.openxmlformats.org/officeDocument/2006/customXml" ds:itemID="{886975C6-B4F7-4ECD-968C-70842ED0F787}">
  <ds:schemaRef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0fa3d982-7170-40be-af1b-c76564663c22"/>
    <ds:schemaRef ds:uri="http://purl.org/dc/elements/1.1/"/>
    <ds:schemaRef ds:uri="http://schemas.microsoft.com/office/2006/metadata/properties"/>
    <ds:schemaRef ds:uri="285f9bb4-e8e8-4076-b8fb-e6d7ee7df457"/>
    <ds:schemaRef ds:uri="http://www.w3.org/XML/1998/namespace"/>
    <ds:schemaRef ds:uri="http://purl.org/dc/dcmitype/"/>
    <ds:schemaRef ds:uri="71185480-5d99-49c8-ac08-5b2d9481a24f"/>
    <ds:schemaRef ds:uri="e5237527-2ab6-4e81-b4e2-87959196660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Feuilles de calcul</vt:lpstr>
      </vt:variant>
      <vt:variant>
        <vt:i4>13</vt:i4>
      </vt:variant>
      <vt:variant>
        <vt:lpstr>Plages nommées</vt:lpstr>
      </vt:variant>
      <vt:variant>
        <vt:i4>55</vt:i4>
      </vt:variant>
    </vt:vector>
  </HeadingPairs>
  <TitlesOfParts>
    <vt:vector size="68" baseType="lpstr">
      <vt:lpstr>Inhaltsverzeichnis</vt:lpstr>
      <vt:lpstr>2</vt:lpstr>
      <vt:lpstr>201</vt:lpstr>
      <vt:lpstr>202</vt:lpstr>
      <vt:lpstr>203</vt:lpstr>
      <vt:lpstr>302</vt:lpstr>
      <vt:lpstr>305</vt:lpstr>
      <vt:lpstr>401</vt:lpstr>
      <vt:lpstr>403</vt:lpstr>
      <vt:lpstr>404</vt:lpstr>
      <vt:lpstr>405</vt:lpstr>
      <vt:lpstr>Textbausteine</vt:lpstr>
      <vt:lpstr>Hilfsgrössen</vt:lpstr>
      <vt:lpstr>GRI_102</vt:lpstr>
      <vt:lpstr>GRI_102_43a</vt:lpstr>
      <vt:lpstr>GRI_102_6a</vt:lpstr>
      <vt:lpstr>GRI_102_7a</vt:lpstr>
      <vt:lpstr>GRI_102_7b</vt:lpstr>
      <vt:lpstr>GRI_102_7c</vt:lpstr>
      <vt:lpstr>GRI_102_7d</vt:lpstr>
      <vt:lpstr>GRI_102_7e</vt:lpstr>
      <vt:lpstr>GRI_102_8a</vt:lpstr>
      <vt:lpstr>GRI_102_8b</vt:lpstr>
      <vt:lpstr>GRI_102_8c</vt:lpstr>
      <vt:lpstr>GRI_102_8d</vt:lpstr>
      <vt:lpstr>GRI_102_9a</vt:lpstr>
      <vt:lpstr>GRI_201</vt:lpstr>
      <vt:lpstr>GRI_201_1a</vt:lpstr>
      <vt:lpstr>GRI_201_1b</vt:lpstr>
      <vt:lpstr>GRI_201_3</vt:lpstr>
      <vt:lpstr>GRI_202</vt:lpstr>
      <vt:lpstr>GRI_202_1</vt:lpstr>
      <vt:lpstr>GRI_203</vt:lpstr>
      <vt:lpstr>GRI_203_2</vt:lpstr>
      <vt:lpstr>GRI_203_2b</vt:lpstr>
      <vt:lpstr>GRI_203_2c</vt:lpstr>
      <vt:lpstr>GRI_203_2d</vt:lpstr>
      <vt:lpstr>GRI_203_2e</vt:lpstr>
      <vt:lpstr>GRI_203_2f</vt:lpstr>
      <vt:lpstr>GRI_203_2g</vt:lpstr>
      <vt:lpstr>GRI_302</vt:lpstr>
      <vt:lpstr>GRI_302_1</vt:lpstr>
      <vt:lpstr>GRI_302_2</vt:lpstr>
      <vt:lpstr>GRI_305</vt:lpstr>
      <vt:lpstr>GRI_305_1</vt:lpstr>
      <vt:lpstr>GRI_305_2</vt:lpstr>
      <vt:lpstr>GRI_305_3</vt:lpstr>
      <vt:lpstr>GRI_305_4</vt:lpstr>
      <vt:lpstr>GRI_305_6_7</vt:lpstr>
      <vt:lpstr>GRI_401</vt:lpstr>
      <vt:lpstr>GRI_401_1</vt:lpstr>
      <vt:lpstr>GRI_401_3</vt:lpstr>
      <vt:lpstr>GRI_401_a</vt:lpstr>
      <vt:lpstr>GRI_401a</vt:lpstr>
      <vt:lpstr>GRI_403</vt:lpstr>
      <vt:lpstr>GRI_403_2a</vt:lpstr>
      <vt:lpstr>GRI_404</vt:lpstr>
      <vt:lpstr>GRI_404_2a</vt:lpstr>
      <vt:lpstr>GRI_404_2b</vt:lpstr>
      <vt:lpstr>GRI_404_2c</vt:lpstr>
      <vt:lpstr>GRI_405</vt:lpstr>
      <vt:lpstr>GRI_405_1</vt:lpstr>
      <vt:lpstr>GRI_405_1a</vt:lpstr>
      <vt:lpstr>GRI_405_1b</vt:lpstr>
      <vt:lpstr>GRI_405_1c</vt:lpstr>
      <vt:lpstr>GRI_405_1d</vt:lpstr>
      <vt:lpstr>Home</vt:lpstr>
      <vt:lpstr>Sprache</vt:lpstr>
    </vt:vector>
  </TitlesOfParts>
  <Manager/>
  <Company>POST CH AG</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Saner Dominik, K CR2</dc:creator>
  <cp:keywords/>
  <dc:description/>
  <cp:lastModifiedBy>Perren Patricia, Stab UE2</cp:lastModifiedBy>
  <cp:revision/>
  <cp:lastPrinted>2023-02-21T07:49:27Z</cp:lastPrinted>
  <dcterms:created xsi:type="dcterms:W3CDTF">2017-09-13T11:36:15Z</dcterms:created>
  <dcterms:modified xsi:type="dcterms:W3CDTF">2023-03-08T09:52:50Z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LogoMarke">
    <vt:lpwstr>P</vt:lpwstr>
  </property>
  <property fmtid="{D5CDD505-2E9C-101B-9397-08002B2CF9AE}" pid="3" name="LogoSprache">
    <vt:lpwstr>D</vt:lpwstr>
  </property>
  <property fmtid="{D5CDD505-2E9C-101B-9397-08002B2CF9AE}" pid="4" name="ContentTypeId">
    <vt:lpwstr>0x010100DB0D1BFC79D9EF4781D9E402C9FC5796</vt:lpwstr>
  </property>
  <property fmtid="{D5CDD505-2E9C-101B-9397-08002B2CF9AE}" pid="5" name="_dlc_DocIdItemGuid">
    <vt:lpwstr>3cbf0e12-abf1-4862-b332-79f60de73d5e</vt:lpwstr>
  </property>
  <property fmtid="{D5CDD505-2E9C-101B-9397-08002B2CF9AE}" pid="6" name="MSIP_Label_f9a68f73-b527-45da-b1a3-2f598590be36_Enabled">
    <vt:lpwstr>true</vt:lpwstr>
  </property>
  <property fmtid="{D5CDD505-2E9C-101B-9397-08002B2CF9AE}" pid="7" name="MSIP_Label_f9a68f73-b527-45da-b1a3-2f598590be36_SetDate">
    <vt:lpwstr>2022-02-10T12:22:06Z</vt:lpwstr>
  </property>
  <property fmtid="{D5CDD505-2E9C-101B-9397-08002B2CF9AE}" pid="8" name="MSIP_Label_f9a68f73-b527-45da-b1a3-2f598590be36_Method">
    <vt:lpwstr>Standard</vt:lpwstr>
  </property>
  <property fmtid="{D5CDD505-2E9C-101B-9397-08002B2CF9AE}" pid="9" name="MSIP_Label_f9a68f73-b527-45da-b1a3-2f598590be36_Name">
    <vt:lpwstr>internal</vt:lpwstr>
  </property>
  <property fmtid="{D5CDD505-2E9C-101B-9397-08002B2CF9AE}" pid="10" name="MSIP_Label_f9a68f73-b527-45da-b1a3-2f598590be36_SiteId">
    <vt:lpwstr>3ae7c479-0cf1-47f4-8f84-929f364eff67</vt:lpwstr>
  </property>
  <property fmtid="{D5CDD505-2E9C-101B-9397-08002B2CF9AE}" pid="11" name="MSIP_Label_f9a68f73-b527-45da-b1a3-2f598590be36_ActionId">
    <vt:lpwstr>10d4b50d-065d-4d55-ae15-ee11fa8a47c6</vt:lpwstr>
  </property>
  <property fmtid="{D5CDD505-2E9C-101B-9397-08002B2CF9AE}" pid="12" name="MSIP_Label_f9a68f73-b527-45da-b1a3-2f598590be36_ContentBits">
    <vt:lpwstr>0</vt:lpwstr>
  </property>
  <property fmtid="{D5CDD505-2E9C-101B-9397-08002B2CF9AE}" pid="13" name="MediaServiceImageTags">
    <vt:lpwstr/>
  </property>
</Properties>
</file>